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1.xml" ContentType="application/vnd.openxmlformats-officedocument.spreadsheetml.queryTable+xml"/>
  <Override PartName="/xl/tables/table14.xml" ContentType="application/vnd.openxmlformats-officedocument.spreadsheetml.table+xml"/>
  <Override PartName="/xl/queryTables/queryTable2.xml" ContentType="application/vnd.openxmlformats-officedocument.spreadsheetml.queryTable+xml"/>
  <Override PartName="/xl/tables/table15.xml" ContentType="application/vnd.openxmlformats-officedocument.spreadsheetml.table+xml"/>
  <Override PartName="/xl/queryTables/queryTable3.xml" ContentType="application/vnd.openxmlformats-officedocument.spreadsheetml.queryTable+xml"/>
  <Override PartName="/xl/tables/table1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i unidad\SCOUT\Coordinacion Zonal\Voluntarios (Formacion)\CM - (Curso Medio)\2025_06\Administración\"/>
    </mc:Choice>
  </mc:AlternateContent>
  <xr:revisionPtr revIDLastSave="0" documentId="13_ncr:1_{15B1DBDD-A52A-45FC-B6E8-F2E3D608AF8C}" xr6:coauthVersionLast="47" xr6:coauthVersionMax="47" xr10:uidLastSave="{00000000-0000-0000-0000-000000000000}"/>
  <bookViews>
    <workbookView xWindow="-108" yWindow="-108" windowWidth="23256" windowHeight="12576" tabRatio="756" firstSheet="16" activeTab="20" xr2:uid="{840A09ED-D300-42E6-A5D5-BB211DDCB9D8}"/>
  </bookViews>
  <sheets>
    <sheet name="Datos" sheetId="1" r:id="rId1"/>
    <sheet name="BBDD_Formadores" sheetId="29" r:id="rId2"/>
    <sheet name="BBDD" sheetId="27" r:id="rId3"/>
    <sheet name="Tabla_Pagos" sheetId="30" r:id="rId4"/>
    <sheet name="Revision_RUT" sheetId="10" r:id="rId5"/>
    <sheet name="ACREDITACION" sheetId="5" r:id="rId6"/>
    <sheet name="Dashboard1" sheetId="16" r:id="rId7"/>
    <sheet name="Dashboard2" sheetId="21" r:id="rId8"/>
    <sheet name="Voluntarios" sheetId="4" r:id="rId9"/>
    <sheet name="Cuotas" sheetId="8" r:id="rId10"/>
    <sheet name="Pasajes_Formador" sheetId="23" r:id="rId11"/>
    <sheet name="Comp. INGRESO" sheetId="38" r:id="rId12"/>
    <sheet name="Comp. EGRESO" sheetId="39" r:id="rId13"/>
    <sheet name="Presupuesto" sheetId="31" r:id="rId14"/>
    <sheet name="Menú" sheetId="25" r:id="rId15"/>
    <sheet name="Inf_Cuotas" sheetId="17" r:id="rId16"/>
    <sheet name="Inf_NOPagados" sheetId="34" r:id="rId17"/>
    <sheet name="Inf_Formadores" sheetId="18" r:id="rId18"/>
    <sheet name="Inf_Credenciales" sheetId="35" r:id="rId19"/>
    <sheet name="Inf_Voluntarios" sheetId="11" r:id="rId20"/>
    <sheet name="Inf_Vol_OtrasZonas" sheetId="40" r:id="rId21"/>
    <sheet name="Inf_VoluntariosDistrito" sheetId="15" r:id="rId22"/>
    <sheet name="Inf_PorDistrito_Grupo" sheetId="14" r:id="rId23"/>
    <sheet name="Inf_PorRama" sheetId="20" r:id="rId24"/>
    <sheet name="Materiales e Insumos" sheetId="36" r:id="rId25"/>
    <sheet name="Alimentos para Comprar" sheetId="37" r:id="rId26"/>
  </sheets>
  <functionGroups builtInGroupCount="19"/>
  <definedNames>
    <definedName name="_xlnm._FilterDatabase" localSheetId="16" hidden="1">Inf_NOPagados!$A$3:$E$191</definedName>
    <definedName name="_xlnm._FilterDatabase" localSheetId="24" hidden="1">'Materiales e Insumos'!$J$3:$M$61</definedName>
    <definedName name="_xlcn.WorksheetConnection_CursoMedio2025_06.xlsmT_Asignado1" hidden="1">T_Asignado[]</definedName>
    <definedName name="_xlcn.WorksheetConnection_CursoMedio2025_06.xlsmT_Avisado1" hidden="1">T_Avisado[]</definedName>
    <definedName name="_xlcn.WorksheetConnection_CursoMedio2025_06.xlsmT_Cama1" hidden="1">T_Cama[]</definedName>
    <definedName name="_xlcn.WorksheetConnection_CursoMedio2025_06.xlsmT_Cargo1" hidden="1">T_Cargo[]</definedName>
    <definedName name="_xlcn.WorksheetConnection_CursoMedio2025_06.xlsmT_Cuenta1" hidden="1">T_Cuenta[]</definedName>
    <definedName name="_xlcn.WorksheetConnection_CursoMedio2025_06.xlsmT_Cuotas1" hidden="1">T_Cuotas[]</definedName>
    <definedName name="_xlcn.WorksheetConnection_CursoMedio2025_06.xlsmT_Estado1" hidden="1">T_Estado[]</definedName>
    <definedName name="_xlcn.WorksheetConnection_CursoMedio2025_06.xlsmT_Rol1" hidden="1">T_Rol[]</definedName>
    <definedName name="_xlcn.WorksheetConnection_CursoMedio2025_06.xlsmT_TipoDocto1" hidden="1">T_TipoDocto[]</definedName>
    <definedName name="_xlcn.WorksheetConnection_CursoMedio2025_06.xlsmT_TipoRendicion1" hidden="1">T_TipoRendicion[]</definedName>
    <definedName name="_xlcn.WorksheetConnection_CursoMedio2025_06.xlsmT_Transporte1" hidden="1">T_Transporte[]</definedName>
    <definedName name="_xlcn.WorksheetConnection_CursoMedio2025_06.xlsmT_Voluntarios1" hidden="1">T_Voluntarios[]</definedName>
    <definedName name="_xleta.IF" hidden="1" xlm="1">#NAME?</definedName>
    <definedName name="_xleta.PROPER" hidden="1" xlm="1">#NAME?</definedName>
    <definedName name="CURSANTES">Presupuesto!$B$1</definedName>
    <definedName name="DatosExternos_1" localSheetId="1" hidden="1">BBDD_Formadores!$A$2:$S$65</definedName>
    <definedName name="DatosExternos_1" localSheetId="3" hidden="1">Tabla_Pagos!$A$1:$I$176</definedName>
    <definedName name="DatosExternos_4" localSheetId="2" hidden="1">BBDD!$A$2:$AK$209</definedName>
    <definedName name="FORMADORES">Presupuesto!$B$2</definedName>
    <definedName name="Lista_Asignado">T_Asignado[Asignado]</definedName>
    <definedName name="Lista_Avisado">T_Avisado[Avisado]</definedName>
    <definedName name="Lista_Cama">T_Cama[Cama]</definedName>
    <definedName name="Lista_Cargos">T_Cargo[Cargo]</definedName>
    <definedName name="Lista_Cuenta">T_Cuenta[Cuenta]</definedName>
    <definedName name="Lista_Estado">T_Estado[Estado]</definedName>
    <definedName name="Lista_Institucional">T_Institucional[INSTITUCIONAL]</definedName>
    <definedName name="Lista_Registro">T_Registro[Registro]</definedName>
    <definedName name="Lista_Transporte">T_Transporte[Transporte]</definedName>
    <definedName name="SegmentaciónDeDatos_AVISADO1">#N/A</definedName>
    <definedName name="SegmentaciónDeDatos_DISTRITO">#N/A</definedName>
    <definedName name="SegmentaciónDeDatos_ESTADO1">#N/A</definedName>
    <definedName name="SegmentaciónDeDatos_ROL1">#N/A</definedName>
  </definedNames>
  <calcPr calcId="191029"/>
  <pivotCaches>
    <pivotCache cacheId="348" r:id="rId27"/>
    <pivotCache cacheId="351" r:id="rId28"/>
    <pivotCache cacheId="357" r:id="rId29"/>
    <pivotCache cacheId="363" r:id="rId30"/>
    <pivotCache cacheId="396" r:id="rId31"/>
    <pivotCache cacheId="401" r:id="rId32"/>
  </pivotCaches>
  <extLst>
    <ext xmlns:x14="http://schemas.microsoft.com/office/spreadsheetml/2009/9/main" uri="{BBE1A952-AA13-448e-AADC-164F8A28A991}">
      <x14:slicerCaches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BBDD_Formadores_d7053a65-2354-45f5-9b7f-fe6d727c65ae" name="BBDD_Formadores" connection="Consulta - BBDD_Formadores"/>
          <x15:modelTable id="BBDD_ba1241d4-0dea-408d-9775-ed2f06b059fd" name="BBDD" connection="Consulta - BBDD"/>
          <x15:modelTable id="T_Voluntarios" name="T_Voluntarios" connection="WorksheetConnection_Curso Medio 2025_06.xlsm!T_Voluntarios"/>
          <x15:modelTable id="T_Transporte" name="T_Transporte" connection="WorksheetConnection_Curso Medio 2025_06.xlsm!T_Transporte"/>
          <x15:modelTable id="T_TipoRendicion" name="T_TipoRendicion" connection="WorksheetConnection_Curso Medio 2025_06.xlsm!T_TipoRendicion"/>
          <x15:modelTable id="T_TipoDocto" name="T_TipoDocto" connection="WorksheetConnection_Curso Medio 2025_06.xlsm!T_TipoDocto"/>
          <x15:modelTable id="T_Rol" name="T_Rol" connection="WorksheetConnection_Curso Medio 2025_06.xlsm!T_Rol"/>
          <x15:modelTable id="T_Estado" name="T_Estado" connection="WorksheetConnection_Curso Medio 2025_06.xlsm!T_Estado"/>
          <x15:modelTable id="T_Cuotas" name="T_Cuotas" connection="WorksheetConnection_Curso Medio 2025_06.xlsm!T_Cuotas"/>
          <x15:modelTable id="T_Cuenta" name="T_Cuenta" connection="WorksheetConnection_Curso Medio 2025_06.xlsm!T_Cuenta"/>
          <x15:modelTable id="T_Cargo" name="T_Cargo" connection="WorksheetConnection_Curso Medio 2025_06.xlsm!T_Cargo"/>
          <x15:modelTable id="T_Cama" name="T_Cama" connection="WorksheetConnection_Curso Medio 2025_06.xlsm!T_Cama"/>
          <x15:modelTable id="T_Avisado" name="T_Avisado" connection="WorksheetConnection_Curso Medio 2025_06.xlsm!T_Avisado"/>
          <x15:modelTable id="T_Asignado" name="T_Asignado" connection="WorksheetConnection_Curso Medio 2025_06.xlsm!T_Asignado"/>
        </x15:modelTables>
        <x15:modelRelationships>
          <x15:modelRelationship fromTable="T_Cuotas" fromColumn="RUN" toTable="T_Voluntarios" toColumn="RU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0" i="36" l="1"/>
  <c r="Q41" i="36"/>
  <c r="Q42" i="36"/>
  <c r="Q43" i="36"/>
  <c r="Q44" i="36"/>
  <c r="Q45" i="36"/>
  <c r="Q46" i="36"/>
  <c r="Q47" i="36"/>
  <c r="Q39" i="36"/>
  <c r="AZ1" i="4"/>
  <c r="J4" i="31"/>
  <c r="J9" i="31"/>
  <c r="J10" i="31"/>
  <c r="J11" i="31"/>
  <c r="J12" i="31"/>
  <c r="J13" i="31"/>
  <c r="J14" i="31"/>
  <c r="J15" i="31"/>
  <c r="J16" i="31"/>
  <c r="J17" i="31"/>
  <c r="J18" i="31"/>
  <c r="J19" i="31"/>
  <c r="J20" i="31"/>
  <c r="J21" i="31"/>
  <c r="J22" i="31"/>
  <c r="J23" i="31"/>
  <c r="J24" i="31"/>
  <c r="J25" i="31"/>
  <c r="J26" i="31"/>
  <c r="J27" i="31"/>
  <c r="J28" i="31"/>
  <c r="J8" i="31"/>
  <c r="C6" i="8"/>
  <c r="D6" i="8"/>
  <c r="E6" i="8"/>
  <c r="C7" i="8"/>
  <c r="D7" i="8"/>
  <c r="E7" i="8"/>
  <c r="C8" i="8"/>
  <c r="D8" i="8"/>
  <c r="E8" i="8"/>
  <c r="C9" i="8"/>
  <c r="D9" i="8"/>
  <c r="E9" i="8"/>
  <c r="C10" i="8"/>
  <c r="D10" i="8"/>
  <c r="E10" i="8"/>
  <c r="C11" i="8"/>
  <c r="D11" i="8"/>
  <c r="E11" i="8"/>
  <c r="C12" i="8"/>
  <c r="D12" i="8"/>
  <c r="E12" i="8"/>
  <c r="C13" i="8"/>
  <c r="D13" i="8"/>
  <c r="E13" i="8"/>
  <c r="C14" i="8"/>
  <c r="D14" i="8"/>
  <c r="E14" i="8"/>
  <c r="C15" i="8"/>
  <c r="D15" i="8"/>
  <c r="E15" i="8"/>
  <c r="C16" i="8"/>
  <c r="D16" i="8"/>
  <c r="E16" i="8"/>
  <c r="C17" i="8"/>
  <c r="D17" i="8"/>
  <c r="E17" i="8"/>
  <c r="C18" i="8"/>
  <c r="D18" i="8"/>
  <c r="E18" i="8"/>
  <c r="C19" i="8"/>
  <c r="D19" i="8"/>
  <c r="E19" i="8"/>
  <c r="C20" i="8"/>
  <c r="D20" i="8"/>
  <c r="E20" i="8"/>
  <c r="C21" i="8"/>
  <c r="D21" i="8"/>
  <c r="E21" i="8"/>
  <c r="C22" i="8"/>
  <c r="D22" i="8"/>
  <c r="E22" i="8"/>
  <c r="C23" i="8"/>
  <c r="D23" i="8"/>
  <c r="E23" i="8"/>
  <c r="C24" i="8"/>
  <c r="D24" i="8"/>
  <c r="E24" i="8"/>
  <c r="C25" i="8"/>
  <c r="D25" i="8"/>
  <c r="E25" i="8"/>
  <c r="C26" i="8"/>
  <c r="D26" i="8"/>
  <c r="E26" i="8"/>
  <c r="C27" i="8"/>
  <c r="D27" i="8"/>
  <c r="E27" i="8"/>
  <c r="C28" i="8"/>
  <c r="D28" i="8"/>
  <c r="E28" i="8"/>
  <c r="C29" i="8"/>
  <c r="D29" i="8"/>
  <c r="E29" i="8"/>
  <c r="C30" i="8"/>
  <c r="D30" i="8"/>
  <c r="E30" i="8"/>
  <c r="C31" i="8"/>
  <c r="D31" i="8"/>
  <c r="E31" i="8"/>
  <c r="C32" i="8"/>
  <c r="D32" i="8"/>
  <c r="E32" i="8"/>
  <c r="C33" i="8"/>
  <c r="D33" i="8"/>
  <c r="E33" i="8"/>
  <c r="C34" i="8"/>
  <c r="D34" i="8"/>
  <c r="E34" i="8"/>
  <c r="C35" i="8"/>
  <c r="D35" i="8"/>
  <c r="E35" i="8"/>
  <c r="C36" i="8"/>
  <c r="D36" i="8"/>
  <c r="E36" i="8"/>
  <c r="C37" i="8"/>
  <c r="D37" i="8"/>
  <c r="E37" i="8"/>
  <c r="C38" i="8"/>
  <c r="D38" i="8"/>
  <c r="E38" i="8"/>
  <c r="C39" i="8"/>
  <c r="D39" i="8"/>
  <c r="E39" i="8"/>
  <c r="C40" i="8"/>
  <c r="D40" i="8"/>
  <c r="E40" i="8"/>
  <c r="C41" i="8"/>
  <c r="D41" i="8"/>
  <c r="E41" i="8"/>
  <c r="C42" i="8"/>
  <c r="D42" i="8"/>
  <c r="E42" i="8"/>
  <c r="C43" i="8"/>
  <c r="D43" i="8"/>
  <c r="E43" i="8"/>
  <c r="C44" i="8"/>
  <c r="D44" i="8"/>
  <c r="E44" i="8"/>
  <c r="C45" i="8"/>
  <c r="D45" i="8"/>
  <c r="E45" i="8"/>
  <c r="C46" i="8"/>
  <c r="D46" i="8"/>
  <c r="E46" i="8"/>
  <c r="C47" i="8"/>
  <c r="D47" i="8"/>
  <c r="E47" i="8"/>
  <c r="C48" i="8"/>
  <c r="D48" i="8"/>
  <c r="E48" i="8"/>
  <c r="C49" i="8"/>
  <c r="D49" i="8"/>
  <c r="E49" i="8"/>
  <c r="C50" i="8"/>
  <c r="D50" i="8"/>
  <c r="E50" i="8"/>
  <c r="C51" i="8"/>
  <c r="D51" i="8"/>
  <c r="E51" i="8"/>
  <c r="C52" i="8"/>
  <c r="D52" i="8"/>
  <c r="E52" i="8"/>
  <c r="C53" i="8"/>
  <c r="D53" i="8"/>
  <c r="E53" i="8"/>
  <c r="C54" i="8"/>
  <c r="D54" i="8"/>
  <c r="E54" i="8"/>
  <c r="C55" i="8"/>
  <c r="D55" i="8"/>
  <c r="E55" i="8"/>
  <c r="C56" i="8"/>
  <c r="D56" i="8"/>
  <c r="E56" i="8"/>
  <c r="C57" i="8"/>
  <c r="D57" i="8"/>
  <c r="E57" i="8"/>
  <c r="C58" i="8"/>
  <c r="D58" i="8"/>
  <c r="E58" i="8"/>
  <c r="C59" i="8"/>
  <c r="D59" i="8"/>
  <c r="E59" i="8"/>
  <c r="C60" i="8"/>
  <c r="D60" i="8"/>
  <c r="E60" i="8"/>
  <c r="C61" i="8"/>
  <c r="D61" i="8"/>
  <c r="E61" i="8"/>
  <c r="C62" i="8"/>
  <c r="D62" i="8"/>
  <c r="E62" i="8"/>
  <c r="C63" i="8"/>
  <c r="D63" i="8"/>
  <c r="E63" i="8"/>
  <c r="C64" i="8"/>
  <c r="D64" i="8"/>
  <c r="E64" i="8"/>
  <c r="C65" i="8"/>
  <c r="D65" i="8"/>
  <c r="E65" i="8"/>
  <c r="C66" i="8"/>
  <c r="D66" i="8"/>
  <c r="E66" i="8"/>
  <c r="C67" i="8"/>
  <c r="D67" i="8"/>
  <c r="E67" i="8"/>
  <c r="C68" i="8"/>
  <c r="D68" i="8"/>
  <c r="E68" i="8"/>
  <c r="C69" i="8"/>
  <c r="D69" i="8"/>
  <c r="E69" i="8"/>
  <c r="C70" i="8"/>
  <c r="D70" i="8"/>
  <c r="E70" i="8"/>
  <c r="C71" i="8"/>
  <c r="D71" i="8"/>
  <c r="E71" i="8"/>
  <c r="C72" i="8"/>
  <c r="D72" i="8"/>
  <c r="E72" i="8"/>
  <c r="C73" i="8"/>
  <c r="D73" i="8"/>
  <c r="E73" i="8"/>
  <c r="C74" i="8"/>
  <c r="D74" i="8"/>
  <c r="E74" i="8"/>
  <c r="C75" i="8"/>
  <c r="D75" i="8"/>
  <c r="E75" i="8"/>
  <c r="C76" i="8"/>
  <c r="D76" i="8"/>
  <c r="E76" i="8"/>
  <c r="C77" i="8"/>
  <c r="D77" i="8"/>
  <c r="E77" i="8"/>
  <c r="C78" i="8"/>
  <c r="D78" i="8"/>
  <c r="E78" i="8"/>
  <c r="C79" i="8"/>
  <c r="D79" i="8"/>
  <c r="E79" i="8"/>
  <c r="C80" i="8"/>
  <c r="D80" i="8"/>
  <c r="E80" i="8"/>
  <c r="C81" i="8"/>
  <c r="D81" i="8"/>
  <c r="E81" i="8"/>
  <c r="C82" i="8"/>
  <c r="D82" i="8"/>
  <c r="E82" i="8"/>
  <c r="C83" i="8"/>
  <c r="D83" i="8"/>
  <c r="E83" i="8"/>
  <c r="C84" i="8"/>
  <c r="D84" i="8"/>
  <c r="E84" i="8"/>
  <c r="C85" i="8"/>
  <c r="D85" i="8"/>
  <c r="E85" i="8"/>
  <c r="C86" i="8"/>
  <c r="D86" i="8"/>
  <c r="E86" i="8"/>
  <c r="C87" i="8"/>
  <c r="D87" i="8"/>
  <c r="E87" i="8"/>
  <c r="C88" i="8"/>
  <c r="D88" i="8"/>
  <c r="E88" i="8"/>
  <c r="C89" i="8"/>
  <c r="D89" i="8"/>
  <c r="E89" i="8"/>
  <c r="C90" i="8"/>
  <c r="D90" i="8"/>
  <c r="E90" i="8"/>
  <c r="C91" i="8"/>
  <c r="D91" i="8"/>
  <c r="E91" i="8"/>
  <c r="C92" i="8"/>
  <c r="D92" i="8"/>
  <c r="E92" i="8"/>
  <c r="C93" i="8"/>
  <c r="D93" i="8"/>
  <c r="E93" i="8"/>
  <c r="C94" i="8"/>
  <c r="D94" i="8"/>
  <c r="E94" i="8"/>
  <c r="C95" i="8"/>
  <c r="D95" i="8"/>
  <c r="E95" i="8"/>
  <c r="C96" i="8"/>
  <c r="D96" i="8"/>
  <c r="E96" i="8"/>
  <c r="C97" i="8"/>
  <c r="D97" i="8"/>
  <c r="E97" i="8"/>
  <c r="C98" i="8"/>
  <c r="D98" i="8"/>
  <c r="E98" i="8"/>
  <c r="C99" i="8"/>
  <c r="D99" i="8"/>
  <c r="E99" i="8"/>
  <c r="C100" i="8"/>
  <c r="D100" i="8"/>
  <c r="E100" i="8"/>
  <c r="C101" i="8"/>
  <c r="D101" i="8"/>
  <c r="E101" i="8"/>
  <c r="C102" i="8"/>
  <c r="D102" i="8"/>
  <c r="E102" i="8"/>
  <c r="C103" i="8"/>
  <c r="D103" i="8"/>
  <c r="E103" i="8"/>
  <c r="C104" i="8"/>
  <c r="D104" i="8"/>
  <c r="E104" i="8"/>
  <c r="C105" i="8"/>
  <c r="D105" i="8"/>
  <c r="E105" i="8"/>
  <c r="C106" i="8"/>
  <c r="D106" i="8"/>
  <c r="E106" i="8"/>
  <c r="C107" i="8"/>
  <c r="D107" i="8"/>
  <c r="E107" i="8"/>
  <c r="C108" i="8"/>
  <c r="D108" i="8"/>
  <c r="E108" i="8"/>
  <c r="C109" i="8"/>
  <c r="D109" i="8"/>
  <c r="E109" i="8"/>
  <c r="C110" i="8"/>
  <c r="D110" i="8"/>
  <c r="E110" i="8"/>
  <c r="C111" i="8"/>
  <c r="D111" i="8"/>
  <c r="E111" i="8"/>
  <c r="C112" i="8"/>
  <c r="D112" i="8"/>
  <c r="E112" i="8"/>
  <c r="C113" i="8"/>
  <c r="D113" i="8"/>
  <c r="E113" i="8"/>
  <c r="C114" i="8"/>
  <c r="D114" i="8"/>
  <c r="E114" i="8"/>
  <c r="C115" i="8"/>
  <c r="D115" i="8"/>
  <c r="E115" i="8"/>
  <c r="C116" i="8"/>
  <c r="D116" i="8"/>
  <c r="E116" i="8"/>
  <c r="C117" i="8"/>
  <c r="D117" i="8"/>
  <c r="E117" i="8"/>
  <c r="C118" i="8"/>
  <c r="D118" i="8"/>
  <c r="E118" i="8"/>
  <c r="C119" i="8"/>
  <c r="D119" i="8"/>
  <c r="E119" i="8"/>
  <c r="C120" i="8"/>
  <c r="D120" i="8"/>
  <c r="E120" i="8"/>
  <c r="C121" i="8"/>
  <c r="D121" i="8"/>
  <c r="E121" i="8"/>
  <c r="C122" i="8"/>
  <c r="D122" i="8"/>
  <c r="E122" i="8"/>
  <c r="C123" i="8"/>
  <c r="D123" i="8"/>
  <c r="E123" i="8"/>
  <c r="C124" i="8"/>
  <c r="D124" i="8"/>
  <c r="E124" i="8"/>
  <c r="C125" i="8"/>
  <c r="D125" i="8"/>
  <c r="E125" i="8"/>
  <c r="C126" i="8"/>
  <c r="D126" i="8"/>
  <c r="E126" i="8"/>
  <c r="C127" i="8"/>
  <c r="D127" i="8"/>
  <c r="E127" i="8"/>
  <c r="C128" i="8"/>
  <c r="D128" i="8"/>
  <c r="E128" i="8"/>
  <c r="C129" i="8"/>
  <c r="D129" i="8"/>
  <c r="E129" i="8"/>
  <c r="C130" i="8"/>
  <c r="D130" i="8"/>
  <c r="E130" i="8"/>
  <c r="C131" i="8"/>
  <c r="D131" i="8"/>
  <c r="E131" i="8"/>
  <c r="C132" i="8"/>
  <c r="D132" i="8"/>
  <c r="E132" i="8"/>
  <c r="C133" i="8"/>
  <c r="D133" i="8"/>
  <c r="E133" i="8"/>
  <c r="C134" i="8"/>
  <c r="D134" i="8"/>
  <c r="E134" i="8"/>
  <c r="C135" i="8"/>
  <c r="D135" i="8"/>
  <c r="E135" i="8"/>
  <c r="C136" i="8"/>
  <c r="D136" i="8"/>
  <c r="E136" i="8"/>
  <c r="C137" i="8"/>
  <c r="D137" i="8"/>
  <c r="E137" i="8"/>
  <c r="C138" i="8"/>
  <c r="D138" i="8"/>
  <c r="E138" i="8"/>
  <c r="C139" i="8"/>
  <c r="D139" i="8"/>
  <c r="E139" i="8"/>
  <c r="C140" i="8"/>
  <c r="D140" i="8"/>
  <c r="E140" i="8"/>
  <c r="C141" i="8"/>
  <c r="D141" i="8"/>
  <c r="E141" i="8"/>
  <c r="C142" i="8"/>
  <c r="D142" i="8"/>
  <c r="E142" i="8"/>
  <c r="C143" i="8"/>
  <c r="D143" i="8"/>
  <c r="E143" i="8"/>
  <c r="C144" i="8"/>
  <c r="D144" i="8"/>
  <c r="E144" i="8"/>
  <c r="C145" i="8"/>
  <c r="D145" i="8"/>
  <c r="E145" i="8"/>
  <c r="C146" i="8"/>
  <c r="D146" i="8"/>
  <c r="E146" i="8"/>
  <c r="C147" i="8"/>
  <c r="D147" i="8"/>
  <c r="E147" i="8"/>
  <c r="C148" i="8"/>
  <c r="D148" i="8"/>
  <c r="E148" i="8"/>
  <c r="C149" i="8"/>
  <c r="D149" i="8"/>
  <c r="E149" i="8"/>
  <c r="C150" i="8"/>
  <c r="D150" i="8"/>
  <c r="E150" i="8"/>
  <c r="C151" i="8"/>
  <c r="D151" i="8"/>
  <c r="E151" i="8"/>
  <c r="C152" i="8"/>
  <c r="D152" i="8"/>
  <c r="E152" i="8"/>
  <c r="C153" i="8"/>
  <c r="D153" i="8"/>
  <c r="E153" i="8"/>
  <c r="C154" i="8"/>
  <c r="D154" i="8"/>
  <c r="E154" i="8"/>
  <c r="C155" i="8"/>
  <c r="D155" i="8"/>
  <c r="E155" i="8"/>
  <c r="C156" i="8"/>
  <c r="D156" i="8"/>
  <c r="E156" i="8"/>
  <c r="C157" i="8"/>
  <c r="D157" i="8"/>
  <c r="E157" i="8"/>
  <c r="C158" i="8"/>
  <c r="D158" i="8"/>
  <c r="E158" i="8"/>
  <c r="C159" i="8"/>
  <c r="D159" i="8"/>
  <c r="E159" i="8"/>
  <c r="C160" i="8"/>
  <c r="D160" i="8"/>
  <c r="E160" i="8"/>
  <c r="C161" i="8"/>
  <c r="D161" i="8"/>
  <c r="E161" i="8"/>
  <c r="C162" i="8"/>
  <c r="D162" i="8"/>
  <c r="E162" i="8"/>
  <c r="C163" i="8"/>
  <c r="D163" i="8"/>
  <c r="E163" i="8"/>
  <c r="C164" i="8"/>
  <c r="D164" i="8"/>
  <c r="E164" i="8"/>
  <c r="C165" i="8"/>
  <c r="D165" i="8"/>
  <c r="E165" i="8"/>
  <c r="C166" i="8"/>
  <c r="D166" i="8"/>
  <c r="E166" i="8"/>
  <c r="C167" i="8"/>
  <c r="D167" i="8"/>
  <c r="E167" i="8"/>
  <c r="C168" i="8"/>
  <c r="D168" i="8"/>
  <c r="E168" i="8"/>
  <c r="C169" i="8"/>
  <c r="D169" i="8"/>
  <c r="E169" i="8"/>
  <c r="C170" i="8"/>
  <c r="D170" i="8"/>
  <c r="E170" i="8"/>
  <c r="C171" i="8"/>
  <c r="D171" i="8"/>
  <c r="E171" i="8"/>
  <c r="C172" i="8"/>
  <c r="D172" i="8"/>
  <c r="E172" i="8"/>
  <c r="C173" i="8"/>
  <c r="D173" i="8"/>
  <c r="E173" i="8"/>
  <c r="C174" i="8"/>
  <c r="D174" i="8"/>
  <c r="E174" i="8"/>
  <c r="E5" i="8"/>
  <c r="D5" i="8"/>
  <c r="C5" i="8"/>
  <c r="AJ209" i="4"/>
  <c r="AJ208" i="4"/>
  <c r="AJ207" i="4"/>
  <c r="AJ206" i="4"/>
  <c r="AJ205" i="4"/>
  <c r="AJ204" i="4"/>
  <c r="AJ203" i="4"/>
  <c r="AJ202" i="4"/>
  <c r="AJ201" i="4"/>
  <c r="AJ200" i="4"/>
  <c r="AJ199" i="4"/>
  <c r="AJ198" i="4"/>
  <c r="AJ197" i="4"/>
  <c r="AJ196" i="4"/>
  <c r="AJ195" i="4"/>
  <c r="AJ194" i="4"/>
  <c r="AJ193" i="4"/>
  <c r="AJ192" i="4"/>
  <c r="AJ191" i="4"/>
  <c r="AJ190" i="4"/>
  <c r="AJ189" i="4"/>
  <c r="AJ188" i="4"/>
  <c r="AJ187" i="4"/>
  <c r="AJ186" i="4"/>
  <c r="AJ185" i="4"/>
  <c r="AJ184" i="4"/>
  <c r="AJ183" i="4"/>
  <c r="AJ182" i="4"/>
  <c r="AJ181" i="4"/>
  <c r="AJ180" i="4"/>
  <c r="AJ179" i="4"/>
  <c r="AJ178" i="4"/>
  <c r="AJ177" i="4"/>
  <c r="AJ176" i="4"/>
  <c r="AJ175" i="4"/>
  <c r="AJ174" i="4"/>
  <c r="AJ173" i="4"/>
  <c r="AJ172" i="4"/>
  <c r="AJ171" i="4"/>
  <c r="AJ170" i="4"/>
  <c r="AJ169" i="4"/>
  <c r="AJ168" i="4"/>
  <c r="AJ167" i="4"/>
  <c r="AJ166" i="4"/>
  <c r="AJ165" i="4"/>
  <c r="AJ164" i="4"/>
  <c r="AJ163" i="4"/>
  <c r="AJ162" i="4"/>
  <c r="AJ161" i="4"/>
  <c r="AJ160" i="4"/>
  <c r="AJ159" i="4"/>
  <c r="AJ158" i="4"/>
  <c r="AJ157" i="4"/>
  <c r="AJ156" i="4"/>
  <c r="AJ155" i="4"/>
  <c r="AJ154" i="4"/>
  <c r="AJ153" i="4"/>
  <c r="AJ152" i="4"/>
  <c r="AJ151" i="4"/>
  <c r="AJ150" i="4"/>
  <c r="AJ149" i="4"/>
  <c r="AJ148" i="4"/>
  <c r="AJ147" i="4"/>
  <c r="AJ146" i="4"/>
  <c r="AJ145" i="4"/>
  <c r="AJ144" i="4"/>
  <c r="AJ143" i="4"/>
  <c r="AJ142" i="4"/>
  <c r="AJ141" i="4"/>
  <c r="AJ140" i="4"/>
  <c r="AJ139" i="4"/>
  <c r="AJ138" i="4"/>
  <c r="AJ137" i="4"/>
  <c r="AJ136" i="4"/>
  <c r="AJ135" i="4"/>
  <c r="AJ134" i="4"/>
  <c r="AJ133" i="4"/>
  <c r="AJ132" i="4"/>
  <c r="AJ131" i="4"/>
  <c r="AJ130" i="4"/>
  <c r="AJ129" i="4"/>
  <c r="AJ128" i="4"/>
  <c r="AJ127" i="4"/>
  <c r="AJ126" i="4"/>
  <c r="AJ125" i="4"/>
  <c r="AJ124" i="4"/>
  <c r="AJ123" i="4"/>
  <c r="AJ122" i="4"/>
  <c r="AJ121" i="4"/>
  <c r="AJ120" i="4"/>
  <c r="AJ119" i="4"/>
  <c r="AJ118" i="4"/>
  <c r="AJ117" i="4"/>
  <c r="AJ116" i="4"/>
  <c r="AJ115" i="4"/>
  <c r="AJ114" i="4"/>
  <c r="AJ113" i="4"/>
  <c r="AJ112" i="4"/>
  <c r="AJ111" i="4"/>
  <c r="AJ110" i="4"/>
  <c r="AJ109" i="4"/>
  <c r="AJ108" i="4"/>
  <c r="AJ107" i="4"/>
  <c r="AJ106" i="4"/>
  <c r="AJ105" i="4"/>
  <c r="AJ104" i="4"/>
  <c r="AJ103" i="4"/>
  <c r="AJ102" i="4"/>
  <c r="AJ101" i="4"/>
  <c r="AJ100" i="4"/>
  <c r="AJ99" i="4"/>
  <c r="AJ98" i="4"/>
  <c r="AJ97" i="4"/>
  <c r="AJ96" i="4"/>
  <c r="AJ95" i="4"/>
  <c r="AJ94" i="4"/>
  <c r="AJ93" i="4"/>
  <c r="AJ92" i="4"/>
  <c r="AJ91" i="4"/>
  <c r="AJ90" i="4"/>
  <c r="AJ89" i="4"/>
  <c r="AJ88" i="4"/>
  <c r="AJ87" i="4"/>
  <c r="AJ86" i="4"/>
  <c r="AJ85" i="4"/>
  <c r="AJ84" i="4"/>
  <c r="AJ83" i="4"/>
  <c r="AJ82" i="4"/>
  <c r="AJ81" i="4"/>
  <c r="AJ80" i="4"/>
  <c r="AJ79" i="4"/>
  <c r="AJ78" i="4"/>
  <c r="AJ77" i="4"/>
  <c r="AJ76" i="4"/>
  <c r="AJ75" i="4"/>
  <c r="AJ74" i="4"/>
  <c r="AJ73" i="4"/>
  <c r="AJ72" i="4"/>
  <c r="AJ71" i="4"/>
  <c r="AJ70" i="4"/>
  <c r="AJ69" i="4"/>
  <c r="AJ68" i="4"/>
  <c r="AJ67" i="4"/>
  <c r="AJ66" i="4"/>
  <c r="AJ65" i="4"/>
  <c r="AJ64" i="4"/>
  <c r="AJ63" i="4"/>
  <c r="AJ62" i="4"/>
  <c r="AJ61" i="4"/>
  <c r="AJ60" i="4"/>
  <c r="AJ59" i="4"/>
  <c r="AJ58" i="4"/>
  <c r="AJ57" i="4"/>
  <c r="AJ56" i="4"/>
  <c r="AJ55" i="4"/>
  <c r="AJ54" i="4"/>
  <c r="AJ53" i="4"/>
  <c r="AJ52" i="4"/>
  <c r="AJ51" i="4"/>
  <c r="AJ50" i="4"/>
  <c r="AJ49" i="4"/>
  <c r="AJ48" i="4"/>
  <c r="AJ47" i="4"/>
  <c r="AJ46" i="4"/>
  <c r="AJ45" i="4"/>
  <c r="AJ44" i="4"/>
  <c r="AJ43" i="4"/>
  <c r="AJ42" i="4"/>
  <c r="AJ41" i="4"/>
  <c r="AJ40" i="4"/>
  <c r="AJ39" i="4"/>
  <c r="AJ38" i="4"/>
  <c r="AJ37" i="4"/>
  <c r="AJ36" i="4"/>
  <c r="AJ35" i="4"/>
  <c r="AJ34" i="4"/>
  <c r="AJ33" i="4"/>
  <c r="AJ32" i="4"/>
  <c r="AJ31" i="4"/>
  <c r="AJ30" i="4"/>
  <c r="AJ29" i="4"/>
  <c r="AJ28" i="4"/>
  <c r="AJ27" i="4"/>
  <c r="AJ26" i="4"/>
  <c r="AJ25" i="4"/>
  <c r="AJ24" i="4"/>
  <c r="AJ23" i="4"/>
  <c r="AJ22" i="4"/>
  <c r="AJ21" i="4"/>
  <c r="AJ20" i="4"/>
  <c r="AJ19" i="4"/>
  <c r="AJ18" i="4"/>
  <c r="AJ17" i="4"/>
  <c r="AJ16" i="4"/>
  <c r="AJ15" i="4"/>
  <c r="AJ14" i="4"/>
  <c r="AJ13" i="4"/>
  <c r="AJ12" i="4"/>
  <c r="AJ11" i="4"/>
  <c r="AJ10" i="4"/>
  <c r="AJ9" i="4"/>
  <c r="AJ8" i="4"/>
  <c r="AJ7" i="4"/>
  <c r="AJ6" i="4"/>
  <c r="AJ5" i="4"/>
  <c r="AJ4" i="4"/>
  <c r="AJ3" i="4"/>
  <c r="G174" i="8"/>
  <c r="L174" i="8"/>
  <c r="G173" i="8"/>
  <c r="L173" i="8"/>
  <c r="B209" i="4"/>
  <c r="H173" i="8" s="1"/>
  <c r="C209" i="4"/>
  <c r="B173" i="8" s="1"/>
  <c r="D209" i="4"/>
  <c r="E209" i="4"/>
  <c r="F209" i="4"/>
  <c r="G209" i="4"/>
  <c r="H209" i="4"/>
  <c r="J173" i="8" s="1"/>
  <c r="I209" i="4"/>
  <c r="D142" i="38" s="1"/>
  <c r="J209" i="4"/>
  <c r="K173" i="8" s="1"/>
  <c r="K209" i="4"/>
  <c r="F142" i="38" s="1"/>
  <c r="L209" i="4"/>
  <c r="M209" i="4"/>
  <c r="M173" i="8" s="1"/>
  <c r="N209" i="4"/>
  <c r="O209" i="4"/>
  <c r="P209" i="4"/>
  <c r="Q209" i="4"/>
  <c r="R209" i="4"/>
  <c r="S209" i="4"/>
  <c r="T209" i="4"/>
  <c r="U209" i="4"/>
  <c r="V209" i="4"/>
  <c r="X209" i="4"/>
  <c r="Y209" i="4"/>
  <c r="Z209" i="4"/>
  <c r="AA209" i="4"/>
  <c r="AF209" i="4"/>
  <c r="AG209" i="4"/>
  <c r="AH209" i="4"/>
  <c r="AI209" i="4"/>
  <c r="AQ209" i="4"/>
  <c r="AR209" i="4"/>
  <c r="AS209" i="4"/>
  <c r="AT209" i="4"/>
  <c r="AU209" i="4"/>
  <c r="AV209" i="4"/>
  <c r="AW209" i="4"/>
  <c r="AY209" i="4"/>
  <c r="F123" i="36"/>
  <c r="F124" i="36"/>
  <c r="F118" i="36"/>
  <c r="F119" i="36"/>
  <c r="F120" i="36"/>
  <c r="F121" i="36"/>
  <c r="F122" i="36"/>
  <c r="F125" i="36"/>
  <c r="F126" i="36"/>
  <c r="F127" i="36"/>
  <c r="F128" i="36"/>
  <c r="F129" i="36"/>
  <c r="F130" i="36"/>
  <c r="F117" i="36"/>
  <c r="F3" i="36"/>
  <c r="F4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4" i="36"/>
  <c r="F25" i="36"/>
  <c r="F26" i="36"/>
  <c r="F27" i="36"/>
  <c r="F28" i="36"/>
  <c r="F29" i="36"/>
  <c r="F30" i="36"/>
  <c r="F31" i="36"/>
  <c r="F32" i="36"/>
  <c r="F33" i="36"/>
  <c r="F34" i="36"/>
  <c r="F35" i="36"/>
  <c r="F36" i="36"/>
  <c r="F37" i="36"/>
  <c r="F38" i="36"/>
  <c r="F39" i="36"/>
  <c r="F40" i="36"/>
  <c r="F41" i="36"/>
  <c r="F42" i="36"/>
  <c r="F43" i="36"/>
  <c r="F44" i="36"/>
  <c r="F45" i="36"/>
  <c r="F46" i="36"/>
  <c r="F47" i="36"/>
  <c r="F48" i="36"/>
  <c r="F49" i="36"/>
  <c r="F50" i="36"/>
  <c r="F51" i="36"/>
  <c r="F52" i="36"/>
  <c r="F53" i="36"/>
  <c r="F54" i="36"/>
  <c r="F55" i="36"/>
  <c r="F56" i="36"/>
  <c r="F57" i="36"/>
  <c r="F58" i="36"/>
  <c r="F59" i="36"/>
  <c r="F60" i="36"/>
  <c r="F61" i="36"/>
  <c r="F62" i="36"/>
  <c r="F63" i="36"/>
  <c r="F64" i="36"/>
  <c r="F65" i="36"/>
  <c r="F66" i="36"/>
  <c r="F67" i="36"/>
  <c r="F68" i="36"/>
  <c r="F69" i="36"/>
  <c r="F70" i="36"/>
  <c r="F71" i="36"/>
  <c r="F72" i="36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86" i="36"/>
  <c r="F87" i="36"/>
  <c r="F88" i="36"/>
  <c r="F89" i="36"/>
  <c r="F90" i="36"/>
  <c r="F91" i="36"/>
  <c r="F92" i="36"/>
  <c r="F93" i="36"/>
  <c r="F94" i="36"/>
  <c r="F95" i="36"/>
  <c r="F96" i="36"/>
  <c r="F97" i="36"/>
  <c r="F98" i="36"/>
  <c r="F99" i="36"/>
  <c r="F100" i="36"/>
  <c r="F101" i="36"/>
  <c r="F102" i="36"/>
  <c r="F103" i="36"/>
  <c r="F104" i="36"/>
  <c r="F105" i="36"/>
  <c r="F106" i="36"/>
  <c r="F107" i="36"/>
  <c r="F108" i="36"/>
  <c r="F109" i="36"/>
  <c r="F110" i="36"/>
  <c r="F111" i="36"/>
  <c r="F112" i="36"/>
  <c r="F113" i="36"/>
  <c r="F114" i="36"/>
  <c r="F115" i="36"/>
  <c r="F116" i="36"/>
  <c r="G172" i="8"/>
  <c r="L172" i="8"/>
  <c r="G171" i="8"/>
  <c r="L171" i="8"/>
  <c r="B208" i="4"/>
  <c r="AP208" i="4" s="1"/>
  <c r="C208" i="4"/>
  <c r="B172" i="8" s="1"/>
  <c r="D208" i="4"/>
  <c r="E208" i="4"/>
  <c r="F208" i="4"/>
  <c r="G208" i="4"/>
  <c r="H208" i="4"/>
  <c r="J172" i="8" s="1"/>
  <c r="I208" i="4"/>
  <c r="W208" i="4" s="1"/>
  <c r="J208" i="4"/>
  <c r="K172" i="8" s="1"/>
  <c r="K208" i="4"/>
  <c r="F141" i="38" s="1"/>
  <c r="L208" i="4"/>
  <c r="M208" i="4"/>
  <c r="M172" i="8" s="1"/>
  <c r="N208" i="4"/>
  <c r="O208" i="4"/>
  <c r="P208" i="4"/>
  <c r="Q208" i="4"/>
  <c r="R208" i="4"/>
  <c r="S208" i="4"/>
  <c r="T208" i="4"/>
  <c r="U208" i="4"/>
  <c r="V208" i="4"/>
  <c r="X208" i="4"/>
  <c r="Y208" i="4"/>
  <c r="Z208" i="4"/>
  <c r="AA208" i="4"/>
  <c r="AF208" i="4"/>
  <c r="AG208" i="4"/>
  <c r="AH208" i="4"/>
  <c r="AI208" i="4"/>
  <c r="AQ208" i="4"/>
  <c r="AR208" i="4"/>
  <c r="AS208" i="4"/>
  <c r="AT208" i="4"/>
  <c r="AU208" i="4"/>
  <c r="AV208" i="4"/>
  <c r="AW208" i="4"/>
  <c r="AY208" i="4"/>
  <c r="B206" i="10"/>
  <c r="B207" i="10"/>
  <c r="C206" i="10"/>
  <c r="C207" i="10"/>
  <c r="B207" i="4"/>
  <c r="AP207" i="4" s="1"/>
  <c r="C207" i="4"/>
  <c r="D207" i="4"/>
  <c r="E207" i="4"/>
  <c r="F207" i="4"/>
  <c r="G207" i="4"/>
  <c r="H207" i="4"/>
  <c r="I207" i="4"/>
  <c r="W207" i="4" s="1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X207" i="4"/>
  <c r="Y207" i="4"/>
  <c r="Z207" i="4"/>
  <c r="AA207" i="4"/>
  <c r="AF207" i="4"/>
  <c r="AG207" i="4"/>
  <c r="AH207" i="4"/>
  <c r="AI207" i="4"/>
  <c r="AQ207" i="4"/>
  <c r="AR207" i="4"/>
  <c r="AS207" i="4"/>
  <c r="AT207" i="4"/>
  <c r="AU207" i="4"/>
  <c r="AV207" i="4"/>
  <c r="AW207" i="4"/>
  <c r="AY207" i="4"/>
  <c r="B206" i="4"/>
  <c r="AP206" i="4" s="1"/>
  <c r="C206" i="4"/>
  <c r="B171" i="8" s="1"/>
  <c r="D206" i="4"/>
  <c r="E206" i="4"/>
  <c r="F206" i="4"/>
  <c r="G206" i="4"/>
  <c r="H206" i="4"/>
  <c r="J171" i="8" s="1"/>
  <c r="I206" i="4"/>
  <c r="W206" i="4" s="1"/>
  <c r="J206" i="4"/>
  <c r="K171" i="8" s="1"/>
  <c r="K206" i="4"/>
  <c r="F140" i="38" s="1"/>
  <c r="L206" i="4"/>
  <c r="M206" i="4"/>
  <c r="M171" i="8" s="1"/>
  <c r="N206" i="4"/>
  <c r="O206" i="4"/>
  <c r="P206" i="4"/>
  <c r="Q206" i="4"/>
  <c r="R206" i="4"/>
  <c r="S206" i="4"/>
  <c r="T206" i="4"/>
  <c r="U206" i="4"/>
  <c r="V206" i="4"/>
  <c r="X206" i="4"/>
  <c r="Y206" i="4"/>
  <c r="Z206" i="4"/>
  <c r="AA206" i="4"/>
  <c r="AF206" i="4"/>
  <c r="AG206" i="4"/>
  <c r="AH206" i="4"/>
  <c r="AI206" i="4"/>
  <c r="AQ206" i="4"/>
  <c r="AR206" i="4"/>
  <c r="AS206" i="4"/>
  <c r="AT206" i="4"/>
  <c r="AU206" i="4"/>
  <c r="AV206" i="4"/>
  <c r="AW206" i="4"/>
  <c r="AY206" i="4"/>
  <c r="B205" i="10"/>
  <c r="C205" i="10"/>
  <c r="K34" i="23"/>
  <c r="K32" i="23"/>
  <c r="K33" i="23"/>
  <c r="G170" i="8"/>
  <c r="L170" i="8"/>
  <c r="G169" i="8"/>
  <c r="L169" i="8"/>
  <c r="G168" i="8"/>
  <c r="L168" i="8"/>
  <c r="B205" i="4"/>
  <c r="H170" i="8" s="1"/>
  <c r="C205" i="4"/>
  <c r="B170" i="8" s="1"/>
  <c r="D205" i="4"/>
  <c r="E205" i="4"/>
  <c r="F205" i="4"/>
  <c r="G205" i="4"/>
  <c r="H205" i="4"/>
  <c r="J170" i="8" s="1"/>
  <c r="I205" i="4"/>
  <c r="W205" i="4" s="1"/>
  <c r="J205" i="4"/>
  <c r="K170" i="8" s="1"/>
  <c r="K205" i="4"/>
  <c r="F139" i="38" s="1"/>
  <c r="L205" i="4"/>
  <c r="M205" i="4"/>
  <c r="M170" i="8" s="1"/>
  <c r="N205" i="4"/>
  <c r="O205" i="4"/>
  <c r="P205" i="4"/>
  <c r="Q205" i="4"/>
  <c r="R205" i="4"/>
  <c r="S205" i="4"/>
  <c r="T205" i="4"/>
  <c r="U205" i="4"/>
  <c r="V205" i="4"/>
  <c r="X205" i="4"/>
  <c r="Y205" i="4"/>
  <c r="Z205" i="4"/>
  <c r="AA205" i="4"/>
  <c r="AF205" i="4"/>
  <c r="AG205" i="4"/>
  <c r="AH205" i="4"/>
  <c r="AI205" i="4"/>
  <c r="AQ205" i="4"/>
  <c r="AR205" i="4"/>
  <c r="AS205" i="4"/>
  <c r="AT205" i="4"/>
  <c r="AU205" i="4"/>
  <c r="AV205" i="4"/>
  <c r="AW205" i="4"/>
  <c r="AY205" i="4"/>
  <c r="B204" i="10"/>
  <c r="C204" i="10"/>
  <c r="B204" i="4"/>
  <c r="AP204" i="4" s="1"/>
  <c r="C204" i="4"/>
  <c r="B169" i="8" s="1"/>
  <c r="D204" i="4"/>
  <c r="E204" i="4"/>
  <c r="F204" i="4"/>
  <c r="G204" i="4"/>
  <c r="H204" i="4"/>
  <c r="J169" i="8" s="1"/>
  <c r="I204" i="4"/>
  <c r="D138" i="38" s="1"/>
  <c r="J204" i="4"/>
  <c r="K169" i="8" s="1"/>
  <c r="K204" i="4"/>
  <c r="F138" i="38" s="1"/>
  <c r="L204" i="4"/>
  <c r="M204" i="4"/>
  <c r="M169" i="8" s="1"/>
  <c r="N204" i="4"/>
  <c r="O204" i="4"/>
  <c r="P204" i="4"/>
  <c r="Q204" i="4"/>
  <c r="R204" i="4"/>
  <c r="S204" i="4"/>
  <c r="T204" i="4"/>
  <c r="U204" i="4"/>
  <c r="V204" i="4"/>
  <c r="X204" i="4"/>
  <c r="Y204" i="4"/>
  <c r="Z204" i="4"/>
  <c r="AA204" i="4"/>
  <c r="AF204" i="4"/>
  <c r="AG204" i="4"/>
  <c r="AH204" i="4"/>
  <c r="AI204" i="4"/>
  <c r="AQ204" i="4"/>
  <c r="AR204" i="4"/>
  <c r="AS204" i="4"/>
  <c r="AT204" i="4"/>
  <c r="AU204" i="4"/>
  <c r="AV204" i="4"/>
  <c r="AW204" i="4"/>
  <c r="AY204" i="4"/>
  <c r="B203" i="10"/>
  <c r="C203" i="10"/>
  <c r="B202" i="4"/>
  <c r="H168" i="8" s="1"/>
  <c r="B203" i="4"/>
  <c r="AP203" i="4" s="1"/>
  <c r="C202" i="4"/>
  <c r="B168" i="8" s="1"/>
  <c r="C203" i="4"/>
  <c r="B34" i="23" s="1"/>
  <c r="D202" i="4"/>
  <c r="D203" i="4"/>
  <c r="E202" i="4"/>
  <c r="E203" i="4"/>
  <c r="F202" i="4"/>
  <c r="F203" i="4"/>
  <c r="D34" i="23" s="1"/>
  <c r="G202" i="4"/>
  <c r="G203" i="4"/>
  <c r="H202" i="4"/>
  <c r="J168" i="8" s="1"/>
  <c r="H203" i="4"/>
  <c r="I202" i="4"/>
  <c r="I203" i="4"/>
  <c r="W203" i="4" s="1"/>
  <c r="J202" i="4"/>
  <c r="K168" i="8" s="1"/>
  <c r="J203" i="4"/>
  <c r="K202" i="4"/>
  <c r="K203" i="4"/>
  <c r="E34" i="23" s="1"/>
  <c r="L202" i="4"/>
  <c r="L203" i="4"/>
  <c r="M202" i="4"/>
  <c r="M168" i="8" s="1"/>
  <c r="M203" i="4"/>
  <c r="N202" i="4"/>
  <c r="N203" i="4"/>
  <c r="O202" i="4"/>
  <c r="O203" i="4"/>
  <c r="P202" i="4"/>
  <c r="P203" i="4"/>
  <c r="Q202" i="4"/>
  <c r="Q203" i="4"/>
  <c r="R202" i="4"/>
  <c r="R203" i="4"/>
  <c r="S202" i="4"/>
  <c r="S203" i="4"/>
  <c r="T202" i="4"/>
  <c r="T203" i="4"/>
  <c r="U202" i="4"/>
  <c r="U203" i="4"/>
  <c r="V202" i="4"/>
  <c r="V203" i="4"/>
  <c r="X202" i="4"/>
  <c r="X203" i="4"/>
  <c r="Y202" i="4"/>
  <c r="Y203" i="4"/>
  <c r="Z202" i="4"/>
  <c r="Z203" i="4"/>
  <c r="AA202" i="4"/>
  <c r="AA203" i="4"/>
  <c r="AF202" i="4"/>
  <c r="AF203" i="4"/>
  <c r="AG202" i="4"/>
  <c r="AG203" i="4"/>
  <c r="AH202" i="4"/>
  <c r="AH203" i="4"/>
  <c r="AI202" i="4"/>
  <c r="AI203" i="4"/>
  <c r="N34" i="23" s="1"/>
  <c r="AQ202" i="4"/>
  <c r="AQ203" i="4"/>
  <c r="AR202" i="4"/>
  <c r="AR203" i="4"/>
  <c r="AS202" i="4"/>
  <c r="AS203" i="4"/>
  <c r="AT202" i="4"/>
  <c r="AT203" i="4"/>
  <c r="AU202" i="4"/>
  <c r="AU203" i="4"/>
  <c r="AV202" i="4"/>
  <c r="AV203" i="4"/>
  <c r="AW202" i="4"/>
  <c r="AW203" i="4"/>
  <c r="AY202" i="4"/>
  <c r="AY203" i="4"/>
  <c r="B201" i="10"/>
  <c r="B202" i="10"/>
  <c r="C201" i="10"/>
  <c r="C202" i="10"/>
  <c r="G167" i="8"/>
  <c r="L167" i="8"/>
  <c r="G166" i="8"/>
  <c r="L166" i="8"/>
  <c r="G163" i="8"/>
  <c r="G164" i="8"/>
  <c r="G165" i="8"/>
  <c r="L163" i="8"/>
  <c r="L164" i="8"/>
  <c r="L165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G142" i="8"/>
  <c r="G143" i="8"/>
  <c r="G144" i="8"/>
  <c r="G145" i="8"/>
  <c r="G146" i="8"/>
  <c r="G147" i="8"/>
  <c r="G148" i="8"/>
  <c r="G149" i="8"/>
  <c r="G150" i="8"/>
  <c r="L142" i="8"/>
  <c r="L143" i="8"/>
  <c r="L144" i="8"/>
  <c r="L145" i="8"/>
  <c r="L146" i="8"/>
  <c r="L147" i="8"/>
  <c r="L148" i="8"/>
  <c r="L149" i="8"/>
  <c r="L150" i="8"/>
  <c r="G140" i="8"/>
  <c r="G141" i="8"/>
  <c r="L140" i="8"/>
  <c r="L141" i="8"/>
  <c r="G139" i="8"/>
  <c r="L139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G107" i="8"/>
  <c r="G108" i="8"/>
  <c r="G109" i="8"/>
  <c r="G110" i="8"/>
  <c r="L107" i="8"/>
  <c r="L108" i="8"/>
  <c r="L109" i="8"/>
  <c r="L110" i="8"/>
  <c r="G102" i="8"/>
  <c r="G103" i="8"/>
  <c r="G104" i="8"/>
  <c r="G105" i="8"/>
  <c r="G106" i="8"/>
  <c r="L102" i="8"/>
  <c r="L103" i="8"/>
  <c r="L104" i="8"/>
  <c r="L105" i="8"/>
  <c r="L106" i="8"/>
  <c r="G98" i="8"/>
  <c r="G99" i="8"/>
  <c r="G100" i="8"/>
  <c r="G101" i="8"/>
  <c r="L98" i="8"/>
  <c r="L99" i="8"/>
  <c r="L100" i="8"/>
  <c r="L101" i="8"/>
  <c r="G94" i="8"/>
  <c r="G95" i="8"/>
  <c r="G96" i="8"/>
  <c r="G97" i="8"/>
  <c r="L94" i="8"/>
  <c r="L95" i="8"/>
  <c r="L96" i="8"/>
  <c r="L97" i="8"/>
  <c r="G91" i="8"/>
  <c r="G92" i="8"/>
  <c r="G93" i="8"/>
  <c r="L91" i="8"/>
  <c r="L92" i="8"/>
  <c r="L93" i="8"/>
  <c r="G88" i="8"/>
  <c r="G89" i="8"/>
  <c r="G90" i="8"/>
  <c r="L88" i="8"/>
  <c r="L89" i="8"/>
  <c r="L90" i="8"/>
  <c r="G86" i="8"/>
  <c r="G87" i="8"/>
  <c r="L86" i="8"/>
  <c r="L87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E31" i="4"/>
  <c r="B199" i="4"/>
  <c r="AP199" i="4" s="1"/>
  <c r="B200" i="4"/>
  <c r="AP200" i="4" s="1"/>
  <c r="B201" i="4"/>
  <c r="AP201" i="4" s="1"/>
  <c r="C199" i="4"/>
  <c r="B32" i="23" s="1"/>
  <c r="C200" i="4"/>
  <c r="B33" i="23" s="1"/>
  <c r="C201" i="4"/>
  <c r="B167" i="8" s="1"/>
  <c r="D199" i="4"/>
  <c r="D200" i="4"/>
  <c r="D201" i="4"/>
  <c r="E199" i="4"/>
  <c r="E200" i="4"/>
  <c r="E201" i="4"/>
  <c r="F199" i="4"/>
  <c r="D32" i="23" s="1"/>
  <c r="F200" i="4"/>
  <c r="D33" i="23" s="1"/>
  <c r="F201" i="4"/>
  <c r="G199" i="4"/>
  <c r="G200" i="4"/>
  <c r="G201" i="4"/>
  <c r="H199" i="4"/>
  <c r="H200" i="4"/>
  <c r="H201" i="4"/>
  <c r="J167" i="8" s="1"/>
  <c r="I199" i="4"/>
  <c r="W199" i="4" s="1"/>
  <c r="I200" i="4"/>
  <c r="W200" i="4" s="1"/>
  <c r="I201" i="4"/>
  <c r="W201" i="4" s="1"/>
  <c r="J199" i="4"/>
  <c r="J200" i="4"/>
  <c r="J201" i="4"/>
  <c r="K167" i="8" s="1"/>
  <c r="K199" i="4"/>
  <c r="E32" i="23" s="1"/>
  <c r="K200" i="4"/>
  <c r="E33" i="23" s="1"/>
  <c r="K201" i="4"/>
  <c r="F137" i="38" s="1"/>
  <c r="L199" i="4"/>
  <c r="L200" i="4"/>
  <c r="L201" i="4"/>
  <c r="M199" i="4"/>
  <c r="M200" i="4"/>
  <c r="M201" i="4"/>
  <c r="M167" i="8" s="1"/>
  <c r="N199" i="4"/>
  <c r="N200" i="4"/>
  <c r="N201" i="4"/>
  <c r="O199" i="4"/>
  <c r="O200" i="4"/>
  <c r="O201" i="4"/>
  <c r="P199" i="4"/>
  <c r="P200" i="4"/>
  <c r="P201" i="4"/>
  <c r="Q199" i="4"/>
  <c r="Q200" i="4"/>
  <c r="Q201" i="4"/>
  <c r="R199" i="4"/>
  <c r="R200" i="4"/>
  <c r="R201" i="4"/>
  <c r="S199" i="4"/>
  <c r="S200" i="4"/>
  <c r="S201" i="4"/>
  <c r="T199" i="4"/>
  <c r="T200" i="4"/>
  <c r="T201" i="4"/>
  <c r="U199" i="4"/>
  <c r="U200" i="4"/>
  <c r="U201" i="4"/>
  <c r="V199" i="4"/>
  <c r="V200" i="4"/>
  <c r="V201" i="4"/>
  <c r="X199" i="4"/>
  <c r="X200" i="4"/>
  <c r="X201" i="4"/>
  <c r="Y199" i="4"/>
  <c r="Y200" i="4"/>
  <c r="Y201" i="4"/>
  <c r="Z199" i="4"/>
  <c r="Z200" i="4"/>
  <c r="Z201" i="4"/>
  <c r="AA199" i="4"/>
  <c r="AA200" i="4"/>
  <c r="AA201" i="4"/>
  <c r="AF199" i="4"/>
  <c r="AF200" i="4"/>
  <c r="AF201" i="4"/>
  <c r="AG199" i="4"/>
  <c r="AG200" i="4"/>
  <c r="AG201" i="4"/>
  <c r="AH199" i="4"/>
  <c r="AH200" i="4"/>
  <c r="AH201" i="4"/>
  <c r="AI199" i="4"/>
  <c r="N32" i="23" s="1"/>
  <c r="AI200" i="4"/>
  <c r="N33" i="23" s="1"/>
  <c r="AI201" i="4"/>
  <c r="AQ199" i="4"/>
  <c r="AQ200" i="4"/>
  <c r="AQ201" i="4"/>
  <c r="AR199" i="4"/>
  <c r="AR200" i="4"/>
  <c r="AR201" i="4"/>
  <c r="AS199" i="4"/>
  <c r="AS200" i="4"/>
  <c r="AS201" i="4"/>
  <c r="AT199" i="4"/>
  <c r="AT200" i="4"/>
  <c r="AT201" i="4"/>
  <c r="AU199" i="4"/>
  <c r="AU200" i="4"/>
  <c r="AU201" i="4"/>
  <c r="AV199" i="4"/>
  <c r="AV200" i="4"/>
  <c r="AV201" i="4"/>
  <c r="AW199" i="4"/>
  <c r="AW200" i="4"/>
  <c r="AW201" i="4"/>
  <c r="AY199" i="4"/>
  <c r="AY200" i="4"/>
  <c r="AY201" i="4"/>
  <c r="B199" i="10"/>
  <c r="B200" i="10"/>
  <c r="C199" i="10"/>
  <c r="C200" i="10"/>
  <c r="E25" i="31"/>
  <c r="K29" i="23"/>
  <c r="K30" i="23"/>
  <c r="K31" i="23"/>
  <c r="L5" i="8"/>
  <c r="B195" i="4"/>
  <c r="AP195" i="4" s="1"/>
  <c r="B196" i="4"/>
  <c r="AP196" i="4" s="1"/>
  <c r="B197" i="4"/>
  <c r="H166" i="8" s="1"/>
  <c r="B198" i="4"/>
  <c r="AP198" i="4" s="1"/>
  <c r="C195" i="4"/>
  <c r="B29" i="23" s="1"/>
  <c r="C196" i="4"/>
  <c r="B30" i="23" s="1"/>
  <c r="C197" i="4"/>
  <c r="B166" i="8" s="1"/>
  <c r="C198" i="4"/>
  <c r="B31" i="23" s="1"/>
  <c r="D195" i="4"/>
  <c r="D196" i="4"/>
  <c r="D197" i="4"/>
  <c r="D198" i="4"/>
  <c r="E195" i="4"/>
  <c r="E196" i="4"/>
  <c r="E197" i="4"/>
  <c r="E198" i="4"/>
  <c r="F195" i="4"/>
  <c r="D29" i="23" s="1"/>
  <c r="F196" i="4"/>
  <c r="D30" i="23" s="1"/>
  <c r="F197" i="4"/>
  <c r="F198" i="4"/>
  <c r="D31" i="23" s="1"/>
  <c r="G195" i="4"/>
  <c r="G196" i="4"/>
  <c r="G197" i="4"/>
  <c r="G198" i="4"/>
  <c r="H195" i="4"/>
  <c r="H196" i="4"/>
  <c r="H197" i="4"/>
  <c r="J166" i="8" s="1"/>
  <c r="H198" i="4"/>
  <c r="I195" i="4"/>
  <c r="AK195" i="4" s="1"/>
  <c r="I196" i="4"/>
  <c r="AK196" i="4" s="1"/>
  <c r="I197" i="4"/>
  <c r="W197" i="4" s="1"/>
  <c r="I198" i="4"/>
  <c r="W198" i="4" s="1"/>
  <c r="J195" i="4"/>
  <c r="J196" i="4"/>
  <c r="J197" i="4"/>
  <c r="K166" i="8" s="1"/>
  <c r="J198" i="4"/>
  <c r="K195" i="4"/>
  <c r="E29" i="23" s="1"/>
  <c r="K196" i="4"/>
  <c r="E30" i="23" s="1"/>
  <c r="K197" i="4"/>
  <c r="F136" i="38" s="1"/>
  <c r="K198" i="4"/>
  <c r="E31" i="23" s="1"/>
  <c r="L195" i="4"/>
  <c r="L196" i="4"/>
  <c r="L197" i="4"/>
  <c r="L198" i="4"/>
  <c r="M195" i="4"/>
  <c r="M196" i="4"/>
  <c r="M197" i="4"/>
  <c r="M166" i="8" s="1"/>
  <c r="M198" i="4"/>
  <c r="N195" i="4"/>
  <c r="N196" i="4"/>
  <c r="N197" i="4"/>
  <c r="N198" i="4"/>
  <c r="O195" i="4"/>
  <c r="O196" i="4"/>
  <c r="O197" i="4"/>
  <c r="O198" i="4"/>
  <c r="P195" i="4"/>
  <c r="P196" i="4"/>
  <c r="P197" i="4"/>
  <c r="P198" i="4"/>
  <c r="Q195" i="4"/>
  <c r="Q196" i="4"/>
  <c r="Q197" i="4"/>
  <c r="Q198" i="4"/>
  <c r="R195" i="4"/>
  <c r="R196" i="4"/>
  <c r="R197" i="4"/>
  <c r="R198" i="4"/>
  <c r="S195" i="4"/>
  <c r="S196" i="4"/>
  <c r="S197" i="4"/>
  <c r="S198" i="4"/>
  <c r="T195" i="4"/>
  <c r="T196" i="4"/>
  <c r="T197" i="4"/>
  <c r="T198" i="4"/>
  <c r="U195" i="4"/>
  <c r="U196" i="4"/>
  <c r="U197" i="4"/>
  <c r="U198" i="4"/>
  <c r="V195" i="4"/>
  <c r="V196" i="4"/>
  <c r="V197" i="4"/>
  <c r="V198" i="4"/>
  <c r="X195" i="4"/>
  <c r="X196" i="4"/>
  <c r="X197" i="4"/>
  <c r="X198" i="4"/>
  <c r="Y195" i="4"/>
  <c r="Y196" i="4"/>
  <c r="Y197" i="4"/>
  <c r="Y198" i="4"/>
  <c r="Z195" i="4"/>
  <c r="Z196" i="4"/>
  <c r="Z197" i="4"/>
  <c r="Z198" i="4"/>
  <c r="AA195" i="4"/>
  <c r="AA196" i="4"/>
  <c r="AA197" i="4"/>
  <c r="AA198" i="4"/>
  <c r="AF195" i="4"/>
  <c r="AF196" i="4"/>
  <c r="AF197" i="4"/>
  <c r="AF198" i="4"/>
  <c r="AG195" i="4"/>
  <c r="AG196" i="4"/>
  <c r="AG197" i="4"/>
  <c r="AG198" i="4"/>
  <c r="AH195" i="4"/>
  <c r="AH196" i="4"/>
  <c r="AH197" i="4"/>
  <c r="AH198" i="4"/>
  <c r="AI195" i="4"/>
  <c r="N29" i="23" s="1"/>
  <c r="AI196" i="4"/>
  <c r="N30" i="23" s="1"/>
  <c r="AI197" i="4"/>
  <c r="AI198" i="4"/>
  <c r="N31" i="23" s="1"/>
  <c r="AQ195" i="4"/>
  <c r="AQ196" i="4"/>
  <c r="AQ197" i="4"/>
  <c r="AQ198" i="4"/>
  <c r="AR195" i="4"/>
  <c r="AR196" i="4"/>
  <c r="AR197" i="4"/>
  <c r="AR198" i="4"/>
  <c r="AS195" i="4"/>
  <c r="AS196" i="4"/>
  <c r="AS197" i="4"/>
  <c r="AS198" i="4"/>
  <c r="AT195" i="4"/>
  <c r="AT196" i="4"/>
  <c r="AT197" i="4"/>
  <c r="AT198" i="4"/>
  <c r="AU195" i="4"/>
  <c r="AU196" i="4"/>
  <c r="AU197" i="4"/>
  <c r="AU198" i="4"/>
  <c r="AV195" i="4"/>
  <c r="AV196" i="4"/>
  <c r="AV197" i="4"/>
  <c r="AV198" i="4"/>
  <c r="AW195" i="4"/>
  <c r="AW196" i="4"/>
  <c r="AW197" i="4"/>
  <c r="AW198" i="4"/>
  <c r="AY195" i="4"/>
  <c r="AY196" i="4"/>
  <c r="AY197" i="4"/>
  <c r="AY198" i="4"/>
  <c r="B190" i="4"/>
  <c r="AP190" i="4" s="1"/>
  <c r="B191" i="4"/>
  <c r="AP191" i="4" s="1"/>
  <c r="B192" i="4"/>
  <c r="AP192" i="4" s="1"/>
  <c r="B193" i="4"/>
  <c r="AP193" i="4" s="1"/>
  <c r="B194" i="4"/>
  <c r="AP194" i="4" s="1"/>
  <c r="C190" i="4"/>
  <c r="C191" i="4"/>
  <c r="C192" i="4"/>
  <c r="C193" i="4"/>
  <c r="C194" i="4"/>
  <c r="D190" i="4"/>
  <c r="D191" i="4"/>
  <c r="D192" i="4"/>
  <c r="D193" i="4"/>
  <c r="D194" i="4"/>
  <c r="E190" i="4"/>
  <c r="E191" i="4"/>
  <c r="E192" i="4"/>
  <c r="E193" i="4"/>
  <c r="E194" i="4"/>
  <c r="F190" i="4"/>
  <c r="F191" i="4"/>
  <c r="F192" i="4"/>
  <c r="F193" i="4"/>
  <c r="F194" i="4"/>
  <c r="G190" i="4"/>
  <c r="G191" i="4"/>
  <c r="G192" i="4"/>
  <c r="G193" i="4"/>
  <c r="G194" i="4"/>
  <c r="H190" i="4"/>
  <c r="H191" i="4"/>
  <c r="H192" i="4"/>
  <c r="H193" i="4"/>
  <c r="H194" i="4"/>
  <c r="I190" i="4"/>
  <c r="AK190" i="4" s="1"/>
  <c r="I191" i="4"/>
  <c r="W191" i="4" s="1"/>
  <c r="I192" i="4"/>
  <c r="W192" i="4" s="1"/>
  <c r="I193" i="4"/>
  <c r="AK193" i="4" s="1"/>
  <c r="I194" i="4"/>
  <c r="AK194" i="4" s="1"/>
  <c r="J190" i="4"/>
  <c r="J191" i="4"/>
  <c r="J192" i="4"/>
  <c r="J193" i="4"/>
  <c r="J194" i="4"/>
  <c r="K190" i="4"/>
  <c r="K191" i="4"/>
  <c r="K192" i="4"/>
  <c r="K193" i="4"/>
  <c r="K194" i="4"/>
  <c r="L190" i="4"/>
  <c r="L191" i="4"/>
  <c r="L192" i="4"/>
  <c r="L193" i="4"/>
  <c r="L194" i="4"/>
  <c r="M190" i="4"/>
  <c r="M191" i="4"/>
  <c r="M192" i="4"/>
  <c r="M193" i="4"/>
  <c r="M194" i="4"/>
  <c r="N190" i="4"/>
  <c r="N191" i="4"/>
  <c r="N192" i="4"/>
  <c r="N193" i="4"/>
  <c r="N194" i="4"/>
  <c r="O190" i="4"/>
  <c r="O191" i="4"/>
  <c r="O192" i="4"/>
  <c r="O193" i="4"/>
  <c r="O194" i="4"/>
  <c r="P190" i="4"/>
  <c r="P191" i="4"/>
  <c r="P192" i="4"/>
  <c r="P193" i="4"/>
  <c r="P194" i="4"/>
  <c r="Q190" i="4"/>
  <c r="Q191" i="4"/>
  <c r="Q192" i="4"/>
  <c r="Q193" i="4"/>
  <c r="Q194" i="4"/>
  <c r="R190" i="4"/>
  <c r="R191" i="4"/>
  <c r="R192" i="4"/>
  <c r="R193" i="4"/>
  <c r="R194" i="4"/>
  <c r="S190" i="4"/>
  <c r="S191" i="4"/>
  <c r="S192" i="4"/>
  <c r="S193" i="4"/>
  <c r="S194" i="4"/>
  <c r="T190" i="4"/>
  <c r="T191" i="4"/>
  <c r="T192" i="4"/>
  <c r="T193" i="4"/>
  <c r="T194" i="4"/>
  <c r="U190" i="4"/>
  <c r="U191" i="4"/>
  <c r="U192" i="4"/>
  <c r="U193" i="4"/>
  <c r="U194" i="4"/>
  <c r="V190" i="4"/>
  <c r="V191" i="4"/>
  <c r="V192" i="4"/>
  <c r="V193" i="4"/>
  <c r="V194" i="4"/>
  <c r="X190" i="4"/>
  <c r="X191" i="4"/>
  <c r="X192" i="4"/>
  <c r="X193" i="4"/>
  <c r="X194" i="4"/>
  <c r="Y190" i="4"/>
  <c r="Y191" i="4"/>
  <c r="Y192" i="4"/>
  <c r="Y193" i="4"/>
  <c r="Y194" i="4"/>
  <c r="Z190" i="4"/>
  <c r="Z191" i="4"/>
  <c r="Z192" i="4"/>
  <c r="Z193" i="4"/>
  <c r="Z194" i="4"/>
  <c r="AA190" i="4"/>
  <c r="AA191" i="4"/>
  <c r="AA192" i="4"/>
  <c r="AA193" i="4"/>
  <c r="AA194" i="4"/>
  <c r="AF190" i="4"/>
  <c r="AF191" i="4"/>
  <c r="AF192" i="4"/>
  <c r="AF193" i="4"/>
  <c r="AF194" i="4"/>
  <c r="AG190" i="4"/>
  <c r="AG191" i="4"/>
  <c r="AG192" i="4"/>
  <c r="AG193" i="4"/>
  <c r="AG194" i="4"/>
  <c r="AH190" i="4"/>
  <c r="AH191" i="4"/>
  <c r="AH192" i="4"/>
  <c r="AH193" i="4"/>
  <c r="AH194" i="4"/>
  <c r="AI190" i="4"/>
  <c r="AI191" i="4"/>
  <c r="AI192" i="4"/>
  <c r="AI193" i="4"/>
  <c r="AI194" i="4"/>
  <c r="AQ190" i="4"/>
  <c r="AQ191" i="4"/>
  <c r="AQ192" i="4"/>
  <c r="AQ193" i="4"/>
  <c r="AQ194" i="4"/>
  <c r="AR190" i="4"/>
  <c r="AR191" i="4"/>
  <c r="AR192" i="4"/>
  <c r="AR193" i="4"/>
  <c r="AR194" i="4"/>
  <c r="AS190" i="4"/>
  <c r="AS191" i="4"/>
  <c r="AS192" i="4"/>
  <c r="AS193" i="4"/>
  <c r="AS194" i="4"/>
  <c r="AT190" i="4"/>
  <c r="AT191" i="4"/>
  <c r="AT192" i="4"/>
  <c r="AT193" i="4"/>
  <c r="AT194" i="4"/>
  <c r="AU190" i="4"/>
  <c r="AU191" i="4"/>
  <c r="AU192" i="4"/>
  <c r="AU193" i="4"/>
  <c r="AU194" i="4"/>
  <c r="AV190" i="4"/>
  <c r="AV191" i="4"/>
  <c r="AV192" i="4"/>
  <c r="AV193" i="4"/>
  <c r="AV194" i="4"/>
  <c r="AW190" i="4"/>
  <c r="AW191" i="4"/>
  <c r="AW192" i="4"/>
  <c r="AW193" i="4"/>
  <c r="AW194" i="4"/>
  <c r="AY190" i="4"/>
  <c r="AY191" i="4"/>
  <c r="AY192" i="4"/>
  <c r="AY193" i="4"/>
  <c r="AY194" i="4"/>
  <c r="B189" i="10"/>
  <c r="B190" i="10"/>
  <c r="B191" i="10"/>
  <c r="B192" i="10"/>
  <c r="B193" i="10"/>
  <c r="B194" i="10"/>
  <c r="B195" i="10"/>
  <c r="B196" i="10"/>
  <c r="B197" i="10"/>
  <c r="B198" i="10"/>
  <c r="C189" i="10"/>
  <c r="C190" i="10"/>
  <c r="C191" i="10"/>
  <c r="C192" i="10"/>
  <c r="C193" i="10"/>
  <c r="C194" i="10"/>
  <c r="C195" i="10"/>
  <c r="C196" i="10"/>
  <c r="C197" i="10"/>
  <c r="C198" i="10"/>
  <c r="K28" i="23"/>
  <c r="AY3" i="4"/>
  <c r="AY4" i="4"/>
  <c r="AY5" i="4"/>
  <c r="AY6" i="4"/>
  <c r="AY7" i="4"/>
  <c r="AY8" i="4"/>
  <c r="AY9" i="4"/>
  <c r="AY10" i="4"/>
  <c r="AY11" i="4"/>
  <c r="AY12" i="4"/>
  <c r="AY13" i="4"/>
  <c r="AY14" i="4"/>
  <c r="AY15" i="4"/>
  <c r="AY16" i="4"/>
  <c r="AY17" i="4"/>
  <c r="AY18" i="4"/>
  <c r="AY19" i="4"/>
  <c r="AY20" i="4"/>
  <c r="AY21" i="4"/>
  <c r="AY22" i="4"/>
  <c r="AY23" i="4"/>
  <c r="AY24" i="4"/>
  <c r="AY25" i="4"/>
  <c r="AY26" i="4"/>
  <c r="AY27" i="4"/>
  <c r="AY28" i="4"/>
  <c r="AY29" i="4"/>
  <c r="AY30" i="4"/>
  <c r="AY31" i="4"/>
  <c r="AY32" i="4"/>
  <c r="AY33" i="4"/>
  <c r="AY34" i="4"/>
  <c r="AY35" i="4"/>
  <c r="AY36" i="4"/>
  <c r="AY37" i="4"/>
  <c r="AY38" i="4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Y64" i="4"/>
  <c r="AY65" i="4"/>
  <c r="AY66" i="4"/>
  <c r="AY67" i="4"/>
  <c r="AY68" i="4"/>
  <c r="AY69" i="4"/>
  <c r="AY70" i="4"/>
  <c r="AY71" i="4"/>
  <c r="AY72" i="4"/>
  <c r="AY73" i="4"/>
  <c r="AY74" i="4"/>
  <c r="AY75" i="4"/>
  <c r="AY76" i="4"/>
  <c r="AY77" i="4"/>
  <c r="AY78" i="4"/>
  <c r="AY80" i="4"/>
  <c r="AY81" i="4"/>
  <c r="AY82" i="4"/>
  <c r="AY79" i="4"/>
  <c r="AY83" i="4"/>
  <c r="AY84" i="4"/>
  <c r="AY85" i="4"/>
  <c r="AY86" i="4"/>
  <c r="AY87" i="4"/>
  <c r="AY89" i="4"/>
  <c r="AY88" i="4"/>
  <c r="AY93" i="4"/>
  <c r="AY98" i="4"/>
  <c r="AY99" i="4"/>
  <c r="AY100" i="4"/>
  <c r="AY102" i="4"/>
  <c r="AY103" i="4"/>
  <c r="AY104" i="4"/>
  <c r="AY90" i="4"/>
  <c r="AY91" i="4"/>
  <c r="AY92" i="4"/>
  <c r="AY94" i="4"/>
  <c r="AY95" i="4"/>
  <c r="AY96" i="4"/>
  <c r="AY97" i="4"/>
  <c r="AY101" i="4"/>
  <c r="AY107" i="4"/>
  <c r="AY109" i="4"/>
  <c r="AY110" i="4"/>
  <c r="AY113" i="4"/>
  <c r="AY114" i="4"/>
  <c r="AY115" i="4"/>
  <c r="AY108" i="4"/>
  <c r="AY105" i="4"/>
  <c r="AY106" i="4"/>
  <c r="AY111" i="4"/>
  <c r="AY112" i="4"/>
  <c r="AY116" i="4"/>
  <c r="AY117" i="4"/>
  <c r="AY118" i="4"/>
  <c r="AY120" i="4"/>
  <c r="AY121" i="4"/>
  <c r="AY123" i="4"/>
  <c r="AY125" i="4"/>
  <c r="AY126" i="4"/>
  <c r="AY127" i="4"/>
  <c r="AY119" i="4"/>
  <c r="AY128" i="4"/>
  <c r="AY122" i="4"/>
  <c r="AY124" i="4"/>
  <c r="AY129" i="4"/>
  <c r="AY131" i="4"/>
  <c r="AY132" i="4"/>
  <c r="AY134" i="4"/>
  <c r="AY137" i="4"/>
  <c r="AY140" i="4"/>
  <c r="AY142" i="4"/>
  <c r="AY133" i="4"/>
  <c r="AY135" i="4"/>
  <c r="AY146" i="4"/>
  <c r="AY147" i="4"/>
  <c r="AY149" i="4"/>
  <c r="AY148" i="4"/>
  <c r="AY138" i="4"/>
  <c r="AY141" i="4"/>
  <c r="AY144" i="4"/>
  <c r="AY136" i="4"/>
  <c r="AY130" i="4"/>
  <c r="AY139" i="4"/>
  <c r="AY143" i="4"/>
  <c r="AY145" i="4"/>
  <c r="AY150" i="4"/>
  <c r="AY151" i="4"/>
  <c r="AY152" i="4"/>
  <c r="AY153" i="4"/>
  <c r="AY154" i="4"/>
  <c r="AY155" i="4"/>
  <c r="AY156" i="4"/>
  <c r="AY157" i="4"/>
  <c r="AY158" i="4"/>
  <c r="AY159" i="4"/>
  <c r="AY160" i="4"/>
  <c r="AY161" i="4"/>
  <c r="AY162" i="4"/>
  <c r="AY163" i="4"/>
  <c r="AY164" i="4"/>
  <c r="AY165" i="4"/>
  <c r="AY166" i="4"/>
  <c r="AY167" i="4"/>
  <c r="AY168" i="4"/>
  <c r="AY169" i="4"/>
  <c r="AY170" i="4"/>
  <c r="AY171" i="4"/>
  <c r="AY172" i="4"/>
  <c r="AY173" i="4"/>
  <c r="AY174" i="4"/>
  <c r="AY175" i="4"/>
  <c r="AY176" i="4"/>
  <c r="AY177" i="4"/>
  <c r="AY178" i="4"/>
  <c r="AY179" i="4"/>
  <c r="AY180" i="4"/>
  <c r="AY181" i="4"/>
  <c r="AY182" i="4"/>
  <c r="AY183" i="4"/>
  <c r="AY184" i="4"/>
  <c r="AY185" i="4"/>
  <c r="AY186" i="4"/>
  <c r="AY187" i="4"/>
  <c r="AY188" i="4"/>
  <c r="AY189" i="4"/>
  <c r="E187" i="4"/>
  <c r="B185" i="4"/>
  <c r="AP185" i="4" s="1"/>
  <c r="B186" i="4"/>
  <c r="AP186" i="4" s="1"/>
  <c r="B187" i="4"/>
  <c r="AP187" i="4" s="1"/>
  <c r="B188" i="4"/>
  <c r="H164" i="8" s="1"/>
  <c r="B189" i="4"/>
  <c r="H165" i="8" s="1"/>
  <c r="C185" i="4"/>
  <c r="B162" i="8" s="1"/>
  <c r="C186" i="4"/>
  <c r="B28" i="23" s="1"/>
  <c r="C187" i="4"/>
  <c r="B163" i="8" s="1"/>
  <c r="C188" i="4"/>
  <c r="B164" i="8" s="1"/>
  <c r="C189" i="4"/>
  <c r="B165" i="8" s="1"/>
  <c r="D185" i="4"/>
  <c r="D186" i="4"/>
  <c r="D187" i="4"/>
  <c r="D188" i="4"/>
  <c r="D189" i="4"/>
  <c r="E185" i="4"/>
  <c r="E186" i="4"/>
  <c r="E188" i="4"/>
  <c r="E189" i="4"/>
  <c r="F185" i="4"/>
  <c r="F186" i="4"/>
  <c r="D28" i="23" s="1"/>
  <c r="F187" i="4"/>
  <c r="F188" i="4"/>
  <c r="F189" i="4"/>
  <c r="G185" i="4"/>
  <c r="G186" i="4"/>
  <c r="G187" i="4"/>
  <c r="G188" i="4"/>
  <c r="G189" i="4"/>
  <c r="H185" i="4"/>
  <c r="J162" i="8" s="1"/>
  <c r="H186" i="4"/>
  <c r="H187" i="4"/>
  <c r="J163" i="8" s="1"/>
  <c r="H188" i="4"/>
  <c r="J164" i="8" s="1"/>
  <c r="H189" i="4"/>
  <c r="J165" i="8" s="1"/>
  <c r="I185" i="4"/>
  <c r="D133" i="38" s="1"/>
  <c r="I186" i="4"/>
  <c r="AK186" i="4" s="1"/>
  <c r="I187" i="4"/>
  <c r="I188" i="4"/>
  <c r="D134" i="38" s="1"/>
  <c r="I189" i="4"/>
  <c r="D135" i="38" s="1"/>
  <c r="J185" i="4"/>
  <c r="K162" i="8" s="1"/>
  <c r="J186" i="4"/>
  <c r="J187" i="4"/>
  <c r="K163" i="8" s="1"/>
  <c r="J188" i="4"/>
  <c r="K164" i="8" s="1"/>
  <c r="J189" i="4"/>
  <c r="K165" i="8" s="1"/>
  <c r="K185" i="4"/>
  <c r="F133" i="38" s="1"/>
  <c r="K186" i="4"/>
  <c r="E28" i="23" s="1"/>
  <c r="K187" i="4"/>
  <c r="K188" i="4"/>
  <c r="F134" i="38" s="1"/>
  <c r="K189" i="4"/>
  <c r="F135" i="38" s="1"/>
  <c r="L185" i="4"/>
  <c r="L186" i="4"/>
  <c r="L187" i="4"/>
  <c r="L188" i="4"/>
  <c r="L189" i="4"/>
  <c r="M185" i="4"/>
  <c r="M162" i="8" s="1"/>
  <c r="M186" i="4"/>
  <c r="M187" i="4"/>
  <c r="M163" i="8" s="1"/>
  <c r="M188" i="4"/>
  <c r="M164" i="8" s="1"/>
  <c r="M189" i="4"/>
  <c r="M165" i="8" s="1"/>
  <c r="N185" i="4"/>
  <c r="N186" i="4"/>
  <c r="N187" i="4"/>
  <c r="N188" i="4"/>
  <c r="N189" i="4"/>
  <c r="O185" i="4"/>
  <c r="O186" i="4"/>
  <c r="O187" i="4"/>
  <c r="O188" i="4"/>
  <c r="O189" i="4"/>
  <c r="P185" i="4"/>
  <c r="P186" i="4"/>
  <c r="P187" i="4"/>
  <c r="P188" i="4"/>
  <c r="P189" i="4"/>
  <c r="Q185" i="4"/>
  <c r="Q186" i="4"/>
  <c r="Q187" i="4"/>
  <c r="Q188" i="4"/>
  <c r="Q189" i="4"/>
  <c r="R185" i="4"/>
  <c r="R186" i="4"/>
  <c r="R187" i="4"/>
  <c r="R188" i="4"/>
  <c r="R189" i="4"/>
  <c r="S185" i="4"/>
  <c r="S186" i="4"/>
  <c r="S187" i="4"/>
  <c r="S188" i="4"/>
  <c r="S189" i="4"/>
  <c r="T185" i="4"/>
  <c r="T186" i="4"/>
  <c r="T187" i="4"/>
  <c r="T188" i="4"/>
  <c r="T189" i="4"/>
  <c r="U185" i="4"/>
  <c r="U186" i="4"/>
  <c r="U187" i="4"/>
  <c r="U188" i="4"/>
  <c r="U189" i="4"/>
  <c r="V185" i="4"/>
  <c r="V186" i="4"/>
  <c r="V187" i="4"/>
  <c r="V188" i="4"/>
  <c r="V189" i="4"/>
  <c r="X185" i="4"/>
  <c r="X186" i="4"/>
  <c r="X187" i="4"/>
  <c r="X188" i="4"/>
  <c r="X189" i="4"/>
  <c r="Y185" i="4"/>
  <c r="Y186" i="4"/>
  <c r="Y187" i="4"/>
  <c r="Y188" i="4"/>
  <c r="Y189" i="4"/>
  <c r="Z185" i="4"/>
  <c r="Z186" i="4"/>
  <c r="Z187" i="4"/>
  <c r="Z188" i="4"/>
  <c r="Z189" i="4"/>
  <c r="AA185" i="4"/>
  <c r="AA186" i="4"/>
  <c r="AA187" i="4"/>
  <c r="AA188" i="4"/>
  <c r="AA189" i="4"/>
  <c r="AF185" i="4"/>
  <c r="AF186" i="4"/>
  <c r="AF187" i="4"/>
  <c r="AF188" i="4"/>
  <c r="AF189" i="4"/>
  <c r="AG185" i="4"/>
  <c r="AG186" i="4"/>
  <c r="AG187" i="4"/>
  <c r="AG188" i="4"/>
  <c r="AG189" i="4"/>
  <c r="AH185" i="4"/>
  <c r="AH186" i="4"/>
  <c r="AH187" i="4"/>
  <c r="AH188" i="4"/>
  <c r="AH189" i="4"/>
  <c r="AI185" i="4"/>
  <c r="AI186" i="4"/>
  <c r="N28" i="23" s="1"/>
  <c r="AI187" i="4"/>
  <c r="AI188" i="4"/>
  <c r="AI189" i="4"/>
  <c r="AQ185" i="4"/>
  <c r="AQ186" i="4"/>
  <c r="AQ187" i="4"/>
  <c r="AQ188" i="4"/>
  <c r="AQ189" i="4"/>
  <c r="AR185" i="4"/>
  <c r="AR186" i="4"/>
  <c r="AR187" i="4"/>
  <c r="AR188" i="4"/>
  <c r="AR189" i="4"/>
  <c r="AS185" i="4"/>
  <c r="AS186" i="4"/>
  <c r="AS187" i="4"/>
  <c r="AS188" i="4"/>
  <c r="AS189" i="4"/>
  <c r="AT185" i="4"/>
  <c r="AT186" i="4"/>
  <c r="AT187" i="4"/>
  <c r="AT188" i="4"/>
  <c r="AT189" i="4"/>
  <c r="AU185" i="4"/>
  <c r="AU186" i="4"/>
  <c r="AU187" i="4"/>
  <c r="AU188" i="4"/>
  <c r="AU189" i="4"/>
  <c r="AV185" i="4"/>
  <c r="AV186" i="4"/>
  <c r="AV187" i="4"/>
  <c r="AV188" i="4"/>
  <c r="AV189" i="4"/>
  <c r="AW185" i="4"/>
  <c r="AW186" i="4"/>
  <c r="AW187" i="4"/>
  <c r="AW188" i="4"/>
  <c r="AW189" i="4"/>
  <c r="B184" i="10"/>
  <c r="B185" i="10"/>
  <c r="B186" i="10"/>
  <c r="B187" i="10"/>
  <c r="B188" i="10"/>
  <c r="C184" i="10"/>
  <c r="C185" i="10"/>
  <c r="C186" i="10"/>
  <c r="C187" i="10"/>
  <c r="C188" i="10"/>
  <c r="D9" i="31"/>
  <c r="E9" i="31" s="1"/>
  <c r="A9" i="3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E28" i="31"/>
  <c r="E27" i="31"/>
  <c r="E26" i="31"/>
  <c r="E19" i="31"/>
  <c r="E18" i="31"/>
  <c r="E17" i="31"/>
  <c r="E16" i="31"/>
  <c r="E15" i="31"/>
  <c r="E14" i="31"/>
  <c r="E13" i="31"/>
  <c r="E12" i="31"/>
  <c r="E11" i="31"/>
  <c r="G3" i="39" a="1"/>
  <c r="G5" i="39" a="1"/>
  <c r="G7" i="39" a="1"/>
  <c r="G4" i="39" a="1"/>
  <c r="G6" i="39" a="1"/>
  <c r="G6" i="39" l="1"/>
  <c r="G4" i="39"/>
  <c r="G7" i="39"/>
  <c r="G5" i="39"/>
  <c r="G3" i="39"/>
  <c r="B139" i="38"/>
  <c r="D137" i="38"/>
  <c r="E135" i="38"/>
  <c r="B138" i="38"/>
  <c r="D136" i="38"/>
  <c r="E134" i="38"/>
  <c r="B137" i="38"/>
  <c r="E133" i="38"/>
  <c r="B136" i="38"/>
  <c r="B135" i="38"/>
  <c r="B134" i="38"/>
  <c r="E142" i="38"/>
  <c r="B133" i="38"/>
  <c r="E141" i="38"/>
  <c r="E140" i="38"/>
  <c r="D141" i="38"/>
  <c r="E139" i="38"/>
  <c r="B142" i="38"/>
  <c r="D140" i="38"/>
  <c r="E138" i="38"/>
  <c r="B141" i="38"/>
  <c r="D139" i="38"/>
  <c r="E137" i="38"/>
  <c r="B140" i="38"/>
  <c r="E136" i="38"/>
  <c r="F174" i="8"/>
  <c r="AP209" i="4"/>
  <c r="F152" i="8"/>
  <c r="F173" i="8"/>
  <c r="AK209" i="4" s="1"/>
  <c r="G142" i="38" s="1"/>
  <c r="W209" i="4"/>
  <c r="AK192" i="4"/>
  <c r="F171" i="8"/>
  <c r="AK206" i="4" s="1"/>
  <c r="G140" i="38" s="1"/>
  <c r="F172" i="8"/>
  <c r="AK208" i="4" s="1"/>
  <c r="G141" i="38" s="1"/>
  <c r="H172" i="8"/>
  <c r="H171" i="8"/>
  <c r="AK207" i="4"/>
  <c r="AP205" i="4"/>
  <c r="C33" i="23"/>
  <c r="C32" i="23"/>
  <c r="C34" i="23"/>
  <c r="F170" i="8"/>
  <c r="AK205" i="4" s="1"/>
  <c r="G139" i="38" s="1"/>
  <c r="AP202" i="4"/>
  <c r="H169" i="8"/>
  <c r="F168" i="8"/>
  <c r="AK202" i="4" s="1"/>
  <c r="F169" i="8"/>
  <c r="AK204" i="4" s="1"/>
  <c r="G138" i="38" s="1"/>
  <c r="F153" i="8"/>
  <c r="F159" i="8"/>
  <c r="W204" i="4"/>
  <c r="AK203" i="4"/>
  <c r="W202" i="4"/>
  <c r="F157" i="8"/>
  <c r="F154" i="8"/>
  <c r="F161" i="8"/>
  <c r="F129" i="8"/>
  <c r="F164" i="8"/>
  <c r="F151" i="8"/>
  <c r="F167" i="8"/>
  <c r="AK201" i="4" s="1"/>
  <c r="G137" i="38" s="1"/>
  <c r="H163" i="8"/>
  <c r="H167" i="8"/>
  <c r="H162" i="8"/>
  <c r="F145" i="8"/>
  <c r="F166" i="8"/>
  <c r="AK197" i="4" s="1"/>
  <c r="G136" i="38" s="1"/>
  <c r="F162" i="8"/>
  <c r="F160" i="8"/>
  <c r="F148" i="8"/>
  <c r="F158" i="8"/>
  <c r="F163" i="8"/>
  <c r="AK187" i="4" s="1"/>
  <c r="F156" i="8"/>
  <c r="F165" i="8"/>
  <c r="F155" i="8"/>
  <c r="F133" i="8"/>
  <c r="F121" i="8"/>
  <c r="F117" i="8"/>
  <c r="F146" i="8"/>
  <c r="F131" i="8"/>
  <c r="F119" i="8"/>
  <c r="F147" i="8"/>
  <c r="F127" i="8"/>
  <c r="F142" i="8"/>
  <c r="F144" i="8"/>
  <c r="F143" i="8"/>
  <c r="F149" i="8"/>
  <c r="F102" i="8"/>
  <c r="F150" i="8"/>
  <c r="F141" i="8"/>
  <c r="F140" i="8"/>
  <c r="F83" i="8"/>
  <c r="F71" i="8"/>
  <c r="F59" i="8"/>
  <c r="F47" i="8"/>
  <c r="F35" i="8"/>
  <c r="F23" i="8"/>
  <c r="F11" i="8"/>
  <c r="F106" i="8"/>
  <c r="F128" i="8"/>
  <c r="F116" i="8"/>
  <c r="F120" i="8"/>
  <c r="F112" i="8"/>
  <c r="F138" i="8"/>
  <c r="F126" i="8"/>
  <c r="F114" i="8"/>
  <c r="F115" i="8"/>
  <c r="F139" i="8"/>
  <c r="F118" i="8"/>
  <c r="F134" i="8"/>
  <c r="F122" i="8"/>
  <c r="F74" i="8"/>
  <c r="F136" i="8"/>
  <c r="F124" i="8"/>
  <c r="F132" i="8"/>
  <c r="F104" i="8"/>
  <c r="F137" i="8"/>
  <c r="F125" i="8"/>
  <c r="F113" i="8"/>
  <c r="F135" i="8"/>
  <c r="F123" i="8"/>
  <c r="F111" i="8"/>
  <c r="F130" i="8"/>
  <c r="F43" i="8"/>
  <c r="F31" i="8"/>
  <c r="F19" i="8"/>
  <c r="F7" i="8"/>
  <c r="F94" i="8"/>
  <c r="F110" i="8"/>
  <c r="F108" i="8"/>
  <c r="F79" i="8"/>
  <c r="F67" i="8"/>
  <c r="F55" i="8"/>
  <c r="F107" i="8"/>
  <c r="F101" i="8"/>
  <c r="F109" i="8"/>
  <c r="F75" i="8"/>
  <c r="F63" i="8"/>
  <c r="F51" i="8"/>
  <c r="F39" i="8"/>
  <c r="F27" i="8"/>
  <c r="F15" i="8"/>
  <c r="F95" i="8"/>
  <c r="F105" i="8"/>
  <c r="F103" i="8"/>
  <c r="F100" i="8"/>
  <c r="F68" i="8"/>
  <c r="F56" i="8"/>
  <c r="F44" i="8"/>
  <c r="F32" i="8"/>
  <c r="F20" i="8"/>
  <c r="F8" i="8"/>
  <c r="F82" i="8"/>
  <c r="F70" i="8"/>
  <c r="F58" i="8"/>
  <c r="F46" i="8"/>
  <c r="F34" i="8"/>
  <c r="F22" i="8"/>
  <c r="F10" i="8"/>
  <c r="F99" i="8"/>
  <c r="F98" i="8"/>
  <c r="F91" i="8"/>
  <c r="F96" i="8"/>
  <c r="F97" i="8"/>
  <c r="F66" i="8"/>
  <c r="F54" i="8"/>
  <c r="F42" i="8"/>
  <c r="F30" i="8"/>
  <c r="F18" i="8"/>
  <c r="F6" i="8"/>
  <c r="F62" i="8"/>
  <c r="F50" i="8"/>
  <c r="F38" i="8"/>
  <c r="F26" i="8"/>
  <c r="F14" i="8"/>
  <c r="F93" i="8"/>
  <c r="F92" i="8"/>
  <c r="F80" i="8"/>
  <c r="F76" i="8"/>
  <c r="F64" i="8"/>
  <c r="F52" i="8"/>
  <c r="F40" i="8"/>
  <c r="F28" i="8"/>
  <c r="F16" i="8"/>
  <c r="F88" i="8"/>
  <c r="F89" i="8"/>
  <c r="F90" i="8"/>
  <c r="F87" i="8"/>
  <c r="F86" i="8"/>
  <c r="F81" i="8"/>
  <c r="F69" i="8"/>
  <c r="F57" i="8"/>
  <c r="F45" i="8"/>
  <c r="F33" i="8"/>
  <c r="F21" i="8"/>
  <c r="F9" i="8"/>
  <c r="F78" i="8"/>
  <c r="F77" i="8"/>
  <c r="F65" i="8"/>
  <c r="F53" i="8"/>
  <c r="F41" i="8"/>
  <c r="F29" i="8"/>
  <c r="F17" i="8"/>
  <c r="F85" i="8"/>
  <c r="F73" i="8"/>
  <c r="F61" i="8"/>
  <c r="F49" i="8"/>
  <c r="F37" i="8"/>
  <c r="F25" i="8"/>
  <c r="F13" i="8"/>
  <c r="F84" i="8"/>
  <c r="F72" i="8"/>
  <c r="F60" i="8"/>
  <c r="F48" i="8"/>
  <c r="F36" i="8"/>
  <c r="F24" i="8"/>
  <c r="F12" i="8"/>
  <c r="AK199" i="4"/>
  <c r="AK200" i="4"/>
  <c r="C31" i="23"/>
  <c r="C30" i="23"/>
  <c r="C29" i="23"/>
  <c r="AP197" i="4"/>
  <c r="W196" i="4"/>
  <c r="AK198" i="4"/>
  <c r="W193" i="4"/>
  <c r="AK191" i="4"/>
  <c r="W195" i="4"/>
  <c r="W194" i="4"/>
  <c r="W190" i="4"/>
  <c r="AP189" i="4"/>
  <c r="AP188" i="4"/>
  <c r="W185" i="4"/>
  <c r="C28" i="23"/>
  <c r="W187" i="4"/>
  <c r="W186" i="4"/>
  <c r="W188" i="4"/>
  <c r="W189" i="4"/>
  <c r="K27" i="23"/>
  <c r="K26" i="23"/>
  <c r="K25" i="23"/>
  <c r="K24" i="23"/>
  <c r="K22" i="23"/>
  <c r="K23" i="23"/>
  <c r="K21" i="23"/>
  <c r="B182" i="4"/>
  <c r="H159" i="8" s="1"/>
  <c r="B183" i="4"/>
  <c r="H160" i="8" s="1"/>
  <c r="B184" i="4"/>
  <c r="H161" i="8" s="1"/>
  <c r="C182" i="4"/>
  <c r="C183" i="4"/>
  <c r="B160" i="8" s="1"/>
  <c r="C184" i="4"/>
  <c r="B161" i="8" s="1"/>
  <c r="D182" i="4"/>
  <c r="D183" i="4"/>
  <c r="D184" i="4"/>
  <c r="E182" i="4"/>
  <c r="E183" i="4"/>
  <c r="E184" i="4"/>
  <c r="F182" i="4"/>
  <c r="F183" i="4"/>
  <c r="F184" i="4"/>
  <c r="G182" i="4"/>
  <c r="G183" i="4"/>
  <c r="G184" i="4"/>
  <c r="H182" i="4"/>
  <c r="J159" i="8" s="1"/>
  <c r="H183" i="4"/>
  <c r="J160" i="8" s="1"/>
  <c r="H184" i="4"/>
  <c r="J161" i="8" s="1"/>
  <c r="I182" i="4"/>
  <c r="I183" i="4"/>
  <c r="W183" i="4" s="1"/>
  <c r="I184" i="4"/>
  <c r="W184" i="4" s="1"/>
  <c r="J182" i="4"/>
  <c r="J183" i="4"/>
  <c r="K160" i="8" s="1"/>
  <c r="J184" i="4"/>
  <c r="K161" i="8" s="1"/>
  <c r="K182" i="4"/>
  <c r="F132" i="38" s="1"/>
  <c r="K183" i="4"/>
  <c r="K184" i="4"/>
  <c r="L182" i="4"/>
  <c r="L183" i="4"/>
  <c r="L184" i="4"/>
  <c r="M182" i="4"/>
  <c r="M159" i="8" s="1"/>
  <c r="M183" i="4"/>
  <c r="M160" i="8" s="1"/>
  <c r="M184" i="4"/>
  <c r="M161" i="8" s="1"/>
  <c r="N182" i="4"/>
  <c r="N183" i="4"/>
  <c r="N184" i="4"/>
  <c r="O182" i="4"/>
  <c r="O183" i="4"/>
  <c r="O184" i="4"/>
  <c r="P182" i="4"/>
  <c r="P183" i="4"/>
  <c r="P184" i="4"/>
  <c r="Q182" i="4"/>
  <c r="Q183" i="4"/>
  <c r="Q184" i="4"/>
  <c r="R182" i="4"/>
  <c r="R183" i="4"/>
  <c r="R184" i="4"/>
  <c r="S182" i="4"/>
  <c r="S183" i="4"/>
  <c r="S184" i="4"/>
  <c r="T182" i="4"/>
  <c r="T183" i="4"/>
  <c r="T184" i="4"/>
  <c r="U182" i="4"/>
  <c r="U183" i="4"/>
  <c r="U184" i="4"/>
  <c r="V182" i="4"/>
  <c r="V183" i="4"/>
  <c r="V184" i="4"/>
  <c r="X182" i="4"/>
  <c r="X183" i="4"/>
  <c r="X184" i="4"/>
  <c r="Y182" i="4"/>
  <c r="Y183" i="4"/>
  <c r="Y184" i="4"/>
  <c r="Z182" i="4"/>
  <c r="Z183" i="4"/>
  <c r="Z184" i="4"/>
  <c r="AA182" i="4"/>
  <c r="AA183" i="4"/>
  <c r="AA184" i="4"/>
  <c r="AF182" i="4"/>
  <c r="AF183" i="4"/>
  <c r="AF184" i="4"/>
  <c r="AG182" i="4"/>
  <c r="AG183" i="4"/>
  <c r="AG184" i="4"/>
  <c r="AH182" i="4"/>
  <c r="AH183" i="4"/>
  <c r="AH184" i="4"/>
  <c r="AI182" i="4"/>
  <c r="AI183" i="4"/>
  <c r="AI184" i="4"/>
  <c r="AQ182" i="4"/>
  <c r="AQ183" i="4"/>
  <c r="AQ184" i="4"/>
  <c r="AR182" i="4"/>
  <c r="AR183" i="4"/>
  <c r="AR184" i="4"/>
  <c r="AS182" i="4"/>
  <c r="AS183" i="4"/>
  <c r="AS184" i="4"/>
  <c r="AT182" i="4"/>
  <c r="AT183" i="4"/>
  <c r="AT184" i="4"/>
  <c r="AU182" i="4"/>
  <c r="AU183" i="4"/>
  <c r="AU184" i="4"/>
  <c r="AV182" i="4"/>
  <c r="AV183" i="4"/>
  <c r="AV184" i="4"/>
  <c r="AW182" i="4"/>
  <c r="AW183" i="4"/>
  <c r="AW184" i="4"/>
  <c r="B181" i="10"/>
  <c r="B182" i="10"/>
  <c r="B183" i="10"/>
  <c r="C181" i="10"/>
  <c r="C182" i="10"/>
  <c r="C183" i="10"/>
  <c r="B181" i="4"/>
  <c r="H158" i="8" s="1"/>
  <c r="C181" i="4"/>
  <c r="D181" i="4"/>
  <c r="E181" i="4"/>
  <c r="F181" i="4"/>
  <c r="G181" i="4"/>
  <c r="H181" i="4"/>
  <c r="J158" i="8" s="1"/>
  <c r="I181" i="4"/>
  <c r="J181" i="4"/>
  <c r="K181" i="4"/>
  <c r="F131" i="38" s="1"/>
  <c r="L181" i="4"/>
  <c r="M181" i="4"/>
  <c r="M158" i="8" s="1"/>
  <c r="N181" i="4"/>
  <c r="O181" i="4"/>
  <c r="P181" i="4"/>
  <c r="Q181" i="4"/>
  <c r="R181" i="4"/>
  <c r="S181" i="4"/>
  <c r="T181" i="4"/>
  <c r="U181" i="4"/>
  <c r="V181" i="4"/>
  <c r="X181" i="4"/>
  <c r="Y181" i="4"/>
  <c r="Z181" i="4"/>
  <c r="AA181" i="4"/>
  <c r="AF181" i="4"/>
  <c r="AG181" i="4"/>
  <c r="AH181" i="4"/>
  <c r="AI181" i="4"/>
  <c r="AQ181" i="4"/>
  <c r="AR181" i="4"/>
  <c r="AS181" i="4"/>
  <c r="AT181" i="4"/>
  <c r="AU181" i="4"/>
  <c r="AV181" i="4"/>
  <c r="AW181" i="4"/>
  <c r="B152" i="4"/>
  <c r="B153" i="4"/>
  <c r="B154" i="4"/>
  <c r="B155" i="4"/>
  <c r="H136" i="8" s="1"/>
  <c r="B156" i="4"/>
  <c r="H137" i="8" s="1"/>
  <c r="B157" i="4"/>
  <c r="B158" i="4"/>
  <c r="AP158" i="4" s="1"/>
  <c r="B159" i="4"/>
  <c r="B160" i="4"/>
  <c r="B161" i="4"/>
  <c r="H140" i="8" s="1"/>
  <c r="B162" i="4"/>
  <c r="H141" i="8" s="1"/>
  <c r="B163" i="4"/>
  <c r="B164" i="4"/>
  <c r="H142" i="8" s="1"/>
  <c r="B165" i="4"/>
  <c r="H143" i="8" s="1"/>
  <c r="B166" i="4"/>
  <c r="H144" i="8" s="1"/>
  <c r="B167" i="4"/>
  <c r="H145" i="8" s="1"/>
  <c r="B168" i="4"/>
  <c r="B169" i="4"/>
  <c r="H147" i="8" s="1"/>
  <c r="B170" i="4"/>
  <c r="H148" i="8" s="1"/>
  <c r="B171" i="4"/>
  <c r="H149" i="8" s="1"/>
  <c r="B172" i="4"/>
  <c r="H150" i="8" s="1"/>
  <c r="B173" i="4"/>
  <c r="B174" i="4"/>
  <c r="H151" i="8" s="1"/>
  <c r="B175" i="4"/>
  <c r="H152" i="8" s="1"/>
  <c r="B176" i="4"/>
  <c r="H153" i="8" s="1"/>
  <c r="B177" i="4"/>
  <c r="H154" i="8" s="1"/>
  <c r="B178" i="4"/>
  <c r="H155" i="8" s="1"/>
  <c r="B179" i="4"/>
  <c r="H156" i="8" s="1"/>
  <c r="B180" i="4"/>
  <c r="H157" i="8" s="1"/>
  <c r="C152" i="4"/>
  <c r="C153" i="4"/>
  <c r="B134" i="8" s="1"/>
  <c r="C154" i="4"/>
  <c r="B135" i="8" s="1"/>
  <c r="C155" i="4"/>
  <c r="B136" i="8" s="1"/>
  <c r="C156" i="4"/>
  <c r="B137" i="8" s="1"/>
  <c r="C157" i="4"/>
  <c r="C158" i="4"/>
  <c r="B24" i="23" s="1"/>
  <c r="C159" i="4"/>
  <c r="C160" i="4"/>
  <c r="C161" i="4"/>
  <c r="C162" i="4"/>
  <c r="C163" i="4"/>
  <c r="C164" i="4"/>
  <c r="C165" i="4"/>
  <c r="C166" i="4"/>
  <c r="B144" i="8" s="1"/>
  <c r="C167" i="4"/>
  <c r="C168" i="4"/>
  <c r="C169" i="4"/>
  <c r="C170" i="4"/>
  <c r="C171" i="4"/>
  <c r="C172" i="4"/>
  <c r="C173" i="4"/>
  <c r="C174" i="4"/>
  <c r="C175" i="4"/>
  <c r="C176" i="4"/>
  <c r="B153" i="8" s="1"/>
  <c r="C177" i="4"/>
  <c r="C178" i="4"/>
  <c r="C179" i="4"/>
  <c r="C180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F152" i="4"/>
  <c r="F153" i="4"/>
  <c r="F154" i="4"/>
  <c r="F155" i="4"/>
  <c r="F156" i="4"/>
  <c r="F157" i="4"/>
  <c r="F158" i="4"/>
  <c r="D24" i="23" s="1"/>
  <c r="F159" i="4"/>
  <c r="F160" i="4"/>
  <c r="D25" i="23" s="1"/>
  <c r="F161" i="4"/>
  <c r="F162" i="4"/>
  <c r="F163" i="4"/>
  <c r="D26" i="23" s="1"/>
  <c r="F164" i="4"/>
  <c r="F165" i="4"/>
  <c r="F166" i="4"/>
  <c r="F167" i="4"/>
  <c r="F168" i="4"/>
  <c r="F169" i="4"/>
  <c r="F170" i="4"/>
  <c r="F171" i="4"/>
  <c r="F172" i="4"/>
  <c r="F173" i="4"/>
  <c r="D27" i="23" s="1"/>
  <c r="F174" i="4"/>
  <c r="F175" i="4"/>
  <c r="F176" i="4"/>
  <c r="F177" i="4"/>
  <c r="F178" i="4"/>
  <c r="F179" i="4"/>
  <c r="F180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H152" i="4"/>
  <c r="J133" i="8" s="1"/>
  <c r="H153" i="4"/>
  <c r="J134" i="8" s="1"/>
  <c r="H154" i="4"/>
  <c r="J135" i="8" s="1"/>
  <c r="H155" i="4"/>
  <c r="J136" i="8" s="1"/>
  <c r="H156" i="4"/>
  <c r="J137" i="8" s="1"/>
  <c r="H157" i="4"/>
  <c r="J138" i="8" s="1"/>
  <c r="H158" i="4"/>
  <c r="H159" i="4"/>
  <c r="J139" i="8" s="1"/>
  <c r="H160" i="4"/>
  <c r="H161" i="4"/>
  <c r="J140" i="8" s="1"/>
  <c r="H162" i="4"/>
  <c r="J141" i="8" s="1"/>
  <c r="H163" i="4"/>
  <c r="H164" i="4"/>
  <c r="J142" i="8" s="1"/>
  <c r="H165" i="4"/>
  <c r="J143" i="8" s="1"/>
  <c r="H166" i="4"/>
  <c r="J144" i="8" s="1"/>
  <c r="H167" i="4"/>
  <c r="J145" i="8" s="1"/>
  <c r="H168" i="4"/>
  <c r="J146" i="8" s="1"/>
  <c r="H169" i="4"/>
  <c r="J147" i="8" s="1"/>
  <c r="H170" i="4"/>
  <c r="J148" i="8" s="1"/>
  <c r="H171" i="4"/>
  <c r="J149" i="8" s="1"/>
  <c r="H172" i="4"/>
  <c r="J150" i="8" s="1"/>
  <c r="H173" i="4"/>
  <c r="H174" i="4"/>
  <c r="J151" i="8" s="1"/>
  <c r="H175" i="4"/>
  <c r="J152" i="8" s="1"/>
  <c r="H176" i="4"/>
  <c r="J153" i="8" s="1"/>
  <c r="H177" i="4"/>
  <c r="J154" i="8" s="1"/>
  <c r="H178" i="4"/>
  <c r="J155" i="8" s="1"/>
  <c r="H179" i="4"/>
  <c r="J156" i="8" s="1"/>
  <c r="H180" i="4"/>
  <c r="J157" i="8" s="1"/>
  <c r="I152" i="4"/>
  <c r="D112" i="38" s="1"/>
  <c r="I153" i="4"/>
  <c r="W153" i="4" s="1"/>
  <c r="I154" i="4"/>
  <c r="I155" i="4"/>
  <c r="W155" i="4" s="1"/>
  <c r="I156" i="4"/>
  <c r="W156" i="4" s="1"/>
  <c r="I157" i="4"/>
  <c r="I158" i="4"/>
  <c r="W158" i="4" s="1"/>
  <c r="I159" i="4"/>
  <c r="I160" i="4"/>
  <c r="W160" i="4" s="1"/>
  <c r="I161" i="4"/>
  <c r="D115" i="38" s="1"/>
  <c r="I162" i="4"/>
  <c r="D116" i="38" s="1"/>
  <c r="I163" i="4"/>
  <c r="W163" i="4" s="1"/>
  <c r="I164" i="4"/>
  <c r="D117" i="38" s="1"/>
  <c r="I165" i="4"/>
  <c r="D118" i="38" s="1"/>
  <c r="I166" i="4"/>
  <c r="I167" i="4"/>
  <c r="I168" i="4"/>
  <c r="I169" i="4"/>
  <c r="I170" i="4"/>
  <c r="I171" i="4"/>
  <c r="D123" i="38" s="1"/>
  <c r="I172" i="4"/>
  <c r="I173" i="4"/>
  <c r="AK173" i="4" s="1"/>
  <c r="I174" i="4"/>
  <c r="I175" i="4"/>
  <c r="I176" i="4"/>
  <c r="I177" i="4"/>
  <c r="I178" i="4"/>
  <c r="I179" i="4"/>
  <c r="I180" i="4"/>
  <c r="J152" i="4"/>
  <c r="J153" i="4"/>
  <c r="K134" i="8" s="1"/>
  <c r="J154" i="4"/>
  <c r="K135" i="8" s="1"/>
  <c r="J155" i="4"/>
  <c r="K136" i="8" s="1"/>
  <c r="J156" i="4"/>
  <c r="K137" i="8" s="1"/>
  <c r="J157" i="4"/>
  <c r="J158" i="4"/>
  <c r="J159" i="4"/>
  <c r="J160" i="4"/>
  <c r="J161" i="4"/>
  <c r="J162" i="4"/>
  <c r="J163" i="4"/>
  <c r="J164" i="4"/>
  <c r="J165" i="4"/>
  <c r="J166" i="4"/>
  <c r="K144" i="8" s="1"/>
  <c r="J167" i="4"/>
  <c r="J168" i="4"/>
  <c r="J169" i="4"/>
  <c r="J170" i="4"/>
  <c r="J171" i="4"/>
  <c r="J172" i="4"/>
  <c r="J173" i="4"/>
  <c r="J174" i="4"/>
  <c r="J175" i="4"/>
  <c r="J176" i="4"/>
  <c r="K153" i="8" s="1"/>
  <c r="J177" i="4"/>
  <c r="J178" i="4"/>
  <c r="J179" i="4"/>
  <c r="J180" i="4"/>
  <c r="K152" i="4"/>
  <c r="F112" i="38" s="1"/>
  <c r="K153" i="4"/>
  <c r="K154" i="4"/>
  <c r="K155" i="4"/>
  <c r="K156" i="4"/>
  <c r="K157" i="4"/>
  <c r="F113" i="38" s="1"/>
  <c r="K158" i="4"/>
  <c r="K159" i="4"/>
  <c r="F114" i="38" s="1"/>
  <c r="K160" i="4"/>
  <c r="K161" i="4"/>
  <c r="F115" i="38" s="1"/>
  <c r="K162" i="4"/>
  <c r="F116" i="38" s="1"/>
  <c r="K163" i="4"/>
  <c r="K164" i="4"/>
  <c r="F117" i="38" s="1"/>
  <c r="K165" i="4"/>
  <c r="F118" i="38" s="1"/>
  <c r="K166" i="4"/>
  <c r="K167" i="4"/>
  <c r="F119" i="38" s="1"/>
  <c r="K168" i="4"/>
  <c r="F120" i="38" s="1"/>
  <c r="K169" i="4"/>
  <c r="F121" i="38" s="1"/>
  <c r="K170" i="4"/>
  <c r="F122" i="38" s="1"/>
  <c r="K171" i="4"/>
  <c r="F123" i="38" s="1"/>
  <c r="K172" i="4"/>
  <c r="F124" i="38" s="1"/>
  <c r="K173" i="4"/>
  <c r="K174" i="4"/>
  <c r="F125" i="38" s="1"/>
  <c r="K175" i="4"/>
  <c r="F126" i="38" s="1"/>
  <c r="K176" i="4"/>
  <c r="K177" i="4"/>
  <c r="F127" i="38" s="1"/>
  <c r="K178" i="4"/>
  <c r="F128" i="38" s="1"/>
  <c r="K179" i="4"/>
  <c r="F129" i="38" s="1"/>
  <c r="K180" i="4"/>
  <c r="F130" i="38" s="1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M152" i="4"/>
  <c r="M133" i="8" s="1"/>
  <c r="M153" i="4"/>
  <c r="M134" i="8" s="1"/>
  <c r="M154" i="4"/>
  <c r="M135" i="8" s="1"/>
  <c r="M155" i="4"/>
  <c r="M136" i="8" s="1"/>
  <c r="M156" i="4"/>
  <c r="M137" i="8" s="1"/>
  <c r="M157" i="4"/>
  <c r="M138" i="8" s="1"/>
  <c r="M158" i="4"/>
  <c r="M159" i="4"/>
  <c r="M139" i="8" s="1"/>
  <c r="M160" i="4"/>
  <c r="M161" i="4"/>
  <c r="M140" i="8" s="1"/>
  <c r="M162" i="4"/>
  <c r="M141" i="8" s="1"/>
  <c r="M163" i="4"/>
  <c r="M164" i="4"/>
  <c r="M142" i="8" s="1"/>
  <c r="M165" i="4"/>
  <c r="M143" i="8" s="1"/>
  <c r="M166" i="4"/>
  <c r="M144" i="8" s="1"/>
  <c r="M167" i="4"/>
  <c r="M145" i="8" s="1"/>
  <c r="M168" i="4"/>
  <c r="M146" i="8" s="1"/>
  <c r="M169" i="4"/>
  <c r="M147" i="8" s="1"/>
  <c r="M170" i="4"/>
  <c r="M148" i="8" s="1"/>
  <c r="M171" i="4"/>
  <c r="M149" i="8" s="1"/>
  <c r="M172" i="4"/>
  <c r="M150" i="8" s="1"/>
  <c r="M173" i="4"/>
  <c r="M174" i="4"/>
  <c r="M151" i="8" s="1"/>
  <c r="M175" i="4"/>
  <c r="M152" i="8" s="1"/>
  <c r="M176" i="4"/>
  <c r="M153" i="8" s="1"/>
  <c r="M177" i="4"/>
  <c r="M154" i="8" s="1"/>
  <c r="M178" i="4"/>
  <c r="M155" i="8" s="1"/>
  <c r="M179" i="4"/>
  <c r="M156" i="8" s="1"/>
  <c r="M180" i="4"/>
  <c r="M157" i="8" s="1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Z152" i="4"/>
  <c r="Z153" i="4"/>
  <c r="Z154" i="4"/>
  <c r="Z155" i="4"/>
  <c r="Z156" i="4"/>
  <c r="Z157" i="4"/>
  <c r="Z158" i="4"/>
  <c r="Z159" i="4"/>
  <c r="Z160" i="4"/>
  <c r="Z161" i="4"/>
  <c r="Z162" i="4"/>
  <c r="Z163" i="4"/>
  <c r="Z164" i="4"/>
  <c r="Z165" i="4"/>
  <c r="Z166" i="4"/>
  <c r="Z167" i="4"/>
  <c r="Z168" i="4"/>
  <c r="Z169" i="4"/>
  <c r="Z170" i="4"/>
  <c r="Z171" i="4"/>
  <c r="Z172" i="4"/>
  <c r="Z173" i="4"/>
  <c r="Z174" i="4"/>
  <c r="Z175" i="4"/>
  <c r="Z176" i="4"/>
  <c r="Z177" i="4"/>
  <c r="Z178" i="4"/>
  <c r="Z179" i="4"/>
  <c r="Z180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I152" i="4"/>
  <c r="AI153" i="4"/>
  <c r="AI154" i="4"/>
  <c r="AI155" i="4"/>
  <c r="AI156" i="4"/>
  <c r="AI157" i="4"/>
  <c r="AI158" i="4"/>
  <c r="N24" i="23" s="1"/>
  <c r="AI159" i="4"/>
  <c r="AI160" i="4"/>
  <c r="N25" i="23" s="1"/>
  <c r="AI161" i="4"/>
  <c r="AI162" i="4"/>
  <c r="AI163" i="4"/>
  <c r="N26" i="23" s="1"/>
  <c r="AI164" i="4"/>
  <c r="AI165" i="4"/>
  <c r="AI166" i="4"/>
  <c r="AI167" i="4"/>
  <c r="AI168" i="4"/>
  <c r="AI169" i="4"/>
  <c r="AI170" i="4"/>
  <c r="AI171" i="4"/>
  <c r="AI172" i="4"/>
  <c r="AI173" i="4"/>
  <c r="N27" i="23" s="1"/>
  <c r="AI174" i="4"/>
  <c r="AI175" i="4"/>
  <c r="AI176" i="4"/>
  <c r="AI177" i="4"/>
  <c r="AI178" i="4"/>
  <c r="AI179" i="4"/>
  <c r="AI180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R152" i="4"/>
  <c r="AR153" i="4"/>
  <c r="AR154" i="4"/>
  <c r="AR155" i="4"/>
  <c r="AR156" i="4"/>
  <c r="AR157" i="4"/>
  <c r="AR158" i="4"/>
  <c r="AR159" i="4"/>
  <c r="AR160" i="4"/>
  <c r="AR161" i="4"/>
  <c r="AR162" i="4"/>
  <c r="AR163" i="4"/>
  <c r="AR164" i="4"/>
  <c r="AR165" i="4"/>
  <c r="AR166" i="4"/>
  <c r="AR167" i="4"/>
  <c r="AR168" i="4"/>
  <c r="AR169" i="4"/>
  <c r="AR170" i="4"/>
  <c r="AR171" i="4"/>
  <c r="AR172" i="4"/>
  <c r="AR173" i="4"/>
  <c r="AR174" i="4"/>
  <c r="AR175" i="4"/>
  <c r="AR176" i="4"/>
  <c r="AR177" i="4"/>
  <c r="AR178" i="4"/>
  <c r="AR179" i="4"/>
  <c r="AR180" i="4"/>
  <c r="AS152" i="4"/>
  <c r="AS153" i="4"/>
  <c r="AS154" i="4"/>
  <c r="AS155" i="4"/>
  <c r="AS156" i="4"/>
  <c r="AS157" i="4"/>
  <c r="AS158" i="4"/>
  <c r="AS159" i="4"/>
  <c r="AS160" i="4"/>
  <c r="AS161" i="4"/>
  <c r="AS162" i="4"/>
  <c r="AS163" i="4"/>
  <c r="AS164" i="4"/>
  <c r="AS165" i="4"/>
  <c r="AS166" i="4"/>
  <c r="AS167" i="4"/>
  <c r="AS168" i="4"/>
  <c r="AS169" i="4"/>
  <c r="AS170" i="4"/>
  <c r="AS171" i="4"/>
  <c r="AS172" i="4"/>
  <c r="AS173" i="4"/>
  <c r="AS174" i="4"/>
  <c r="AS175" i="4"/>
  <c r="AS176" i="4"/>
  <c r="AS177" i="4"/>
  <c r="AS178" i="4"/>
  <c r="AS179" i="4"/>
  <c r="AS180" i="4"/>
  <c r="AT152" i="4"/>
  <c r="AT153" i="4"/>
  <c r="AT154" i="4"/>
  <c r="AT155" i="4"/>
  <c r="AT156" i="4"/>
  <c r="AT157" i="4"/>
  <c r="AT158" i="4"/>
  <c r="AT159" i="4"/>
  <c r="AT160" i="4"/>
  <c r="AT161" i="4"/>
  <c r="AT162" i="4"/>
  <c r="AT163" i="4"/>
  <c r="AT164" i="4"/>
  <c r="AT165" i="4"/>
  <c r="AT166" i="4"/>
  <c r="AT167" i="4"/>
  <c r="AT168" i="4"/>
  <c r="AT169" i="4"/>
  <c r="AT170" i="4"/>
  <c r="AT171" i="4"/>
  <c r="AT172" i="4"/>
  <c r="AT173" i="4"/>
  <c r="AT174" i="4"/>
  <c r="AT175" i="4"/>
  <c r="AT176" i="4"/>
  <c r="AT177" i="4"/>
  <c r="AT178" i="4"/>
  <c r="AT179" i="4"/>
  <c r="AT180" i="4"/>
  <c r="AU152" i="4"/>
  <c r="AU153" i="4"/>
  <c r="AU154" i="4"/>
  <c r="AU155" i="4"/>
  <c r="AU156" i="4"/>
  <c r="AU157" i="4"/>
  <c r="AU158" i="4"/>
  <c r="AU159" i="4"/>
  <c r="AU160" i="4"/>
  <c r="AU161" i="4"/>
  <c r="AU162" i="4"/>
  <c r="AU163" i="4"/>
  <c r="AU164" i="4"/>
  <c r="AU165" i="4"/>
  <c r="AU166" i="4"/>
  <c r="AU167" i="4"/>
  <c r="AU168" i="4"/>
  <c r="AU169" i="4"/>
  <c r="AU170" i="4"/>
  <c r="AU171" i="4"/>
  <c r="AU172" i="4"/>
  <c r="AU173" i="4"/>
  <c r="AU174" i="4"/>
  <c r="AU175" i="4"/>
  <c r="AU176" i="4"/>
  <c r="AU177" i="4"/>
  <c r="AU178" i="4"/>
  <c r="AU179" i="4"/>
  <c r="AU180" i="4"/>
  <c r="AV152" i="4"/>
  <c r="AV153" i="4"/>
  <c r="AV154" i="4"/>
  <c r="AV155" i="4"/>
  <c r="AV156" i="4"/>
  <c r="AV157" i="4"/>
  <c r="AV158" i="4"/>
  <c r="AV159" i="4"/>
  <c r="AV160" i="4"/>
  <c r="AV161" i="4"/>
  <c r="AV162" i="4"/>
  <c r="AV163" i="4"/>
  <c r="AV164" i="4"/>
  <c r="AV165" i="4"/>
  <c r="AV166" i="4"/>
  <c r="AV167" i="4"/>
  <c r="AV168" i="4"/>
  <c r="AV169" i="4"/>
  <c r="AV170" i="4"/>
  <c r="AV171" i="4"/>
  <c r="AV172" i="4"/>
  <c r="AV173" i="4"/>
  <c r="AV174" i="4"/>
  <c r="AV175" i="4"/>
  <c r="AV176" i="4"/>
  <c r="AV177" i="4"/>
  <c r="AV178" i="4"/>
  <c r="AV179" i="4"/>
  <c r="AV180" i="4"/>
  <c r="AW152" i="4"/>
  <c r="AW153" i="4"/>
  <c r="AW154" i="4"/>
  <c r="AW155" i="4"/>
  <c r="AW156" i="4"/>
  <c r="AW157" i="4"/>
  <c r="AW158" i="4"/>
  <c r="AW159" i="4"/>
  <c r="AW160" i="4"/>
  <c r="AW161" i="4"/>
  <c r="AW162" i="4"/>
  <c r="AW163" i="4"/>
  <c r="AW164" i="4"/>
  <c r="AW165" i="4"/>
  <c r="AW166" i="4"/>
  <c r="AW167" i="4"/>
  <c r="AW168" i="4"/>
  <c r="AW169" i="4"/>
  <c r="AW170" i="4"/>
  <c r="AW171" i="4"/>
  <c r="AW172" i="4"/>
  <c r="AW173" i="4"/>
  <c r="AW174" i="4"/>
  <c r="AW175" i="4"/>
  <c r="AW176" i="4"/>
  <c r="AW177" i="4"/>
  <c r="AW178" i="4"/>
  <c r="AW179" i="4"/>
  <c r="AW180" i="4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B151" i="4"/>
  <c r="C151" i="4"/>
  <c r="D151" i="4"/>
  <c r="E151" i="4"/>
  <c r="F151" i="4"/>
  <c r="G151" i="4"/>
  <c r="H151" i="4"/>
  <c r="J132" i="8" s="1"/>
  <c r="I151" i="4"/>
  <c r="J151" i="4"/>
  <c r="K151" i="4"/>
  <c r="F111" i="38" s="1"/>
  <c r="L151" i="4"/>
  <c r="M151" i="4"/>
  <c r="M132" i="8" s="1"/>
  <c r="N151" i="4"/>
  <c r="O151" i="4"/>
  <c r="P151" i="4"/>
  <c r="Q151" i="4"/>
  <c r="R151" i="4"/>
  <c r="S151" i="4"/>
  <c r="T151" i="4"/>
  <c r="U151" i="4"/>
  <c r="V151" i="4"/>
  <c r="X151" i="4"/>
  <c r="Y151" i="4"/>
  <c r="Z151" i="4"/>
  <c r="AA151" i="4"/>
  <c r="AF151" i="4"/>
  <c r="AG151" i="4"/>
  <c r="AH151" i="4"/>
  <c r="AI151" i="4"/>
  <c r="AQ151" i="4"/>
  <c r="AR151" i="4"/>
  <c r="AS151" i="4"/>
  <c r="AT151" i="4"/>
  <c r="AU151" i="4"/>
  <c r="AV151" i="4"/>
  <c r="AW151" i="4"/>
  <c r="B151" i="10"/>
  <c r="C151" i="10"/>
  <c r="B130" i="4"/>
  <c r="B139" i="4"/>
  <c r="B143" i="4"/>
  <c r="B145" i="4"/>
  <c r="B150" i="4"/>
  <c r="C130" i="4"/>
  <c r="C139" i="4"/>
  <c r="B120" i="8" s="1"/>
  <c r="C143" i="4"/>
  <c r="C145" i="4"/>
  <c r="C150" i="4"/>
  <c r="D130" i="4"/>
  <c r="D139" i="4"/>
  <c r="D143" i="4"/>
  <c r="D145" i="4"/>
  <c r="D150" i="4"/>
  <c r="E130" i="4"/>
  <c r="E139" i="4"/>
  <c r="E143" i="4"/>
  <c r="E145" i="4"/>
  <c r="E150" i="4"/>
  <c r="F130" i="4"/>
  <c r="F139" i="4"/>
  <c r="F143" i="4"/>
  <c r="F145" i="4"/>
  <c r="F150" i="4"/>
  <c r="G130" i="4"/>
  <c r="G139" i="4"/>
  <c r="G143" i="4"/>
  <c r="G145" i="4"/>
  <c r="G150" i="4"/>
  <c r="H130" i="4"/>
  <c r="J111" i="8" s="1"/>
  <c r="H139" i="4"/>
  <c r="J120" i="8" s="1"/>
  <c r="H143" i="4"/>
  <c r="J124" i="8" s="1"/>
  <c r="H145" i="4"/>
  <c r="J126" i="8" s="1"/>
  <c r="H150" i="4"/>
  <c r="J131" i="8" s="1"/>
  <c r="I130" i="4"/>
  <c r="D93" i="38" s="1"/>
  <c r="I139" i="4"/>
  <c r="I143" i="4"/>
  <c r="D104" i="38" s="1"/>
  <c r="I145" i="4"/>
  <c r="I150" i="4"/>
  <c r="J130" i="4"/>
  <c r="J139" i="4"/>
  <c r="K120" i="8" s="1"/>
  <c r="J143" i="4"/>
  <c r="J145" i="4"/>
  <c r="J150" i="4"/>
  <c r="K130" i="4"/>
  <c r="F93" i="38" s="1"/>
  <c r="K139" i="4"/>
  <c r="K143" i="4"/>
  <c r="F104" i="38" s="1"/>
  <c r="K145" i="4"/>
  <c r="F106" i="38" s="1"/>
  <c r="K150" i="4"/>
  <c r="F110" i="38" s="1"/>
  <c r="L130" i="4"/>
  <c r="L139" i="4"/>
  <c r="L143" i="4"/>
  <c r="L145" i="4"/>
  <c r="L150" i="4"/>
  <c r="M130" i="4"/>
  <c r="M111" i="8" s="1"/>
  <c r="M139" i="4"/>
  <c r="M120" i="8" s="1"/>
  <c r="M143" i="4"/>
  <c r="M124" i="8" s="1"/>
  <c r="M145" i="4"/>
  <c r="M126" i="8" s="1"/>
  <c r="M150" i="4"/>
  <c r="M131" i="8" s="1"/>
  <c r="N130" i="4"/>
  <c r="N139" i="4"/>
  <c r="N143" i="4"/>
  <c r="N145" i="4"/>
  <c r="N150" i="4"/>
  <c r="O130" i="4"/>
  <c r="O139" i="4"/>
  <c r="O143" i="4"/>
  <c r="O145" i="4"/>
  <c r="O150" i="4"/>
  <c r="P130" i="4"/>
  <c r="P139" i="4"/>
  <c r="P143" i="4"/>
  <c r="P145" i="4"/>
  <c r="P150" i="4"/>
  <c r="Q130" i="4"/>
  <c r="Q139" i="4"/>
  <c r="Q143" i="4"/>
  <c r="Q145" i="4"/>
  <c r="Q150" i="4"/>
  <c r="R130" i="4"/>
  <c r="R139" i="4"/>
  <c r="R143" i="4"/>
  <c r="R145" i="4"/>
  <c r="R150" i="4"/>
  <c r="S130" i="4"/>
  <c r="S139" i="4"/>
  <c r="S143" i="4"/>
  <c r="S145" i="4"/>
  <c r="S150" i="4"/>
  <c r="T130" i="4"/>
  <c r="T139" i="4"/>
  <c r="T143" i="4"/>
  <c r="T145" i="4"/>
  <c r="T150" i="4"/>
  <c r="U130" i="4"/>
  <c r="U139" i="4"/>
  <c r="U143" i="4"/>
  <c r="U145" i="4"/>
  <c r="U150" i="4"/>
  <c r="V130" i="4"/>
  <c r="V139" i="4"/>
  <c r="V143" i="4"/>
  <c r="V145" i="4"/>
  <c r="V150" i="4"/>
  <c r="X130" i="4"/>
  <c r="X139" i="4"/>
  <c r="X143" i="4"/>
  <c r="X145" i="4"/>
  <c r="X150" i="4"/>
  <c r="Y130" i="4"/>
  <c r="Y139" i="4"/>
  <c r="Y143" i="4"/>
  <c r="Y145" i="4"/>
  <c r="Y150" i="4"/>
  <c r="Z130" i="4"/>
  <c r="Z139" i="4"/>
  <c r="Z143" i="4"/>
  <c r="Z145" i="4"/>
  <c r="Z150" i="4"/>
  <c r="AA130" i="4"/>
  <c r="AA139" i="4"/>
  <c r="AA143" i="4"/>
  <c r="AA145" i="4"/>
  <c r="AA150" i="4"/>
  <c r="AF130" i="4"/>
  <c r="AF139" i="4"/>
  <c r="AF143" i="4"/>
  <c r="AF145" i="4"/>
  <c r="AF150" i="4"/>
  <c r="AG130" i="4"/>
  <c r="AG139" i="4"/>
  <c r="AG143" i="4"/>
  <c r="AG145" i="4"/>
  <c r="AG150" i="4"/>
  <c r="AH130" i="4"/>
  <c r="AH139" i="4"/>
  <c r="AH143" i="4"/>
  <c r="AH145" i="4"/>
  <c r="AH150" i="4"/>
  <c r="AI130" i="4"/>
  <c r="AI139" i="4"/>
  <c r="AI143" i="4"/>
  <c r="AI145" i="4"/>
  <c r="AI150" i="4"/>
  <c r="AQ130" i="4"/>
  <c r="AQ139" i="4"/>
  <c r="AQ143" i="4"/>
  <c r="AQ145" i="4"/>
  <c r="AQ150" i="4"/>
  <c r="AR130" i="4"/>
  <c r="AR139" i="4"/>
  <c r="AR143" i="4"/>
  <c r="AR145" i="4"/>
  <c r="AR150" i="4"/>
  <c r="AS130" i="4"/>
  <c r="AS139" i="4"/>
  <c r="AS143" i="4"/>
  <c r="AS145" i="4"/>
  <c r="AS150" i="4"/>
  <c r="AT130" i="4"/>
  <c r="AT139" i="4"/>
  <c r="AT143" i="4"/>
  <c r="AT145" i="4"/>
  <c r="AT150" i="4"/>
  <c r="AU130" i="4"/>
  <c r="AU139" i="4"/>
  <c r="AU143" i="4"/>
  <c r="AU145" i="4"/>
  <c r="AU150" i="4"/>
  <c r="AV130" i="4"/>
  <c r="AV139" i="4"/>
  <c r="AV143" i="4"/>
  <c r="AV145" i="4"/>
  <c r="AV150" i="4"/>
  <c r="AW130" i="4"/>
  <c r="AW139" i="4"/>
  <c r="AW143" i="4"/>
  <c r="AW145" i="4"/>
  <c r="AW150" i="4"/>
  <c r="B136" i="4"/>
  <c r="C136" i="4"/>
  <c r="D136" i="4"/>
  <c r="E136" i="4"/>
  <c r="F136" i="4"/>
  <c r="G136" i="4"/>
  <c r="H136" i="4"/>
  <c r="J117" i="8" s="1"/>
  <c r="I136" i="4"/>
  <c r="J136" i="4"/>
  <c r="K136" i="4"/>
  <c r="F98" i="38" s="1"/>
  <c r="L136" i="4"/>
  <c r="M136" i="4"/>
  <c r="M117" i="8" s="1"/>
  <c r="N136" i="4"/>
  <c r="O136" i="4"/>
  <c r="P136" i="4"/>
  <c r="Q136" i="4"/>
  <c r="R136" i="4"/>
  <c r="S136" i="4"/>
  <c r="T136" i="4"/>
  <c r="U136" i="4"/>
  <c r="V136" i="4"/>
  <c r="X136" i="4"/>
  <c r="Y136" i="4"/>
  <c r="Z136" i="4"/>
  <c r="AA136" i="4"/>
  <c r="AF136" i="4"/>
  <c r="AG136" i="4"/>
  <c r="AH136" i="4"/>
  <c r="AI136" i="4"/>
  <c r="AQ136" i="4"/>
  <c r="AR136" i="4"/>
  <c r="AS136" i="4"/>
  <c r="AT136" i="4"/>
  <c r="AU136" i="4"/>
  <c r="AV136" i="4"/>
  <c r="AW136" i="4"/>
  <c r="B138" i="4"/>
  <c r="B141" i="4"/>
  <c r="B144" i="4"/>
  <c r="C138" i="4"/>
  <c r="C141" i="4"/>
  <c r="C144" i="4"/>
  <c r="D138" i="4"/>
  <c r="D141" i="4"/>
  <c r="D144" i="4"/>
  <c r="E138" i="4"/>
  <c r="E141" i="4"/>
  <c r="E144" i="4"/>
  <c r="F138" i="4"/>
  <c r="F141" i="4"/>
  <c r="F144" i="4"/>
  <c r="G138" i="4"/>
  <c r="G141" i="4"/>
  <c r="G144" i="4"/>
  <c r="H138" i="4"/>
  <c r="J119" i="8" s="1"/>
  <c r="H141" i="4"/>
  <c r="J122" i="8" s="1"/>
  <c r="H144" i="4"/>
  <c r="J125" i="8" s="1"/>
  <c r="I138" i="4"/>
  <c r="I141" i="4"/>
  <c r="I144" i="4"/>
  <c r="J138" i="4"/>
  <c r="J141" i="4"/>
  <c r="J144" i="4"/>
  <c r="K138" i="4"/>
  <c r="F100" i="38" s="1"/>
  <c r="K141" i="4"/>
  <c r="F102" i="38" s="1"/>
  <c r="K144" i="4"/>
  <c r="F105" i="38" s="1"/>
  <c r="L138" i="4"/>
  <c r="L141" i="4"/>
  <c r="L144" i="4"/>
  <c r="M138" i="4"/>
  <c r="M119" i="8" s="1"/>
  <c r="M141" i="4"/>
  <c r="M122" i="8" s="1"/>
  <c r="M144" i="4"/>
  <c r="M125" i="8" s="1"/>
  <c r="N138" i="4"/>
  <c r="N141" i="4"/>
  <c r="N144" i="4"/>
  <c r="O138" i="4"/>
  <c r="O141" i="4"/>
  <c r="O144" i="4"/>
  <c r="P138" i="4"/>
  <c r="P141" i="4"/>
  <c r="P144" i="4"/>
  <c r="Q138" i="4"/>
  <c r="Q141" i="4"/>
  <c r="Q144" i="4"/>
  <c r="R138" i="4"/>
  <c r="R141" i="4"/>
  <c r="R144" i="4"/>
  <c r="S138" i="4"/>
  <c r="S141" i="4"/>
  <c r="S144" i="4"/>
  <c r="T138" i="4"/>
  <c r="T141" i="4"/>
  <c r="T144" i="4"/>
  <c r="U138" i="4"/>
  <c r="U141" i="4"/>
  <c r="U144" i="4"/>
  <c r="V138" i="4"/>
  <c r="V141" i="4"/>
  <c r="V144" i="4"/>
  <c r="X138" i="4"/>
  <c r="X141" i="4"/>
  <c r="X144" i="4"/>
  <c r="Y138" i="4"/>
  <c r="Y141" i="4"/>
  <c r="Y144" i="4"/>
  <c r="Z138" i="4"/>
  <c r="Z141" i="4"/>
  <c r="Z144" i="4"/>
  <c r="AA138" i="4"/>
  <c r="AA141" i="4"/>
  <c r="AA144" i="4"/>
  <c r="AF138" i="4"/>
  <c r="AF141" i="4"/>
  <c r="AF144" i="4"/>
  <c r="AG138" i="4"/>
  <c r="AG141" i="4"/>
  <c r="AG144" i="4"/>
  <c r="AH138" i="4"/>
  <c r="AH141" i="4"/>
  <c r="AH144" i="4"/>
  <c r="AI138" i="4"/>
  <c r="AI141" i="4"/>
  <c r="AI144" i="4"/>
  <c r="AQ138" i="4"/>
  <c r="AQ141" i="4"/>
  <c r="AQ144" i="4"/>
  <c r="AR138" i="4"/>
  <c r="AR141" i="4"/>
  <c r="AR144" i="4"/>
  <c r="AS138" i="4"/>
  <c r="AS141" i="4"/>
  <c r="AS144" i="4"/>
  <c r="AT138" i="4"/>
  <c r="AT141" i="4"/>
  <c r="AT144" i="4"/>
  <c r="AU138" i="4"/>
  <c r="AU141" i="4"/>
  <c r="AU144" i="4"/>
  <c r="AV138" i="4"/>
  <c r="AV141" i="4"/>
  <c r="AV144" i="4"/>
  <c r="AW138" i="4"/>
  <c r="AW141" i="4"/>
  <c r="AW144" i="4"/>
  <c r="B148" i="4"/>
  <c r="C148" i="4"/>
  <c r="D148" i="4"/>
  <c r="E148" i="4"/>
  <c r="F148" i="4"/>
  <c r="G148" i="4"/>
  <c r="H148" i="4"/>
  <c r="J129" i="8" s="1"/>
  <c r="I148" i="4"/>
  <c r="J148" i="4"/>
  <c r="K148" i="4"/>
  <c r="F108" i="38" s="1"/>
  <c r="L148" i="4"/>
  <c r="M148" i="4"/>
  <c r="M129" i="8" s="1"/>
  <c r="N148" i="4"/>
  <c r="O148" i="4"/>
  <c r="P148" i="4"/>
  <c r="Q148" i="4"/>
  <c r="R148" i="4"/>
  <c r="S148" i="4"/>
  <c r="T148" i="4"/>
  <c r="U148" i="4"/>
  <c r="V148" i="4"/>
  <c r="X148" i="4"/>
  <c r="Y148" i="4"/>
  <c r="Z148" i="4"/>
  <c r="AA148" i="4"/>
  <c r="AF148" i="4"/>
  <c r="AG148" i="4"/>
  <c r="AH148" i="4"/>
  <c r="AI148" i="4"/>
  <c r="AQ148" i="4"/>
  <c r="AR148" i="4"/>
  <c r="AS148" i="4"/>
  <c r="AT148" i="4"/>
  <c r="AU148" i="4"/>
  <c r="AV148" i="4"/>
  <c r="AW148" i="4"/>
  <c r="B129" i="4"/>
  <c r="C23" i="23" s="1"/>
  <c r="B131" i="4"/>
  <c r="H112" i="8" s="1"/>
  <c r="B132" i="4"/>
  <c r="H113" i="8" s="1"/>
  <c r="B134" i="4"/>
  <c r="H115" i="8" s="1"/>
  <c r="B137" i="4"/>
  <c r="H118" i="8" s="1"/>
  <c r="B140" i="4"/>
  <c r="H121" i="8" s="1"/>
  <c r="B142" i="4"/>
  <c r="H123" i="8" s="1"/>
  <c r="B133" i="4"/>
  <c r="B135" i="4"/>
  <c r="H116" i="8" s="1"/>
  <c r="B146" i="4"/>
  <c r="H127" i="8" s="1"/>
  <c r="B147" i="4"/>
  <c r="H128" i="8" s="1"/>
  <c r="B149" i="4"/>
  <c r="H130" i="8" s="1"/>
  <c r="C129" i="4"/>
  <c r="B23" i="23" s="1"/>
  <c r="C131" i="4"/>
  <c r="C132" i="4"/>
  <c r="C134" i="4"/>
  <c r="C137" i="4"/>
  <c r="C140" i="4"/>
  <c r="C142" i="4"/>
  <c r="C133" i="4"/>
  <c r="B114" i="8" s="1"/>
  <c r="C135" i="4"/>
  <c r="C146" i="4"/>
  <c r="B127" i="8" s="1"/>
  <c r="C147" i="4"/>
  <c r="C149" i="4"/>
  <c r="D129" i="4"/>
  <c r="D131" i="4"/>
  <c r="D132" i="4"/>
  <c r="D134" i="4"/>
  <c r="D137" i="4"/>
  <c r="D140" i="4"/>
  <c r="D142" i="4"/>
  <c r="D133" i="4"/>
  <c r="D135" i="4"/>
  <c r="D146" i="4"/>
  <c r="D147" i="4"/>
  <c r="D149" i="4"/>
  <c r="E129" i="4"/>
  <c r="E131" i="4"/>
  <c r="E132" i="4"/>
  <c r="E134" i="4"/>
  <c r="E137" i="4"/>
  <c r="E140" i="4"/>
  <c r="E142" i="4"/>
  <c r="E133" i="4"/>
  <c r="E135" i="4"/>
  <c r="E146" i="4"/>
  <c r="E147" i="4"/>
  <c r="E149" i="4"/>
  <c r="F129" i="4"/>
  <c r="D23" i="23" s="1"/>
  <c r="F131" i="4"/>
  <c r="F132" i="4"/>
  <c r="F134" i="4"/>
  <c r="F137" i="4"/>
  <c r="F140" i="4"/>
  <c r="F142" i="4"/>
  <c r="F133" i="4"/>
  <c r="F135" i="4"/>
  <c r="F146" i="4"/>
  <c r="F147" i="4"/>
  <c r="F149" i="4"/>
  <c r="G129" i="4"/>
  <c r="G131" i="4"/>
  <c r="G132" i="4"/>
  <c r="G134" i="4"/>
  <c r="G137" i="4"/>
  <c r="G140" i="4"/>
  <c r="G142" i="4"/>
  <c r="G133" i="4"/>
  <c r="G135" i="4"/>
  <c r="G146" i="4"/>
  <c r="G147" i="4"/>
  <c r="G149" i="4"/>
  <c r="H129" i="4"/>
  <c r="H131" i="4"/>
  <c r="J112" i="8" s="1"/>
  <c r="H132" i="4"/>
  <c r="J113" i="8" s="1"/>
  <c r="H134" i="4"/>
  <c r="J115" i="8" s="1"/>
  <c r="H137" i="4"/>
  <c r="J118" i="8" s="1"/>
  <c r="H140" i="4"/>
  <c r="J121" i="8" s="1"/>
  <c r="H142" i="4"/>
  <c r="J123" i="8" s="1"/>
  <c r="H133" i="4"/>
  <c r="J114" i="8" s="1"/>
  <c r="H135" i="4"/>
  <c r="J116" i="8" s="1"/>
  <c r="H146" i="4"/>
  <c r="J127" i="8" s="1"/>
  <c r="H147" i="4"/>
  <c r="J128" i="8" s="1"/>
  <c r="H149" i="4"/>
  <c r="J130" i="8" s="1"/>
  <c r="I129" i="4"/>
  <c r="AK129" i="4" s="1"/>
  <c r="I131" i="4"/>
  <c r="I132" i="4"/>
  <c r="I134" i="4"/>
  <c r="I137" i="4"/>
  <c r="I140" i="4"/>
  <c r="I142" i="4"/>
  <c r="I133" i="4"/>
  <c r="W133" i="4" s="1"/>
  <c r="I135" i="4"/>
  <c r="I146" i="4"/>
  <c r="W146" i="4" s="1"/>
  <c r="I147" i="4"/>
  <c r="I149" i="4"/>
  <c r="J129" i="4"/>
  <c r="J131" i="4"/>
  <c r="J132" i="4"/>
  <c r="J134" i="4"/>
  <c r="J137" i="4"/>
  <c r="J140" i="4"/>
  <c r="J142" i="4"/>
  <c r="J133" i="4"/>
  <c r="K114" i="8" s="1"/>
  <c r="J135" i="4"/>
  <c r="J146" i="4"/>
  <c r="K127" i="8" s="1"/>
  <c r="J147" i="4"/>
  <c r="J149" i="4"/>
  <c r="K129" i="4"/>
  <c r="K131" i="4"/>
  <c r="F94" i="38" s="1"/>
  <c r="K132" i="4"/>
  <c r="F95" i="38" s="1"/>
  <c r="K134" i="4"/>
  <c r="F96" i="38" s="1"/>
  <c r="K137" i="4"/>
  <c r="F99" i="38" s="1"/>
  <c r="K140" i="4"/>
  <c r="F101" i="38" s="1"/>
  <c r="K142" i="4"/>
  <c r="F103" i="38" s="1"/>
  <c r="K133" i="4"/>
  <c r="K135" i="4"/>
  <c r="F97" i="38" s="1"/>
  <c r="K146" i="4"/>
  <c r="K147" i="4"/>
  <c r="F107" i="38" s="1"/>
  <c r="K149" i="4"/>
  <c r="F109" i="38" s="1"/>
  <c r="L129" i="4"/>
  <c r="L131" i="4"/>
  <c r="L132" i="4"/>
  <c r="L134" i="4"/>
  <c r="L137" i="4"/>
  <c r="L140" i="4"/>
  <c r="L142" i="4"/>
  <c r="L133" i="4"/>
  <c r="L135" i="4"/>
  <c r="L146" i="4"/>
  <c r="L147" i="4"/>
  <c r="L149" i="4"/>
  <c r="M129" i="4"/>
  <c r="M131" i="4"/>
  <c r="M112" i="8" s="1"/>
  <c r="M132" i="4"/>
  <c r="M113" i="8" s="1"/>
  <c r="M134" i="4"/>
  <c r="M115" i="8" s="1"/>
  <c r="M137" i="4"/>
  <c r="M118" i="8" s="1"/>
  <c r="M140" i="4"/>
  <c r="M121" i="8" s="1"/>
  <c r="M142" i="4"/>
  <c r="M123" i="8" s="1"/>
  <c r="M133" i="4"/>
  <c r="M114" i="8" s="1"/>
  <c r="M135" i="4"/>
  <c r="M116" i="8" s="1"/>
  <c r="M146" i="4"/>
  <c r="M127" i="8" s="1"/>
  <c r="M147" i="4"/>
  <c r="M128" i="8" s="1"/>
  <c r="M149" i="4"/>
  <c r="M130" i="8" s="1"/>
  <c r="N129" i="4"/>
  <c r="N131" i="4"/>
  <c r="N132" i="4"/>
  <c r="N134" i="4"/>
  <c r="N137" i="4"/>
  <c r="N140" i="4"/>
  <c r="N142" i="4"/>
  <c r="N133" i="4"/>
  <c r="N135" i="4"/>
  <c r="N146" i="4"/>
  <c r="N147" i="4"/>
  <c r="N149" i="4"/>
  <c r="O129" i="4"/>
  <c r="O131" i="4"/>
  <c r="O132" i="4"/>
  <c r="O134" i="4"/>
  <c r="O137" i="4"/>
  <c r="O140" i="4"/>
  <c r="O142" i="4"/>
  <c r="O133" i="4"/>
  <c r="O135" i="4"/>
  <c r="O146" i="4"/>
  <c r="O147" i="4"/>
  <c r="O149" i="4"/>
  <c r="P129" i="4"/>
  <c r="P131" i="4"/>
  <c r="P132" i="4"/>
  <c r="P134" i="4"/>
  <c r="P137" i="4"/>
  <c r="P140" i="4"/>
  <c r="P142" i="4"/>
  <c r="P133" i="4"/>
  <c r="P135" i="4"/>
  <c r="P146" i="4"/>
  <c r="P147" i="4"/>
  <c r="P149" i="4"/>
  <c r="Q129" i="4"/>
  <c r="Q131" i="4"/>
  <c r="Q132" i="4"/>
  <c r="Q134" i="4"/>
  <c r="Q137" i="4"/>
  <c r="Q140" i="4"/>
  <c r="Q142" i="4"/>
  <c r="Q133" i="4"/>
  <c r="Q135" i="4"/>
  <c r="Q146" i="4"/>
  <c r="Q147" i="4"/>
  <c r="Q149" i="4"/>
  <c r="R129" i="4"/>
  <c r="R131" i="4"/>
  <c r="R132" i="4"/>
  <c r="R134" i="4"/>
  <c r="R137" i="4"/>
  <c r="R140" i="4"/>
  <c r="R142" i="4"/>
  <c r="R133" i="4"/>
  <c r="R135" i="4"/>
  <c r="R146" i="4"/>
  <c r="R147" i="4"/>
  <c r="R149" i="4"/>
  <c r="S129" i="4"/>
  <c r="S131" i="4"/>
  <c r="S132" i="4"/>
  <c r="S134" i="4"/>
  <c r="S137" i="4"/>
  <c r="S140" i="4"/>
  <c r="S142" i="4"/>
  <c r="S133" i="4"/>
  <c r="S135" i="4"/>
  <c r="S146" i="4"/>
  <c r="S147" i="4"/>
  <c r="S149" i="4"/>
  <c r="T129" i="4"/>
  <c r="T131" i="4"/>
  <c r="T132" i="4"/>
  <c r="T134" i="4"/>
  <c r="T137" i="4"/>
  <c r="T140" i="4"/>
  <c r="T142" i="4"/>
  <c r="T133" i="4"/>
  <c r="T135" i="4"/>
  <c r="T146" i="4"/>
  <c r="T147" i="4"/>
  <c r="T149" i="4"/>
  <c r="U129" i="4"/>
  <c r="U131" i="4"/>
  <c r="U132" i="4"/>
  <c r="U134" i="4"/>
  <c r="U137" i="4"/>
  <c r="U140" i="4"/>
  <c r="U142" i="4"/>
  <c r="U133" i="4"/>
  <c r="U135" i="4"/>
  <c r="U146" i="4"/>
  <c r="U147" i="4"/>
  <c r="U149" i="4"/>
  <c r="V129" i="4"/>
  <c r="V131" i="4"/>
  <c r="V132" i="4"/>
  <c r="V134" i="4"/>
  <c r="V137" i="4"/>
  <c r="V140" i="4"/>
  <c r="V142" i="4"/>
  <c r="V133" i="4"/>
  <c r="V135" i="4"/>
  <c r="V146" i="4"/>
  <c r="V147" i="4"/>
  <c r="V149" i="4"/>
  <c r="X129" i="4"/>
  <c r="X131" i="4"/>
  <c r="X132" i="4"/>
  <c r="X134" i="4"/>
  <c r="X137" i="4"/>
  <c r="X140" i="4"/>
  <c r="X142" i="4"/>
  <c r="X133" i="4"/>
  <c r="X135" i="4"/>
  <c r="X146" i="4"/>
  <c r="X147" i="4"/>
  <c r="X149" i="4"/>
  <c r="Y129" i="4"/>
  <c r="Y131" i="4"/>
  <c r="Y132" i="4"/>
  <c r="Y134" i="4"/>
  <c r="Y137" i="4"/>
  <c r="Y140" i="4"/>
  <c r="Y142" i="4"/>
  <c r="Y133" i="4"/>
  <c r="Y135" i="4"/>
  <c r="Y146" i="4"/>
  <c r="Y147" i="4"/>
  <c r="Y149" i="4"/>
  <c r="Z129" i="4"/>
  <c r="Z131" i="4"/>
  <c r="Z132" i="4"/>
  <c r="Z134" i="4"/>
  <c r="Z137" i="4"/>
  <c r="Z140" i="4"/>
  <c r="Z142" i="4"/>
  <c r="Z133" i="4"/>
  <c r="Z135" i="4"/>
  <c r="Z146" i="4"/>
  <c r="Z147" i="4"/>
  <c r="Z149" i="4"/>
  <c r="AA129" i="4"/>
  <c r="AA131" i="4"/>
  <c r="AA132" i="4"/>
  <c r="AA134" i="4"/>
  <c r="AA137" i="4"/>
  <c r="AA140" i="4"/>
  <c r="AA142" i="4"/>
  <c r="AA133" i="4"/>
  <c r="AA135" i="4"/>
  <c r="AA146" i="4"/>
  <c r="AA147" i="4"/>
  <c r="AA149" i="4"/>
  <c r="AF129" i="4"/>
  <c r="AF131" i="4"/>
  <c r="AF132" i="4"/>
  <c r="AF134" i="4"/>
  <c r="AF137" i="4"/>
  <c r="AF140" i="4"/>
  <c r="AF142" i="4"/>
  <c r="AF133" i="4"/>
  <c r="AF135" i="4"/>
  <c r="AF146" i="4"/>
  <c r="AF147" i="4"/>
  <c r="AF149" i="4"/>
  <c r="AG129" i="4"/>
  <c r="AG131" i="4"/>
  <c r="AG132" i="4"/>
  <c r="AG134" i="4"/>
  <c r="AG137" i="4"/>
  <c r="AG140" i="4"/>
  <c r="AG142" i="4"/>
  <c r="AG133" i="4"/>
  <c r="AG135" i="4"/>
  <c r="AG146" i="4"/>
  <c r="AG147" i="4"/>
  <c r="AG149" i="4"/>
  <c r="AH129" i="4"/>
  <c r="AH131" i="4"/>
  <c r="AH132" i="4"/>
  <c r="AH134" i="4"/>
  <c r="AH137" i="4"/>
  <c r="AH140" i="4"/>
  <c r="AH142" i="4"/>
  <c r="AH133" i="4"/>
  <c r="AH135" i="4"/>
  <c r="AH146" i="4"/>
  <c r="AH147" i="4"/>
  <c r="AH149" i="4"/>
  <c r="AI129" i="4"/>
  <c r="N23" i="23" s="1"/>
  <c r="AI131" i="4"/>
  <c r="AI132" i="4"/>
  <c r="AI134" i="4"/>
  <c r="AI137" i="4"/>
  <c r="AI140" i="4"/>
  <c r="AI142" i="4"/>
  <c r="AI133" i="4"/>
  <c r="AI135" i="4"/>
  <c r="AI146" i="4"/>
  <c r="AI147" i="4"/>
  <c r="AI149" i="4"/>
  <c r="AQ129" i="4"/>
  <c r="AQ131" i="4"/>
  <c r="AQ132" i="4"/>
  <c r="AQ134" i="4"/>
  <c r="AQ137" i="4"/>
  <c r="AQ140" i="4"/>
  <c r="AQ142" i="4"/>
  <c r="AQ133" i="4"/>
  <c r="AQ135" i="4"/>
  <c r="AQ146" i="4"/>
  <c r="AQ147" i="4"/>
  <c r="AQ149" i="4"/>
  <c r="AR129" i="4"/>
  <c r="AR131" i="4"/>
  <c r="AR132" i="4"/>
  <c r="AR134" i="4"/>
  <c r="AR137" i="4"/>
  <c r="AR140" i="4"/>
  <c r="AR142" i="4"/>
  <c r="AR133" i="4"/>
  <c r="AR135" i="4"/>
  <c r="AR146" i="4"/>
  <c r="AR147" i="4"/>
  <c r="AR149" i="4"/>
  <c r="AS129" i="4"/>
  <c r="AS131" i="4"/>
  <c r="AS132" i="4"/>
  <c r="AS134" i="4"/>
  <c r="AS137" i="4"/>
  <c r="AS140" i="4"/>
  <c r="AS142" i="4"/>
  <c r="AS133" i="4"/>
  <c r="AS135" i="4"/>
  <c r="AS146" i="4"/>
  <c r="AS147" i="4"/>
  <c r="AS149" i="4"/>
  <c r="AT129" i="4"/>
  <c r="AT131" i="4"/>
  <c r="AT132" i="4"/>
  <c r="AT134" i="4"/>
  <c r="AT137" i="4"/>
  <c r="AT140" i="4"/>
  <c r="AT142" i="4"/>
  <c r="AT133" i="4"/>
  <c r="AT135" i="4"/>
  <c r="AT146" i="4"/>
  <c r="AT147" i="4"/>
  <c r="AT149" i="4"/>
  <c r="AU129" i="4"/>
  <c r="AU131" i="4"/>
  <c r="AU132" i="4"/>
  <c r="AU134" i="4"/>
  <c r="AU137" i="4"/>
  <c r="AU140" i="4"/>
  <c r="AU142" i="4"/>
  <c r="AU133" i="4"/>
  <c r="AU135" i="4"/>
  <c r="AU146" i="4"/>
  <c r="AU147" i="4"/>
  <c r="AU149" i="4"/>
  <c r="AV129" i="4"/>
  <c r="AV131" i="4"/>
  <c r="AV132" i="4"/>
  <c r="AV134" i="4"/>
  <c r="AV137" i="4"/>
  <c r="AV140" i="4"/>
  <c r="AV142" i="4"/>
  <c r="AV133" i="4"/>
  <c r="AV135" i="4"/>
  <c r="AV146" i="4"/>
  <c r="AV147" i="4"/>
  <c r="AV149" i="4"/>
  <c r="AW129" i="4"/>
  <c r="AW131" i="4"/>
  <c r="AW132" i="4"/>
  <c r="AW134" i="4"/>
  <c r="AW137" i="4"/>
  <c r="AW140" i="4"/>
  <c r="AW142" i="4"/>
  <c r="AW133" i="4"/>
  <c r="AW135" i="4"/>
  <c r="AW146" i="4"/>
  <c r="AW147" i="4"/>
  <c r="AW149" i="4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B122" i="4"/>
  <c r="H105" i="8" s="1"/>
  <c r="B124" i="4"/>
  <c r="AP124" i="4" s="1"/>
  <c r="C122" i="4"/>
  <c r="C124" i="4"/>
  <c r="B22" i="23" s="1"/>
  <c r="D122" i="4"/>
  <c r="D124" i="4"/>
  <c r="E122" i="4"/>
  <c r="E124" i="4"/>
  <c r="F122" i="4"/>
  <c r="F124" i="4"/>
  <c r="D22" i="23" s="1"/>
  <c r="G122" i="4"/>
  <c r="G124" i="4"/>
  <c r="H122" i="4"/>
  <c r="J105" i="8" s="1"/>
  <c r="H124" i="4"/>
  <c r="I122" i="4"/>
  <c r="I124" i="4"/>
  <c r="AK124" i="4" s="1"/>
  <c r="J122" i="4"/>
  <c r="J124" i="4"/>
  <c r="K122" i="4"/>
  <c r="F88" i="38" s="1"/>
  <c r="K124" i="4"/>
  <c r="L122" i="4"/>
  <c r="L124" i="4"/>
  <c r="M122" i="4"/>
  <c r="M105" i="8" s="1"/>
  <c r="M124" i="4"/>
  <c r="N122" i="4"/>
  <c r="N124" i="4"/>
  <c r="O122" i="4"/>
  <c r="O124" i="4"/>
  <c r="P122" i="4"/>
  <c r="P124" i="4"/>
  <c r="Q122" i="4"/>
  <c r="Q124" i="4"/>
  <c r="R122" i="4"/>
  <c r="R124" i="4"/>
  <c r="S122" i="4"/>
  <c r="S124" i="4"/>
  <c r="T122" i="4"/>
  <c r="T124" i="4"/>
  <c r="U122" i="4"/>
  <c r="U124" i="4"/>
  <c r="V122" i="4"/>
  <c r="V124" i="4"/>
  <c r="X122" i="4"/>
  <c r="X124" i="4"/>
  <c r="Y122" i="4"/>
  <c r="Y124" i="4"/>
  <c r="Z122" i="4"/>
  <c r="Z124" i="4"/>
  <c r="AA122" i="4"/>
  <c r="AA124" i="4"/>
  <c r="AF122" i="4"/>
  <c r="AF124" i="4"/>
  <c r="AG122" i="4"/>
  <c r="AG124" i="4"/>
  <c r="AH122" i="4"/>
  <c r="AH124" i="4"/>
  <c r="AI122" i="4"/>
  <c r="AI124" i="4"/>
  <c r="N22" i="23" s="1"/>
  <c r="AQ122" i="4"/>
  <c r="AQ124" i="4"/>
  <c r="AR122" i="4"/>
  <c r="AR124" i="4"/>
  <c r="AS122" i="4"/>
  <c r="AS124" i="4"/>
  <c r="AT122" i="4"/>
  <c r="AT124" i="4"/>
  <c r="AU122" i="4"/>
  <c r="AU124" i="4"/>
  <c r="AV122" i="4"/>
  <c r="AV124" i="4"/>
  <c r="AW122" i="4"/>
  <c r="AW124" i="4"/>
  <c r="B119" i="4"/>
  <c r="H102" i="8" s="1"/>
  <c r="B128" i="4"/>
  <c r="H110" i="8" s="1"/>
  <c r="C119" i="4"/>
  <c r="C128" i="4"/>
  <c r="D119" i="4"/>
  <c r="D128" i="4"/>
  <c r="E119" i="4"/>
  <c r="E128" i="4"/>
  <c r="F119" i="4"/>
  <c r="F128" i="4"/>
  <c r="G119" i="4"/>
  <c r="G128" i="4"/>
  <c r="H119" i="4"/>
  <c r="J102" i="8" s="1"/>
  <c r="H128" i="4"/>
  <c r="J110" i="8" s="1"/>
  <c r="I119" i="4"/>
  <c r="I128" i="4"/>
  <c r="J119" i="4"/>
  <c r="J128" i="4"/>
  <c r="K119" i="4"/>
  <c r="F85" i="38" s="1"/>
  <c r="K128" i="4"/>
  <c r="F92" i="38" s="1"/>
  <c r="L119" i="4"/>
  <c r="L128" i="4"/>
  <c r="M119" i="4"/>
  <c r="M102" i="8" s="1"/>
  <c r="M128" i="4"/>
  <c r="M110" i="8" s="1"/>
  <c r="N119" i="4"/>
  <c r="N128" i="4"/>
  <c r="O119" i="4"/>
  <c r="O128" i="4"/>
  <c r="P119" i="4"/>
  <c r="P128" i="4"/>
  <c r="Q119" i="4"/>
  <c r="Q128" i="4"/>
  <c r="R119" i="4"/>
  <c r="R128" i="4"/>
  <c r="S119" i="4"/>
  <c r="S128" i="4"/>
  <c r="T119" i="4"/>
  <c r="T128" i="4"/>
  <c r="U119" i="4"/>
  <c r="U128" i="4"/>
  <c r="V119" i="4"/>
  <c r="V128" i="4"/>
  <c r="X119" i="4"/>
  <c r="X128" i="4"/>
  <c r="Y119" i="4"/>
  <c r="Y128" i="4"/>
  <c r="Z119" i="4"/>
  <c r="Z128" i="4"/>
  <c r="AA119" i="4"/>
  <c r="AA128" i="4"/>
  <c r="AF119" i="4"/>
  <c r="AF128" i="4"/>
  <c r="AG119" i="4"/>
  <c r="AG128" i="4"/>
  <c r="AH119" i="4"/>
  <c r="AH128" i="4"/>
  <c r="AI119" i="4"/>
  <c r="AI128" i="4"/>
  <c r="AQ119" i="4"/>
  <c r="AQ128" i="4"/>
  <c r="AR119" i="4"/>
  <c r="AR128" i="4"/>
  <c r="AS119" i="4"/>
  <c r="AS128" i="4"/>
  <c r="AT119" i="4"/>
  <c r="AT128" i="4"/>
  <c r="AU119" i="4"/>
  <c r="AU128" i="4"/>
  <c r="AV119" i="4"/>
  <c r="AV128" i="4"/>
  <c r="AW119" i="4"/>
  <c r="AW128" i="4"/>
  <c r="B120" i="4"/>
  <c r="H103" i="8" s="1"/>
  <c r="B121" i="4"/>
  <c r="H104" i="8" s="1"/>
  <c r="B123" i="4"/>
  <c r="H106" i="8" s="1"/>
  <c r="B125" i="4"/>
  <c r="H107" i="8" s="1"/>
  <c r="B126" i="4"/>
  <c r="B127" i="4"/>
  <c r="C120" i="4"/>
  <c r="C121" i="4"/>
  <c r="C123" i="4"/>
  <c r="C125" i="4"/>
  <c r="B107" i="8" s="1"/>
  <c r="C126" i="4"/>
  <c r="C127" i="4"/>
  <c r="D120" i="4"/>
  <c r="D121" i="4"/>
  <c r="D123" i="4"/>
  <c r="D125" i="4"/>
  <c r="D126" i="4"/>
  <c r="D127" i="4"/>
  <c r="E120" i="4"/>
  <c r="E121" i="4"/>
  <c r="E123" i="4"/>
  <c r="E125" i="4"/>
  <c r="E126" i="4"/>
  <c r="E127" i="4"/>
  <c r="F120" i="4"/>
  <c r="F121" i="4"/>
  <c r="F123" i="4"/>
  <c r="F125" i="4"/>
  <c r="F126" i="4"/>
  <c r="F127" i="4"/>
  <c r="G120" i="4"/>
  <c r="G121" i="4"/>
  <c r="G123" i="4"/>
  <c r="G125" i="4"/>
  <c r="G126" i="4"/>
  <c r="G127" i="4"/>
  <c r="H120" i="4"/>
  <c r="J103" i="8" s="1"/>
  <c r="H121" i="4"/>
  <c r="J104" i="8" s="1"/>
  <c r="H123" i="4"/>
  <c r="J106" i="8" s="1"/>
  <c r="H125" i="4"/>
  <c r="J107" i="8" s="1"/>
  <c r="H126" i="4"/>
  <c r="J108" i="8" s="1"/>
  <c r="H127" i="4"/>
  <c r="J109" i="8" s="1"/>
  <c r="I120" i="4"/>
  <c r="I121" i="4"/>
  <c r="I123" i="4"/>
  <c r="I125" i="4"/>
  <c r="W125" i="4" s="1"/>
  <c r="I126" i="4"/>
  <c r="I127" i="4"/>
  <c r="J120" i="4"/>
  <c r="J121" i="4"/>
  <c r="J123" i="4"/>
  <c r="J125" i="4"/>
  <c r="K107" i="8" s="1"/>
  <c r="J126" i="4"/>
  <c r="J127" i="4"/>
  <c r="K120" i="4"/>
  <c r="F86" i="38" s="1"/>
  <c r="K121" i="4"/>
  <c r="F87" i="38" s="1"/>
  <c r="K123" i="4"/>
  <c r="F89" i="38" s="1"/>
  <c r="K125" i="4"/>
  <c r="K126" i="4"/>
  <c r="F90" i="38" s="1"/>
  <c r="K127" i="4"/>
  <c r="F91" i="38" s="1"/>
  <c r="L120" i="4"/>
  <c r="L121" i="4"/>
  <c r="L123" i="4"/>
  <c r="L125" i="4"/>
  <c r="L126" i="4"/>
  <c r="L127" i="4"/>
  <c r="M120" i="4"/>
  <c r="M103" i="8" s="1"/>
  <c r="M121" i="4"/>
  <c r="M104" i="8" s="1"/>
  <c r="M123" i="4"/>
  <c r="M106" i="8" s="1"/>
  <c r="M125" i="4"/>
  <c r="M107" i="8" s="1"/>
  <c r="M126" i="4"/>
  <c r="M108" i="8" s="1"/>
  <c r="M127" i="4"/>
  <c r="M109" i="8" s="1"/>
  <c r="N120" i="4"/>
  <c r="N121" i="4"/>
  <c r="N123" i="4"/>
  <c r="N125" i="4"/>
  <c r="N126" i="4"/>
  <c r="N127" i="4"/>
  <c r="O120" i="4"/>
  <c r="O121" i="4"/>
  <c r="O123" i="4"/>
  <c r="O125" i="4"/>
  <c r="O126" i="4"/>
  <c r="O127" i="4"/>
  <c r="P120" i="4"/>
  <c r="P121" i="4"/>
  <c r="P123" i="4"/>
  <c r="P125" i="4"/>
  <c r="P126" i="4"/>
  <c r="P127" i="4"/>
  <c r="Q120" i="4"/>
  <c r="Q121" i="4"/>
  <c r="Q123" i="4"/>
  <c r="Q125" i="4"/>
  <c r="Q126" i="4"/>
  <c r="Q127" i="4"/>
  <c r="R120" i="4"/>
  <c r="R121" i="4"/>
  <c r="R123" i="4"/>
  <c r="R125" i="4"/>
  <c r="R126" i="4"/>
  <c r="R127" i="4"/>
  <c r="S120" i="4"/>
  <c r="S121" i="4"/>
  <c r="S123" i="4"/>
  <c r="S125" i="4"/>
  <c r="S126" i="4"/>
  <c r="S127" i="4"/>
  <c r="T120" i="4"/>
  <c r="T121" i="4"/>
  <c r="T123" i="4"/>
  <c r="T125" i="4"/>
  <c r="T126" i="4"/>
  <c r="T127" i="4"/>
  <c r="U120" i="4"/>
  <c r="U121" i="4"/>
  <c r="U123" i="4"/>
  <c r="U125" i="4"/>
  <c r="U126" i="4"/>
  <c r="U127" i="4"/>
  <c r="V120" i="4"/>
  <c r="V121" i="4"/>
  <c r="V123" i="4"/>
  <c r="V125" i="4"/>
  <c r="V126" i="4"/>
  <c r="V127" i="4"/>
  <c r="X120" i="4"/>
  <c r="X121" i="4"/>
  <c r="X123" i="4"/>
  <c r="X125" i="4"/>
  <c r="X126" i="4"/>
  <c r="X127" i="4"/>
  <c r="Y120" i="4"/>
  <c r="Y121" i="4"/>
  <c r="Y123" i="4"/>
  <c r="Y125" i="4"/>
  <c r="Y126" i="4"/>
  <c r="Y127" i="4"/>
  <c r="Z120" i="4"/>
  <c r="Z121" i="4"/>
  <c r="Z123" i="4"/>
  <c r="Z125" i="4"/>
  <c r="Z126" i="4"/>
  <c r="Z127" i="4"/>
  <c r="AA120" i="4"/>
  <c r="AA121" i="4"/>
  <c r="AA123" i="4"/>
  <c r="AA125" i="4"/>
  <c r="AA126" i="4"/>
  <c r="AA127" i="4"/>
  <c r="AF120" i="4"/>
  <c r="AF121" i="4"/>
  <c r="AF123" i="4"/>
  <c r="AF125" i="4"/>
  <c r="AF126" i="4"/>
  <c r="AF127" i="4"/>
  <c r="AG120" i="4"/>
  <c r="AG121" i="4"/>
  <c r="AG123" i="4"/>
  <c r="AG125" i="4"/>
  <c r="AG126" i="4"/>
  <c r="AG127" i="4"/>
  <c r="AH120" i="4"/>
  <c r="AH121" i="4"/>
  <c r="AH123" i="4"/>
  <c r="AH125" i="4"/>
  <c r="AH126" i="4"/>
  <c r="AH127" i="4"/>
  <c r="AI120" i="4"/>
  <c r="AI121" i="4"/>
  <c r="AI123" i="4"/>
  <c r="AI125" i="4"/>
  <c r="AI126" i="4"/>
  <c r="AI127" i="4"/>
  <c r="AQ120" i="4"/>
  <c r="AQ121" i="4"/>
  <c r="AQ123" i="4"/>
  <c r="AQ125" i="4"/>
  <c r="AQ126" i="4"/>
  <c r="AQ127" i="4"/>
  <c r="AR120" i="4"/>
  <c r="AR121" i="4"/>
  <c r="AR123" i="4"/>
  <c r="AR125" i="4"/>
  <c r="AR126" i="4"/>
  <c r="AR127" i="4"/>
  <c r="AS120" i="4"/>
  <c r="AS121" i="4"/>
  <c r="AS123" i="4"/>
  <c r="AS125" i="4"/>
  <c r="AS126" i="4"/>
  <c r="AS127" i="4"/>
  <c r="AT120" i="4"/>
  <c r="AT121" i="4"/>
  <c r="AT123" i="4"/>
  <c r="AT125" i="4"/>
  <c r="AT126" i="4"/>
  <c r="AT127" i="4"/>
  <c r="AU120" i="4"/>
  <c r="AU121" i="4"/>
  <c r="AU123" i="4"/>
  <c r="AU125" i="4"/>
  <c r="AU126" i="4"/>
  <c r="AU127" i="4"/>
  <c r="AV120" i="4"/>
  <c r="AV121" i="4"/>
  <c r="AV123" i="4"/>
  <c r="AV125" i="4"/>
  <c r="AV126" i="4"/>
  <c r="AV127" i="4"/>
  <c r="AW120" i="4"/>
  <c r="AW121" i="4"/>
  <c r="AW123" i="4"/>
  <c r="AW125" i="4"/>
  <c r="AW126" i="4"/>
  <c r="AW127" i="4"/>
  <c r="B119" i="10"/>
  <c r="B120" i="10"/>
  <c r="B121" i="10"/>
  <c r="B122" i="10"/>
  <c r="B123" i="10"/>
  <c r="B124" i="10"/>
  <c r="B125" i="10"/>
  <c r="B126" i="10"/>
  <c r="B127" i="10"/>
  <c r="B128" i="10"/>
  <c r="C119" i="10"/>
  <c r="C120" i="10"/>
  <c r="C121" i="10"/>
  <c r="C122" i="10"/>
  <c r="C123" i="10"/>
  <c r="C124" i="10"/>
  <c r="C125" i="10"/>
  <c r="C126" i="10"/>
  <c r="C127" i="10"/>
  <c r="C128" i="10"/>
  <c r="B117" i="4"/>
  <c r="AP117" i="4" s="1"/>
  <c r="B118" i="4"/>
  <c r="AP118" i="4" s="1"/>
  <c r="C117" i="4"/>
  <c r="C118" i="4"/>
  <c r="B21" i="23" s="1"/>
  <c r="D117" i="4"/>
  <c r="D118" i="4"/>
  <c r="E117" i="4"/>
  <c r="E118" i="4"/>
  <c r="F117" i="4"/>
  <c r="F118" i="4"/>
  <c r="D21" i="23" s="1"/>
  <c r="G117" i="4"/>
  <c r="G118" i="4"/>
  <c r="H117" i="4"/>
  <c r="H118" i="4"/>
  <c r="I117" i="4"/>
  <c r="W117" i="4" s="1"/>
  <c r="I118" i="4"/>
  <c r="W118" i="4" s="1"/>
  <c r="J117" i="4"/>
  <c r="J118" i="4"/>
  <c r="K117" i="4"/>
  <c r="K118" i="4"/>
  <c r="L117" i="4"/>
  <c r="L118" i="4"/>
  <c r="M117" i="4"/>
  <c r="M118" i="4"/>
  <c r="N117" i="4"/>
  <c r="N118" i="4"/>
  <c r="O117" i="4"/>
  <c r="O118" i="4"/>
  <c r="P117" i="4"/>
  <c r="P118" i="4"/>
  <c r="Q117" i="4"/>
  <c r="Q118" i="4"/>
  <c r="R117" i="4"/>
  <c r="R118" i="4"/>
  <c r="S117" i="4"/>
  <c r="S118" i="4"/>
  <c r="T117" i="4"/>
  <c r="T118" i="4"/>
  <c r="U117" i="4"/>
  <c r="U118" i="4"/>
  <c r="V117" i="4"/>
  <c r="V118" i="4"/>
  <c r="X117" i="4"/>
  <c r="X118" i="4"/>
  <c r="Y117" i="4"/>
  <c r="Y118" i="4"/>
  <c r="Z117" i="4"/>
  <c r="Z118" i="4"/>
  <c r="AA117" i="4"/>
  <c r="AA118" i="4"/>
  <c r="AF117" i="4"/>
  <c r="AF118" i="4"/>
  <c r="AG117" i="4"/>
  <c r="AG118" i="4"/>
  <c r="AH117" i="4"/>
  <c r="AH118" i="4"/>
  <c r="AI117" i="4"/>
  <c r="N20" i="23" s="1"/>
  <c r="AI118" i="4"/>
  <c r="N21" i="23" s="1"/>
  <c r="AQ117" i="4"/>
  <c r="AQ118" i="4"/>
  <c r="AR117" i="4"/>
  <c r="AR118" i="4"/>
  <c r="AS117" i="4"/>
  <c r="AS118" i="4"/>
  <c r="AT117" i="4"/>
  <c r="AT118" i="4"/>
  <c r="AU117" i="4"/>
  <c r="AU118" i="4"/>
  <c r="AV117" i="4"/>
  <c r="AV118" i="4"/>
  <c r="AW117" i="4"/>
  <c r="AW118" i="4"/>
  <c r="B117" i="10"/>
  <c r="B118" i="10"/>
  <c r="C117" i="10"/>
  <c r="C118" i="10"/>
  <c r="A1" i="5"/>
  <c r="B2" i="5"/>
  <c r="C22" i="5"/>
  <c r="F12" i="5"/>
  <c r="C12" i="5"/>
  <c r="F9" i="5"/>
  <c r="H139" i="38" a="1"/>
  <c r="H138" i="38" a="1"/>
  <c r="H137" i="38" a="1"/>
  <c r="H141" i="38" a="1"/>
  <c r="H136" i="38" a="1"/>
  <c r="H140" i="38" a="1"/>
  <c r="H142" i="38" a="1"/>
  <c r="E23" i="23" l="1"/>
  <c r="E21" i="23"/>
  <c r="E20" i="23"/>
  <c r="E26" i="23"/>
  <c r="E27" i="23"/>
  <c r="E22" i="23"/>
  <c r="E24" i="23"/>
  <c r="E25" i="23"/>
  <c r="H136" i="38"/>
  <c r="H137" i="38"/>
  <c r="H138" i="38"/>
  <c r="H141" i="38"/>
  <c r="H140" i="38"/>
  <c r="H139" i="38"/>
  <c r="H142" i="38"/>
  <c r="B109" i="8"/>
  <c r="B91" i="38"/>
  <c r="B108" i="8"/>
  <c r="B90" i="38"/>
  <c r="W121" i="4"/>
  <c r="D87" i="38"/>
  <c r="B104" i="8"/>
  <c r="B87" i="38"/>
  <c r="K115" i="8"/>
  <c r="E96" i="38"/>
  <c r="W134" i="4"/>
  <c r="D96" i="38"/>
  <c r="B115" i="8"/>
  <c r="B96" i="38"/>
  <c r="B119" i="8"/>
  <c r="B100" i="38"/>
  <c r="W150" i="4"/>
  <c r="D110" i="38"/>
  <c r="K152" i="8"/>
  <c r="E126" i="38"/>
  <c r="W180" i="4"/>
  <c r="D130" i="38"/>
  <c r="W168" i="4"/>
  <c r="D120" i="38"/>
  <c r="B151" i="8"/>
  <c r="B125" i="38"/>
  <c r="B141" i="8"/>
  <c r="B116" i="38"/>
  <c r="W182" i="4"/>
  <c r="D132" i="38"/>
  <c r="W120" i="4"/>
  <c r="D86" i="38"/>
  <c r="B103" i="8"/>
  <c r="B86" i="38"/>
  <c r="K113" i="8"/>
  <c r="E95" i="38"/>
  <c r="W132" i="4"/>
  <c r="D95" i="38"/>
  <c r="B113" i="8"/>
  <c r="B95" i="38"/>
  <c r="K125" i="8"/>
  <c r="E105" i="38"/>
  <c r="W145" i="4"/>
  <c r="D106" i="38"/>
  <c r="K151" i="8"/>
  <c r="E125" i="38"/>
  <c r="K141" i="8"/>
  <c r="E116" i="38"/>
  <c r="W179" i="4"/>
  <c r="D129" i="38"/>
  <c r="W167" i="4"/>
  <c r="D119" i="38"/>
  <c r="B140" i="8"/>
  <c r="B115" i="38"/>
  <c r="K119" i="8"/>
  <c r="E100" i="38"/>
  <c r="K104" i="8"/>
  <c r="E87" i="38"/>
  <c r="W127" i="4"/>
  <c r="D91" i="38"/>
  <c r="K109" i="8"/>
  <c r="E91" i="38"/>
  <c r="K110" i="8"/>
  <c r="E92" i="38"/>
  <c r="K112" i="8"/>
  <c r="E94" i="38"/>
  <c r="W131" i="4"/>
  <c r="D94" i="38"/>
  <c r="B112" i="8"/>
  <c r="B94" i="38"/>
  <c r="B129" i="8"/>
  <c r="B108" i="38"/>
  <c r="K122" i="8"/>
  <c r="E102" i="38"/>
  <c r="B117" i="8"/>
  <c r="B98" i="38"/>
  <c r="K140" i="8"/>
  <c r="E115" i="38"/>
  <c r="W178" i="4"/>
  <c r="D128" i="38"/>
  <c r="B150" i="8"/>
  <c r="B124" i="38"/>
  <c r="B158" i="8"/>
  <c r="B131" i="38"/>
  <c r="K150" i="8"/>
  <c r="E124" i="38"/>
  <c r="W177" i="4"/>
  <c r="D127" i="38"/>
  <c r="B149" i="8"/>
  <c r="B123" i="38"/>
  <c r="B139" i="8"/>
  <c r="B114" i="38"/>
  <c r="W128" i="4"/>
  <c r="D92" i="38"/>
  <c r="B110" i="8"/>
  <c r="B92" i="38"/>
  <c r="K130" i="8"/>
  <c r="E109" i="38"/>
  <c r="W149" i="4"/>
  <c r="D109" i="38"/>
  <c r="B130" i="8"/>
  <c r="B109" i="38"/>
  <c r="W144" i="4"/>
  <c r="D105" i="38"/>
  <c r="B132" i="8"/>
  <c r="B111" i="38"/>
  <c r="K149" i="8"/>
  <c r="E123" i="38"/>
  <c r="K139" i="8"/>
  <c r="E114" i="38"/>
  <c r="B148" i="8"/>
  <c r="B122" i="38"/>
  <c r="K106" i="8"/>
  <c r="E89" i="38"/>
  <c r="W119" i="4"/>
  <c r="D85" i="38"/>
  <c r="B102" i="8"/>
  <c r="B85" i="38"/>
  <c r="W122" i="4"/>
  <c r="D88" i="38"/>
  <c r="B105" i="8"/>
  <c r="B88" i="38"/>
  <c r="K128" i="8"/>
  <c r="E107" i="38"/>
  <c r="W147" i="4"/>
  <c r="D107" i="38"/>
  <c r="B128" i="8"/>
  <c r="B107" i="38"/>
  <c r="W141" i="4"/>
  <c r="D102" i="38"/>
  <c r="K148" i="8"/>
  <c r="E122" i="38"/>
  <c r="W175" i="4"/>
  <c r="D126" i="38"/>
  <c r="B147" i="8"/>
  <c r="B121" i="38"/>
  <c r="B138" i="8"/>
  <c r="B113" i="38"/>
  <c r="W138" i="4"/>
  <c r="D100" i="38"/>
  <c r="B131" i="8"/>
  <c r="B110" i="38"/>
  <c r="K147" i="8"/>
  <c r="E121" i="38"/>
  <c r="K138" i="8"/>
  <c r="E113" i="38"/>
  <c r="W174" i="4"/>
  <c r="D125" i="38"/>
  <c r="B157" i="8"/>
  <c r="B130" i="38"/>
  <c r="B146" i="8"/>
  <c r="B120" i="38"/>
  <c r="B159" i="8"/>
  <c r="B132" i="38"/>
  <c r="K103" i="8"/>
  <c r="E86" i="38"/>
  <c r="K116" i="8"/>
  <c r="E97" i="38"/>
  <c r="W135" i="4"/>
  <c r="D97" i="38"/>
  <c r="B116" i="8"/>
  <c r="B97" i="38"/>
  <c r="K129" i="8"/>
  <c r="E108" i="38"/>
  <c r="K117" i="8"/>
  <c r="E98" i="38"/>
  <c r="K131" i="8"/>
  <c r="E110" i="38"/>
  <c r="B126" i="8"/>
  <c r="B106" i="38"/>
  <c r="K157" i="8"/>
  <c r="E130" i="38"/>
  <c r="K146" i="8"/>
  <c r="E120" i="38"/>
  <c r="B156" i="8"/>
  <c r="B129" i="38"/>
  <c r="B145" i="8"/>
  <c r="B119" i="38"/>
  <c r="K158" i="8"/>
  <c r="E131" i="38"/>
  <c r="W148" i="4"/>
  <c r="D108" i="38"/>
  <c r="W136" i="4"/>
  <c r="D98" i="38"/>
  <c r="K126" i="8"/>
  <c r="E106" i="38"/>
  <c r="B124" i="8"/>
  <c r="B104" i="38"/>
  <c r="K156" i="8"/>
  <c r="E129" i="38"/>
  <c r="K145" i="8"/>
  <c r="E119" i="38"/>
  <c r="W172" i="4"/>
  <c r="D124" i="38"/>
  <c r="B155" i="8"/>
  <c r="B128" i="38"/>
  <c r="W181" i="4"/>
  <c r="D131" i="38"/>
  <c r="K105" i="8"/>
  <c r="E88" i="38"/>
  <c r="K123" i="8"/>
  <c r="E103" i="38"/>
  <c r="W142" i="4"/>
  <c r="D103" i="38"/>
  <c r="B123" i="8"/>
  <c r="B103" i="38"/>
  <c r="K124" i="8"/>
  <c r="E104" i="38"/>
  <c r="K132" i="8"/>
  <c r="E111" i="38"/>
  <c r="K155" i="8"/>
  <c r="E128" i="38"/>
  <c r="W159" i="4"/>
  <c r="D114" i="38"/>
  <c r="B154" i="8"/>
  <c r="B127" i="38"/>
  <c r="B143" i="8"/>
  <c r="B118" i="38"/>
  <c r="K159" i="8"/>
  <c r="E132" i="38"/>
  <c r="W126" i="4"/>
  <c r="D90" i="38"/>
  <c r="K121" i="8"/>
  <c r="E101" i="38"/>
  <c r="W140" i="4"/>
  <c r="D101" i="38"/>
  <c r="B121" i="8"/>
  <c r="B101" i="38"/>
  <c r="B125" i="8"/>
  <c r="B105" i="38"/>
  <c r="B111" i="8"/>
  <c r="B93" i="38"/>
  <c r="W151" i="4"/>
  <c r="D111" i="38"/>
  <c r="K154" i="8"/>
  <c r="E127" i="38"/>
  <c r="K143" i="8"/>
  <c r="E118" i="38"/>
  <c r="W170" i="4"/>
  <c r="D122" i="38"/>
  <c r="B142" i="8"/>
  <c r="B117" i="38"/>
  <c r="B133" i="8"/>
  <c r="B112" i="38"/>
  <c r="K108" i="8"/>
  <c r="E90" i="38"/>
  <c r="K102" i="8"/>
  <c r="E85" i="38"/>
  <c r="W123" i="4"/>
  <c r="D89" i="38"/>
  <c r="B106" i="8"/>
  <c r="B89" i="38"/>
  <c r="K118" i="8"/>
  <c r="E99" i="38"/>
  <c r="W137" i="4"/>
  <c r="D99" i="38"/>
  <c r="B118" i="8"/>
  <c r="B99" i="38"/>
  <c r="B122" i="8"/>
  <c r="B102" i="38"/>
  <c r="K111" i="8"/>
  <c r="E93" i="38"/>
  <c r="K142" i="8"/>
  <c r="E117" i="38"/>
  <c r="K133" i="8"/>
  <c r="E112" i="38"/>
  <c r="W169" i="4"/>
  <c r="D121" i="38"/>
  <c r="W157" i="4"/>
  <c r="D113" i="38"/>
  <c r="B152" i="8"/>
  <c r="B126" i="38"/>
  <c r="AP133" i="4"/>
  <c r="H114" i="8"/>
  <c r="AP159" i="4"/>
  <c r="H139" i="8"/>
  <c r="AP157" i="4"/>
  <c r="H138" i="8"/>
  <c r="AP150" i="4"/>
  <c r="H131" i="8"/>
  <c r="AP168" i="4"/>
  <c r="H146" i="8"/>
  <c r="AP126" i="4"/>
  <c r="H108" i="8"/>
  <c r="AP145" i="4"/>
  <c r="H126" i="8"/>
  <c r="AP127" i="4"/>
  <c r="H109" i="8"/>
  <c r="AP144" i="4"/>
  <c r="H125" i="8"/>
  <c r="AP143" i="4"/>
  <c r="H124" i="8"/>
  <c r="AP154" i="4"/>
  <c r="H135" i="8"/>
  <c r="AP141" i="4"/>
  <c r="H122" i="8"/>
  <c r="AP139" i="4"/>
  <c r="H120" i="8"/>
  <c r="AP153" i="4"/>
  <c r="H134" i="8"/>
  <c r="AP148" i="4"/>
  <c r="H129" i="8"/>
  <c r="AP138" i="4"/>
  <c r="H119" i="8"/>
  <c r="AP136" i="4"/>
  <c r="H117" i="8"/>
  <c r="AP130" i="4"/>
  <c r="H111" i="8"/>
  <c r="AP152" i="4"/>
  <c r="H133" i="8"/>
  <c r="AP151" i="4"/>
  <c r="H132" i="8"/>
  <c r="AK185" i="4"/>
  <c r="G133" i="38" s="1"/>
  <c r="AP173" i="4"/>
  <c r="AP161" i="4"/>
  <c r="AP172" i="4"/>
  <c r="AP160" i="4"/>
  <c r="AP171" i="4"/>
  <c r="AP182" i="4"/>
  <c r="AP169" i="4"/>
  <c r="B26" i="23"/>
  <c r="B27" i="23"/>
  <c r="AP178" i="4"/>
  <c r="AP166" i="4"/>
  <c r="B25" i="23"/>
  <c r="AP177" i="4"/>
  <c r="AP165" i="4"/>
  <c r="AP176" i="4"/>
  <c r="AP164" i="4"/>
  <c r="AP181" i="4"/>
  <c r="AP175" i="4"/>
  <c r="AP163" i="4"/>
  <c r="AP174" i="4"/>
  <c r="AP162" i="4"/>
  <c r="AP149" i="4"/>
  <c r="AP180" i="4"/>
  <c r="AP156" i="4"/>
  <c r="AK158" i="4"/>
  <c r="AP134" i="4"/>
  <c r="AK182" i="4"/>
  <c r="G132" i="38" s="1"/>
  <c r="AK178" i="4"/>
  <c r="G128" i="38" s="1"/>
  <c r="AK184" i="4"/>
  <c r="AP147" i="4"/>
  <c r="AP135" i="4"/>
  <c r="AP183" i="4"/>
  <c r="AP142" i="4"/>
  <c r="AP137" i="4"/>
  <c r="AP132" i="4"/>
  <c r="AP131" i="4"/>
  <c r="AK183" i="4"/>
  <c r="AK174" i="4"/>
  <c r="G125" i="38" s="1"/>
  <c r="AP140" i="4"/>
  <c r="AP184" i="4"/>
  <c r="W129" i="4"/>
  <c r="AP170" i="4"/>
  <c r="AP179" i="4"/>
  <c r="AP167" i="4"/>
  <c r="AP155" i="4"/>
  <c r="AP146" i="4"/>
  <c r="AP129" i="4"/>
  <c r="AK166" i="4"/>
  <c r="AK168" i="4"/>
  <c r="G120" i="38" s="1"/>
  <c r="AK167" i="4"/>
  <c r="G119" i="38" s="1"/>
  <c r="AK176" i="4"/>
  <c r="AK164" i="4"/>
  <c r="G117" i="38" s="1"/>
  <c r="AK188" i="4"/>
  <c r="G134" i="38" s="1"/>
  <c r="AK161" i="4"/>
  <c r="G115" i="38" s="1"/>
  <c r="AK152" i="4"/>
  <c r="G112" i="38" s="1"/>
  <c r="AK189" i="4"/>
  <c r="G135" i="38" s="1"/>
  <c r="AK169" i="4"/>
  <c r="G121" i="38" s="1"/>
  <c r="C25" i="23"/>
  <c r="C22" i="23"/>
  <c r="C26" i="23"/>
  <c r="C21" i="23"/>
  <c r="C24" i="23"/>
  <c r="C27" i="23"/>
  <c r="W166" i="4"/>
  <c r="W154" i="4"/>
  <c r="W171" i="4"/>
  <c r="W165" i="4"/>
  <c r="AK181" i="4"/>
  <c r="G131" i="38" s="1"/>
  <c r="W162" i="4"/>
  <c r="AK160" i="4"/>
  <c r="AK163" i="4"/>
  <c r="W143" i="4"/>
  <c r="W176" i="4"/>
  <c r="W164" i="4"/>
  <c r="W152" i="4"/>
  <c r="W173" i="4"/>
  <c r="W161" i="4"/>
  <c r="W139" i="4"/>
  <c r="AP123" i="4"/>
  <c r="W130" i="4"/>
  <c r="AP122" i="4"/>
  <c r="AP120" i="4"/>
  <c r="AP128" i="4"/>
  <c r="AP121" i="4"/>
  <c r="AP125" i="4"/>
  <c r="AP119" i="4"/>
  <c r="W124" i="4"/>
  <c r="AK118" i="4"/>
  <c r="AK117" i="4"/>
  <c r="AI3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80" i="4"/>
  <c r="AI81" i="4"/>
  <c r="AI82" i="4"/>
  <c r="AI79" i="4"/>
  <c r="AI83" i="4"/>
  <c r="AI84" i="4"/>
  <c r="N3" i="23" s="1"/>
  <c r="AI85" i="4"/>
  <c r="N4" i="23" s="1"/>
  <c r="AI86" i="4"/>
  <c r="N5" i="23" s="1"/>
  <c r="AI87" i="4"/>
  <c r="N6" i="23" s="1"/>
  <c r="AI89" i="4"/>
  <c r="N7" i="23" s="1"/>
  <c r="AI88" i="4"/>
  <c r="N8" i="23" s="1"/>
  <c r="AI93" i="4"/>
  <c r="AI98" i="4"/>
  <c r="AI99" i="4"/>
  <c r="AI100" i="4"/>
  <c r="AI102" i="4"/>
  <c r="AI103" i="4"/>
  <c r="AI104" i="4"/>
  <c r="AI90" i="4"/>
  <c r="N9" i="23" s="1"/>
  <c r="AI91" i="4"/>
  <c r="N10" i="23" s="1"/>
  <c r="AI92" i="4"/>
  <c r="AI94" i="4"/>
  <c r="N11" i="23" s="1"/>
  <c r="AI95" i="4"/>
  <c r="AI96" i="4"/>
  <c r="AI97" i="4"/>
  <c r="N14" i="23" s="1"/>
  <c r="AI101" i="4"/>
  <c r="N15" i="23" s="1"/>
  <c r="AI107" i="4"/>
  <c r="AI109" i="4"/>
  <c r="AI110" i="4"/>
  <c r="AI113" i="4"/>
  <c r="AI114" i="4"/>
  <c r="AI115" i="4"/>
  <c r="AI108" i="4"/>
  <c r="AI105" i="4"/>
  <c r="N16" i="23" s="1"/>
  <c r="AI106" i="4"/>
  <c r="N17" i="23" s="1"/>
  <c r="AI111" i="4"/>
  <c r="N18" i="23" s="1"/>
  <c r="AI112" i="4"/>
  <c r="N19" i="23" s="1"/>
  <c r="AI116" i="4"/>
  <c r="B116" i="4"/>
  <c r="H101" i="8" s="1"/>
  <c r="C116" i="4"/>
  <c r="B101" i="8" s="1"/>
  <c r="D116" i="4"/>
  <c r="E116" i="4"/>
  <c r="F116" i="4"/>
  <c r="G116" i="4"/>
  <c r="H116" i="4"/>
  <c r="J101" i="8" s="1"/>
  <c r="I116" i="4"/>
  <c r="W116" i="4" s="1"/>
  <c r="J116" i="4"/>
  <c r="K101" i="8" s="1"/>
  <c r="K116" i="4"/>
  <c r="L116" i="4"/>
  <c r="M116" i="4"/>
  <c r="M101" i="8" s="1"/>
  <c r="N116" i="4"/>
  <c r="O116" i="4"/>
  <c r="P116" i="4"/>
  <c r="Q116" i="4"/>
  <c r="R116" i="4"/>
  <c r="S116" i="4"/>
  <c r="T116" i="4"/>
  <c r="U116" i="4"/>
  <c r="V116" i="4"/>
  <c r="X116" i="4"/>
  <c r="Y116" i="4"/>
  <c r="Z116" i="4"/>
  <c r="AA116" i="4"/>
  <c r="AF116" i="4"/>
  <c r="AG116" i="4"/>
  <c r="AH116" i="4"/>
  <c r="AQ116" i="4"/>
  <c r="AR116" i="4"/>
  <c r="AS116" i="4"/>
  <c r="AT116" i="4"/>
  <c r="AU116" i="4"/>
  <c r="AV116" i="4"/>
  <c r="AW116" i="4"/>
  <c r="B116" i="10"/>
  <c r="C116" i="10"/>
  <c r="K17" i="23"/>
  <c r="K18" i="23"/>
  <c r="K19" i="23"/>
  <c r="K20" i="23"/>
  <c r="K12" i="23"/>
  <c r="K13" i="23"/>
  <c r="K14" i="23"/>
  <c r="K15" i="23"/>
  <c r="K16" i="23"/>
  <c r="K10" i="23"/>
  <c r="K11" i="23"/>
  <c r="K4" i="23"/>
  <c r="K5" i="23"/>
  <c r="K6" i="23"/>
  <c r="K7" i="23"/>
  <c r="K8" i="23"/>
  <c r="K9" i="23"/>
  <c r="B105" i="4"/>
  <c r="AP105" i="4" s="1"/>
  <c r="B106" i="4"/>
  <c r="B111" i="4"/>
  <c r="AP111" i="4" s="1"/>
  <c r="B112" i="4"/>
  <c r="C20" i="23" s="1"/>
  <c r="C105" i="4"/>
  <c r="C106" i="4"/>
  <c r="C111" i="4"/>
  <c r="C112" i="4"/>
  <c r="B20" i="23" s="1"/>
  <c r="D105" i="4"/>
  <c r="D106" i="4"/>
  <c r="D111" i="4"/>
  <c r="D112" i="4"/>
  <c r="E105" i="4"/>
  <c r="E106" i="4"/>
  <c r="E111" i="4"/>
  <c r="E112" i="4"/>
  <c r="F105" i="4"/>
  <c r="F106" i="4"/>
  <c r="F111" i="4"/>
  <c r="F112" i="4"/>
  <c r="D20" i="23" s="1"/>
  <c r="G105" i="4"/>
  <c r="G106" i="4"/>
  <c r="G111" i="4"/>
  <c r="G112" i="4"/>
  <c r="H105" i="4"/>
  <c r="H106" i="4"/>
  <c r="H111" i="4"/>
  <c r="H112" i="4"/>
  <c r="I105" i="4"/>
  <c r="W105" i="4" s="1"/>
  <c r="I106" i="4"/>
  <c r="W106" i="4" s="1"/>
  <c r="I111" i="4"/>
  <c r="AK111" i="4" s="1"/>
  <c r="I112" i="4"/>
  <c r="AK112" i="4" s="1"/>
  <c r="J105" i="4"/>
  <c r="J106" i="4"/>
  <c r="J111" i="4"/>
  <c r="J112" i="4"/>
  <c r="K105" i="4"/>
  <c r="K106" i="4"/>
  <c r="K111" i="4"/>
  <c r="K112" i="4"/>
  <c r="L105" i="4"/>
  <c r="L106" i="4"/>
  <c r="L111" i="4"/>
  <c r="L112" i="4"/>
  <c r="M105" i="4"/>
  <c r="M106" i="4"/>
  <c r="M111" i="4"/>
  <c r="M112" i="4"/>
  <c r="N105" i="4"/>
  <c r="N106" i="4"/>
  <c r="N111" i="4"/>
  <c r="N112" i="4"/>
  <c r="O105" i="4"/>
  <c r="O106" i="4"/>
  <c r="O111" i="4"/>
  <c r="O112" i="4"/>
  <c r="P105" i="4"/>
  <c r="P106" i="4"/>
  <c r="P111" i="4"/>
  <c r="P112" i="4"/>
  <c r="Q105" i="4"/>
  <c r="Q106" i="4"/>
  <c r="Q111" i="4"/>
  <c r="Q112" i="4"/>
  <c r="R105" i="4"/>
  <c r="R106" i="4"/>
  <c r="R111" i="4"/>
  <c r="R112" i="4"/>
  <c r="S105" i="4"/>
  <c r="S106" i="4"/>
  <c r="S111" i="4"/>
  <c r="S112" i="4"/>
  <c r="T105" i="4"/>
  <c r="T106" i="4"/>
  <c r="T111" i="4"/>
  <c r="T112" i="4"/>
  <c r="U105" i="4"/>
  <c r="U106" i="4"/>
  <c r="U111" i="4"/>
  <c r="U112" i="4"/>
  <c r="V105" i="4"/>
  <c r="V106" i="4"/>
  <c r="V111" i="4"/>
  <c r="V112" i="4"/>
  <c r="X105" i="4"/>
  <c r="X106" i="4"/>
  <c r="X111" i="4"/>
  <c r="X112" i="4"/>
  <c r="Y105" i="4"/>
  <c r="Y106" i="4"/>
  <c r="Y111" i="4"/>
  <c r="Y112" i="4"/>
  <c r="Z105" i="4"/>
  <c r="Z106" i="4"/>
  <c r="Z111" i="4"/>
  <c r="Z112" i="4"/>
  <c r="AA105" i="4"/>
  <c r="AA106" i="4"/>
  <c r="AA111" i="4"/>
  <c r="AA112" i="4"/>
  <c r="AF105" i="4"/>
  <c r="AF106" i="4"/>
  <c r="AF111" i="4"/>
  <c r="AF112" i="4"/>
  <c r="AG105" i="4"/>
  <c r="AG106" i="4"/>
  <c r="AG111" i="4"/>
  <c r="AG112" i="4"/>
  <c r="AH105" i="4"/>
  <c r="AH106" i="4"/>
  <c r="AH111" i="4"/>
  <c r="AH112" i="4"/>
  <c r="AQ105" i="4"/>
  <c r="AQ106" i="4"/>
  <c r="AQ111" i="4"/>
  <c r="AQ112" i="4"/>
  <c r="AR105" i="4"/>
  <c r="AR106" i="4"/>
  <c r="AR111" i="4"/>
  <c r="AR112" i="4"/>
  <c r="AS105" i="4"/>
  <c r="AS106" i="4"/>
  <c r="AS111" i="4"/>
  <c r="AS112" i="4"/>
  <c r="AT105" i="4"/>
  <c r="AT106" i="4"/>
  <c r="AT111" i="4"/>
  <c r="AT112" i="4"/>
  <c r="AU105" i="4"/>
  <c r="AU106" i="4"/>
  <c r="AU111" i="4"/>
  <c r="AU112" i="4"/>
  <c r="AV105" i="4"/>
  <c r="AV106" i="4"/>
  <c r="AV111" i="4"/>
  <c r="AV112" i="4"/>
  <c r="AW105" i="4"/>
  <c r="AW106" i="4"/>
  <c r="AW111" i="4"/>
  <c r="AW112" i="4"/>
  <c r="B108" i="4"/>
  <c r="H95" i="8" s="1"/>
  <c r="C108" i="4"/>
  <c r="B95" i="8" s="1"/>
  <c r="D108" i="4"/>
  <c r="E108" i="4"/>
  <c r="F108" i="4"/>
  <c r="G108" i="4"/>
  <c r="H108" i="4"/>
  <c r="J95" i="8" s="1"/>
  <c r="I108" i="4"/>
  <c r="W108" i="4" s="1"/>
  <c r="J108" i="4"/>
  <c r="K95" i="8" s="1"/>
  <c r="K108" i="4"/>
  <c r="L108" i="4"/>
  <c r="M108" i="4"/>
  <c r="M95" i="8" s="1"/>
  <c r="N108" i="4"/>
  <c r="O108" i="4"/>
  <c r="P108" i="4"/>
  <c r="Q108" i="4"/>
  <c r="R108" i="4"/>
  <c r="S108" i="4"/>
  <c r="T108" i="4"/>
  <c r="U108" i="4"/>
  <c r="V108" i="4"/>
  <c r="X108" i="4"/>
  <c r="Y108" i="4"/>
  <c r="Z108" i="4"/>
  <c r="AA108" i="4"/>
  <c r="AF108" i="4"/>
  <c r="AG108" i="4"/>
  <c r="AH108" i="4"/>
  <c r="AQ108" i="4"/>
  <c r="AR108" i="4"/>
  <c r="AS108" i="4"/>
  <c r="AT108" i="4"/>
  <c r="AU108" i="4"/>
  <c r="AV108" i="4"/>
  <c r="AW108" i="4"/>
  <c r="B107" i="4"/>
  <c r="H94" i="8" s="1"/>
  <c r="B109" i="4"/>
  <c r="B110" i="4"/>
  <c r="H97" i="8" s="1"/>
  <c r="B113" i="4"/>
  <c r="H98" i="8" s="1"/>
  <c r="B114" i="4"/>
  <c r="H99" i="8" s="1"/>
  <c r="B115" i="4"/>
  <c r="H100" i="8" s="1"/>
  <c r="C107" i="4"/>
  <c r="C109" i="4"/>
  <c r="C110" i="4"/>
  <c r="C113" i="4"/>
  <c r="C114" i="4"/>
  <c r="C115" i="4"/>
  <c r="D107" i="4"/>
  <c r="D109" i="4"/>
  <c r="D110" i="4"/>
  <c r="D113" i="4"/>
  <c r="D114" i="4"/>
  <c r="D115" i="4"/>
  <c r="E107" i="4"/>
  <c r="E109" i="4"/>
  <c r="E110" i="4"/>
  <c r="E113" i="4"/>
  <c r="E114" i="4"/>
  <c r="E115" i="4"/>
  <c r="F107" i="4"/>
  <c r="F109" i="4"/>
  <c r="F110" i="4"/>
  <c r="F113" i="4"/>
  <c r="F114" i="4"/>
  <c r="F115" i="4"/>
  <c r="G107" i="4"/>
  <c r="G109" i="4"/>
  <c r="G110" i="4"/>
  <c r="G113" i="4"/>
  <c r="G114" i="4"/>
  <c r="G115" i="4"/>
  <c r="H107" i="4"/>
  <c r="J94" i="8" s="1"/>
  <c r="H109" i="4"/>
  <c r="J96" i="8" s="1"/>
  <c r="H110" i="4"/>
  <c r="J97" i="8" s="1"/>
  <c r="H113" i="4"/>
  <c r="J98" i="8" s="1"/>
  <c r="H114" i="4"/>
  <c r="J99" i="8" s="1"/>
  <c r="H115" i="4"/>
  <c r="J100" i="8" s="1"/>
  <c r="I107" i="4"/>
  <c r="I109" i="4"/>
  <c r="I110" i="4"/>
  <c r="I113" i="4"/>
  <c r="I114" i="4"/>
  <c r="D83" i="38" s="1"/>
  <c r="I115" i="4"/>
  <c r="D84" i="38" s="1"/>
  <c r="J107" i="4"/>
  <c r="J109" i="4"/>
  <c r="J110" i="4"/>
  <c r="J113" i="4"/>
  <c r="J114" i="4"/>
  <c r="J115" i="4"/>
  <c r="K107" i="4"/>
  <c r="F79" i="38" s="1"/>
  <c r="K109" i="4"/>
  <c r="F80" i="38" s="1"/>
  <c r="K110" i="4"/>
  <c r="F81" i="38" s="1"/>
  <c r="K113" i="4"/>
  <c r="F82" i="38" s="1"/>
  <c r="K114" i="4"/>
  <c r="F83" i="38" s="1"/>
  <c r="K115" i="4"/>
  <c r="F84" i="38" s="1"/>
  <c r="L107" i="4"/>
  <c r="L109" i="4"/>
  <c r="L110" i="4"/>
  <c r="L113" i="4"/>
  <c r="L114" i="4"/>
  <c r="L115" i="4"/>
  <c r="M107" i="4"/>
  <c r="M94" i="8" s="1"/>
  <c r="M109" i="4"/>
  <c r="M96" i="8" s="1"/>
  <c r="M110" i="4"/>
  <c r="M97" i="8" s="1"/>
  <c r="M113" i="4"/>
  <c r="M98" i="8" s="1"/>
  <c r="M114" i="4"/>
  <c r="M99" i="8" s="1"/>
  <c r="M115" i="4"/>
  <c r="M100" i="8" s="1"/>
  <c r="N107" i="4"/>
  <c r="N109" i="4"/>
  <c r="N110" i="4"/>
  <c r="N113" i="4"/>
  <c r="N114" i="4"/>
  <c r="N115" i="4"/>
  <c r="O107" i="4"/>
  <c r="O109" i="4"/>
  <c r="O110" i="4"/>
  <c r="O113" i="4"/>
  <c r="O114" i="4"/>
  <c r="O115" i="4"/>
  <c r="P107" i="4"/>
  <c r="P109" i="4"/>
  <c r="P110" i="4"/>
  <c r="P113" i="4"/>
  <c r="P114" i="4"/>
  <c r="P115" i="4"/>
  <c r="Q107" i="4"/>
  <c r="Q109" i="4"/>
  <c r="Q110" i="4"/>
  <c r="Q113" i="4"/>
  <c r="Q114" i="4"/>
  <c r="Q115" i="4"/>
  <c r="R107" i="4"/>
  <c r="R109" i="4"/>
  <c r="R110" i="4"/>
  <c r="R113" i="4"/>
  <c r="R114" i="4"/>
  <c r="R115" i="4"/>
  <c r="S107" i="4"/>
  <c r="S109" i="4"/>
  <c r="S110" i="4"/>
  <c r="S113" i="4"/>
  <c r="S114" i="4"/>
  <c r="S115" i="4"/>
  <c r="T107" i="4"/>
  <c r="T109" i="4"/>
  <c r="T110" i="4"/>
  <c r="T113" i="4"/>
  <c r="T114" i="4"/>
  <c r="T115" i="4"/>
  <c r="U107" i="4"/>
  <c r="U109" i="4"/>
  <c r="U110" i="4"/>
  <c r="U113" i="4"/>
  <c r="U114" i="4"/>
  <c r="U115" i="4"/>
  <c r="V107" i="4"/>
  <c r="V109" i="4"/>
  <c r="V110" i="4"/>
  <c r="V113" i="4"/>
  <c r="V114" i="4"/>
  <c r="V115" i="4"/>
  <c r="X107" i="4"/>
  <c r="X109" i="4"/>
  <c r="X110" i="4"/>
  <c r="X113" i="4"/>
  <c r="X114" i="4"/>
  <c r="X115" i="4"/>
  <c r="Y107" i="4"/>
  <c r="Y109" i="4"/>
  <c r="Y110" i="4"/>
  <c r="Y113" i="4"/>
  <c r="Y114" i="4"/>
  <c r="Y115" i="4"/>
  <c r="Z107" i="4"/>
  <c r="Z109" i="4"/>
  <c r="Z110" i="4"/>
  <c r="Z113" i="4"/>
  <c r="Z114" i="4"/>
  <c r="Z115" i="4"/>
  <c r="AA107" i="4"/>
  <c r="AA109" i="4"/>
  <c r="AA110" i="4"/>
  <c r="AA113" i="4"/>
  <c r="AA114" i="4"/>
  <c r="AA115" i="4"/>
  <c r="AF107" i="4"/>
  <c r="AF109" i="4"/>
  <c r="AF110" i="4"/>
  <c r="AF113" i="4"/>
  <c r="AF114" i="4"/>
  <c r="AF115" i="4"/>
  <c r="AG107" i="4"/>
  <c r="AG109" i="4"/>
  <c r="AG110" i="4"/>
  <c r="AG113" i="4"/>
  <c r="AG114" i="4"/>
  <c r="AG115" i="4"/>
  <c r="AH107" i="4"/>
  <c r="AH109" i="4"/>
  <c r="AH110" i="4"/>
  <c r="AH113" i="4"/>
  <c r="AH114" i="4"/>
  <c r="AH115" i="4"/>
  <c r="AQ107" i="4"/>
  <c r="AQ109" i="4"/>
  <c r="AQ110" i="4"/>
  <c r="AQ113" i="4"/>
  <c r="AQ114" i="4"/>
  <c r="AQ115" i="4"/>
  <c r="AR107" i="4"/>
  <c r="AR109" i="4"/>
  <c r="AR110" i="4"/>
  <c r="AR113" i="4"/>
  <c r="AR114" i="4"/>
  <c r="AR115" i="4"/>
  <c r="AS107" i="4"/>
  <c r="AS109" i="4"/>
  <c r="AS110" i="4"/>
  <c r="AS113" i="4"/>
  <c r="AS114" i="4"/>
  <c r="AS115" i="4"/>
  <c r="AT107" i="4"/>
  <c r="AT109" i="4"/>
  <c r="AT110" i="4"/>
  <c r="AT113" i="4"/>
  <c r="AT114" i="4"/>
  <c r="AT115" i="4"/>
  <c r="AU107" i="4"/>
  <c r="AU109" i="4"/>
  <c r="AU110" i="4"/>
  <c r="AU113" i="4"/>
  <c r="AU114" i="4"/>
  <c r="AU115" i="4"/>
  <c r="AV107" i="4"/>
  <c r="AV109" i="4"/>
  <c r="AV110" i="4"/>
  <c r="AV113" i="4"/>
  <c r="AV114" i="4"/>
  <c r="AV115" i="4"/>
  <c r="AW107" i="4"/>
  <c r="AW109" i="4"/>
  <c r="AW110" i="4"/>
  <c r="AW113" i="4"/>
  <c r="AW114" i="4"/>
  <c r="AW115" i="4"/>
  <c r="B105" i="10"/>
  <c r="B106" i="10"/>
  <c r="B107" i="10"/>
  <c r="B108" i="10"/>
  <c r="B109" i="10"/>
  <c r="B110" i="10"/>
  <c r="B111" i="10"/>
  <c r="B112" i="10"/>
  <c r="B113" i="10"/>
  <c r="B114" i="10"/>
  <c r="B115" i="10"/>
  <c r="C105" i="10"/>
  <c r="C106" i="10"/>
  <c r="C107" i="10"/>
  <c r="C108" i="10"/>
  <c r="C109" i="10"/>
  <c r="C110" i="10"/>
  <c r="C111" i="10"/>
  <c r="C112" i="10"/>
  <c r="C113" i="10"/>
  <c r="C114" i="10"/>
  <c r="C115" i="10"/>
  <c r="B90" i="4"/>
  <c r="AP90" i="4" s="1"/>
  <c r="B91" i="4"/>
  <c r="AP91" i="4" s="1"/>
  <c r="B92" i="4"/>
  <c r="H86" i="8" s="1"/>
  <c r="B94" i="4"/>
  <c r="B95" i="4"/>
  <c r="B96" i="4"/>
  <c r="B97" i="4"/>
  <c r="AP97" i="4" s="1"/>
  <c r="B101" i="4"/>
  <c r="C90" i="4"/>
  <c r="C91" i="4"/>
  <c r="C92" i="4"/>
  <c r="C94" i="4"/>
  <c r="C95" i="4"/>
  <c r="C96" i="4"/>
  <c r="C97" i="4"/>
  <c r="C101" i="4"/>
  <c r="D90" i="4"/>
  <c r="D91" i="4"/>
  <c r="D92" i="4"/>
  <c r="D94" i="4"/>
  <c r="D95" i="4"/>
  <c r="D96" i="4"/>
  <c r="D97" i="4"/>
  <c r="D101" i="4"/>
  <c r="E90" i="4"/>
  <c r="E91" i="4"/>
  <c r="E92" i="4"/>
  <c r="E94" i="4"/>
  <c r="E95" i="4"/>
  <c r="E96" i="4"/>
  <c r="E97" i="4"/>
  <c r="E101" i="4"/>
  <c r="F90" i="4"/>
  <c r="F91" i="4"/>
  <c r="F92" i="4"/>
  <c r="F94" i="4"/>
  <c r="F95" i="4"/>
  <c r="F96" i="4"/>
  <c r="F97" i="4"/>
  <c r="F101" i="4"/>
  <c r="G90" i="4"/>
  <c r="G91" i="4"/>
  <c r="G92" i="4"/>
  <c r="G94" i="4"/>
  <c r="G95" i="4"/>
  <c r="G96" i="4"/>
  <c r="G97" i="4"/>
  <c r="G101" i="4"/>
  <c r="H90" i="4"/>
  <c r="H91" i="4"/>
  <c r="H92" i="4"/>
  <c r="J86" i="8" s="1"/>
  <c r="H94" i="4"/>
  <c r="H95" i="4"/>
  <c r="H96" i="4"/>
  <c r="H97" i="4"/>
  <c r="H101" i="4"/>
  <c r="I90" i="4"/>
  <c r="W90" i="4" s="1"/>
  <c r="I91" i="4"/>
  <c r="W91" i="4" s="1"/>
  <c r="I92" i="4"/>
  <c r="I94" i="4"/>
  <c r="W94" i="4" s="1"/>
  <c r="I95" i="4"/>
  <c r="W95" i="4" s="1"/>
  <c r="I96" i="4"/>
  <c r="W96" i="4" s="1"/>
  <c r="I97" i="4"/>
  <c r="W97" i="4" s="1"/>
  <c r="I101" i="4"/>
  <c r="AK101" i="4" s="1"/>
  <c r="J90" i="4"/>
  <c r="J91" i="4"/>
  <c r="J92" i="4"/>
  <c r="J94" i="4"/>
  <c r="J95" i="4"/>
  <c r="J96" i="4"/>
  <c r="J97" i="4"/>
  <c r="J101" i="4"/>
  <c r="K90" i="4"/>
  <c r="K91" i="4"/>
  <c r="K92" i="4"/>
  <c r="F74" i="38" s="1"/>
  <c r="K94" i="4"/>
  <c r="K95" i="4"/>
  <c r="K96" i="4"/>
  <c r="K97" i="4"/>
  <c r="K101" i="4"/>
  <c r="L90" i="4"/>
  <c r="L91" i="4"/>
  <c r="L92" i="4"/>
  <c r="L94" i="4"/>
  <c r="L95" i="4"/>
  <c r="L96" i="4"/>
  <c r="L97" i="4"/>
  <c r="L101" i="4"/>
  <c r="M90" i="4"/>
  <c r="M91" i="4"/>
  <c r="M92" i="4"/>
  <c r="M86" i="8" s="1"/>
  <c r="M94" i="4"/>
  <c r="M95" i="4"/>
  <c r="M96" i="4"/>
  <c r="M97" i="4"/>
  <c r="M101" i="4"/>
  <c r="N90" i="4"/>
  <c r="N91" i="4"/>
  <c r="N92" i="4"/>
  <c r="N94" i="4"/>
  <c r="N95" i="4"/>
  <c r="N96" i="4"/>
  <c r="N97" i="4"/>
  <c r="N101" i="4"/>
  <c r="O90" i="4"/>
  <c r="O91" i="4"/>
  <c r="O92" i="4"/>
  <c r="O94" i="4"/>
  <c r="O95" i="4"/>
  <c r="O96" i="4"/>
  <c r="O97" i="4"/>
  <c r="O101" i="4"/>
  <c r="P90" i="4"/>
  <c r="P91" i="4"/>
  <c r="P92" i="4"/>
  <c r="P94" i="4"/>
  <c r="P95" i="4"/>
  <c r="P96" i="4"/>
  <c r="P97" i="4"/>
  <c r="P101" i="4"/>
  <c r="Q90" i="4"/>
  <c r="Q91" i="4"/>
  <c r="Q92" i="4"/>
  <c r="Q94" i="4"/>
  <c r="Q95" i="4"/>
  <c r="Q96" i="4"/>
  <c r="Q97" i="4"/>
  <c r="Q101" i="4"/>
  <c r="R90" i="4"/>
  <c r="R91" i="4"/>
  <c r="R92" i="4"/>
  <c r="R94" i="4"/>
  <c r="R95" i="4"/>
  <c r="R96" i="4"/>
  <c r="R97" i="4"/>
  <c r="R101" i="4"/>
  <c r="S90" i="4"/>
  <c r="S91" i="4"/>
  <c r="S92" i="4"/>
  <c r="S94" i="4"/>
  <c r="S95" i="4"/>
  <c r="S96" i="4"/>
  <c r="S97" i="4"/>
  <c r="S101" i="4"/>
  <c r="T90" i="4"/>
  <c r="T91" i="4"/>
  <c r="T92" i="4"/>
  <c r="T94" i="4"/>
  <c r="T95" i="4"/>
  <c r="T96" i="4"/>
  <c r="T97" i="4"/>
  <c r="T101" i="4"/>
  <c r="U90" i="4"/>
  <c r="U91" i="4"/>
  <c r="U92" i="4"/>
  <c r="U94" i="4"/>
  <c r="U95" i="4"/>
  <c r="U96" i="4"/>
  <c r="U97" i="4"/>
  <c r="U101" i="4"/>
  <c r="V90" i="4"/>
  <c r="V91" i="4"/>
  <c r="V92" i="4"/>
  <c r="V94" i="4"/>
  <c r="V95" i="4"/>
  <c r="V96" i="4"/>
  <c r="V97" i="4"/>
  <c r="V101" i="4"/>
  <c r="X90" i="4"/>
  <c r="X91" i="4"/>
  <c r="X92" i="4"/>
  <c r="X94" i="4"/>
  <c r="X95" i="4"/>
  <c r="X96" i="4"/>
  <c r="X97" i="4"/>
  <c r="X101" i="4"/>
  <c r="Y90" i="4"/>
  <c r="Y91" i="4"/>
  <c r="Y92" i="4"/>
  <c r="Y94" i="4"/>
  <c r="Y95" i="4"/>
  <c r="Y96" i="4"/>
  <c r="Y97" i="4"/>
  <c r="Y101" i="4"/>
  <c r="Z90" i="4"/>
  <c r="Z91" i="4"/>
  <c r="Z92" i="4"/>
  <c r="Z94" i="4"/>
  <c r="Z95" i="4"/>
  <c r="Z96" i="4"/>
  <c r="Z97" i="4"/>
  <c r="Z101" i="4"/>
  <c r="AA90" i="4"/>
  <c r="AA91" i="4"/>
  <c r="AA92" i="4"/>
  <c r="AA94" i="4"/>
  <c r="AA95" i="4"/>
  <c r="AA96" i="4"/>
  <c r="AA97" i="4"/>
  <c r="AA101" i="4"/>
  <c r="AF90" i="4"/>
  <c r="AF91" i="4"/>
  <c r="AF92" i="4"/>
  <c r="AF94" i="4"/>
  <c r="AF95" i="4"/>
  <c r="AF96" i="4"/>
  <c r="AF97" i="4"/>
  <c r="AF101" i="4"/>
  <c r="AG90" i="4"/>
  <c r="AG91" i="4"/>
  <c r="AG92" i="4"/>
  <c r="AG94" i="4"/>
  <c r="AG95" i="4"/>
  <c r="AG96" i="4"/>
  <c r="AG97" i="4"/>
  <c r="AG101" i="4"/>
  <c r="AH90" i="4"/>
  <c r="AH91" i="4"/>
  <c r="AH92" i="4"/>
  <c r="AH94" i="4"/>
  <c r="AH95" i="4"/>
  <c r="AH96" i="4"/>
  <c r="AH97" i="4"/>
  <c r="AH101" i="4"/>
  <c r="AQ90" i="4"/>
  <c r="AQ91" i="4"/>
  <c r="AQ92" i="4"/>
  <c r="AQ94" i="4"/>
  <c r="AQ95" i="4"/>
  <c r="AQ96" i="4"/>
  <c r="AQ97" i="4"/>
  <c r="AQ101" i="4"/>
  <c r="AR90" i="4"/>
  <c r="AR91" i="4"/>
  <c r="AR92" i="4"/>
  <c r="AR94" i="4"/>
  <c r="AR95" i="4"/>
  <c r="AR96" i="4"/>
  <c r="AR97" i="4"/>
  <c r="AR101" i="4"/>
  <c r="AS90" i="4"/>
  <c r="AS91" i="4"/>
  <c r="AS92" i="4"/>
  <c r="AS94" i="4"/>
  <c r="AS95" i="4"/>
  <c r="AS96" i="4"/>
  <c r="AS97" i="4"/>
  <c r="AS101" i="4"/>
  <c r="AT90" i="4"/>
  <c r="AT91" i="4"/>
  <c r="AT92" i="4"/>
  <c r="AT94" i="4"/>
  <c r="AT95" i="4"/>
  <c r="AT96" i="4"/>
  <c r="AT97" i="4"/>
  <c r="AT101" i="4"/>
  <c r="AU90" i="4"/>
  <c r="AU91" i="4"/>
  <c r="AU92" i="4"/>
  <c r="AU94" i="4"/>
  <c r="AU95" i="4"/>
  <c r="AU96" i="4"/>
  <c r="AU97" i="4"/>
  <c r="AU101" i="4"/>
  <c r="AV90" i="4"/>
  <c r="AV91" i="4"/>
  <c r="AV92" i="4"/>
  <c r="AV94" i="4"/>
  <c r="AV95" i="4"/>
  <c r="AV96" i="4"/>
  <c r="AV97" i="4"/>
  <c r="AV101" i="4"/>
  <c r="AW90" i="4"/>
  <c r="AW91" i="4"/>
  <c r="AW92" i="4"/>
  <c r="AW94" i="4"/>
  <c r="AW95" i="4"/>
  <c r="AW96" i="4"/>
  <c r="AW97" i="4"/>
  <c r="AW101" i="4"/>
  <c r="B93" i="4"/>
  <c r="B98" i="4"/>
  <c r="B99" i="4"/>
  <c r="B100" i="4"/>
  <c r="B102" i="4"/>
  <c r="B103" i="4"/>
  <c r="B104" i="4"/>
  <c r="C93" i="4"/>
  <c r="B87" i="8" s="1"/>
  <c r="C98" i="4"/>
  <c r="C99" i="4"/>
  <c r="B89" i="8" s="1"/>
  <c r="C100" i="4"/>
  <c r="C102" i="4"/>
  <c r="B91" i="8" s="1"/>
  <c r="C103" i="4"/>
  <c r="C104" i="4"/>
  <c r="D93" i="4"/>
  <c r="D98" i="4"/>
  <c r="D99" i="4"/>
  <c r="D100" i="4"/>
  <c r="D102" i="4"/>
  <c r="D103" i="4"/>
  <c r="D104" i="4"/>
  <c r="E93" i="4"/>
  <c r="E98" i="4"/>
  <c r="E99" i="4"/>
  <c r="E100" i="4"/>
  <c r="E102" i="4"/>
  <c r="E103" i="4"/>
  <c r="E104" i="4"/>
  <c r="F93" i="4"/>
  <c r="F98" i="4"/>
  <c r="F99" i="4"/>
  <c r="F100" i="4"/>
  <c r="F102" i="4"/>
  <c r="F103" i="4"/>
  <c r="F104" i="4"/>
  <c r="G93" i="4"/>
  <c r="G98" i="4"/>
  <c r="G99" i="4"/>
  <c r="G100" i="4"/>
  <c r="G102" i="4"/>
  <c r="G103" i="4"/>
  <c r="G104" i="4"/>
  <c r="H93" i="4"/>
  <c r="J87" i="8" s="1"/>
  <c r="H98" i="4"/>
  <c r="J88" i="8" s="1"/>
  <c r="H99" i="4"/>
  <c r="J89" i="8" s="1"/>
  <c r="H100" i="4"/>
  <c r="J90" i="8" s="1"/>
  <c r="H102" i="4"/>
  <c r="J91" i="8" s="1"/>
  <c r="H103" i="4"/>
  <c r="J92" i="8" s="1"/>
  <c r="H104" i="4"/>
  <c r="J93" i="8" s="1"/>
  <c r="I93" i="4"/>
  <c r="W93" i="4" s="1"/>
  <c r="I98" i="4"/>
  <c r="D75" i="38" s="1"/>
  <c r="I99" i="4"/>
  <c r="W99" i="4" s="1"/>
  <c r="I100" i="4"/>
  <c r="I102" i="4"/>
  <c r="W102" i="4" s="1"/>
  <c r="I103" i="4"/>
  <c r="D77" i="38" s="1"/>
  <c r="I104" i="4"/>
  <c r="D78" i="38" s="1"/>
  <c r="J93" i="4"/>
  <c r="K87" i="8" s="1"/>
  <c r="J98" i="4"/>
  <c r="J99" i="4"/>
  <c r="K89" i="8" s="1"/>
  <c r="J100" i="4"/>
  <c r="J102" i="4"/>
  <c r="K91" i="8" s="1"/>
  <c r="J103" i="4"/>
  <c r="J104" i="4"/>
  <c r="K93" i="4"/>
  <c r="K98" i="4"/>
  <c r="F75" i="38" s="1"/>
  <c r="K99" i="4"/>
  <c r="K100" i="4"/>
  <c r="F76" i="38" s="1"/>
  <c r="K102" i="4"/>
  <c r="K103" i="4"/>
  <c r="F77" i="38" s="1"/>
  <c r="K104" i="4"/>
  <c r="F78" i="38" s="1"/>
  <c r="L93" i="4"/>
  <c r="L98" i="4"/>
  <c r="L99" i="4"/>
  <c r="L100" i="4"/>
  <c r="L102" i="4"/>
  <c r="L103" i="4"/>
  <c r="L104" i="4"/>
  <c r="M93" i="4"/>
  <c r="M87" i="8" s="1"/>
  <c r="M98" i="4"/>
  <c r="M88" i="8" s="1"/>
  <c r="M99" i="4"/>
  <c r="M89" i="8" s="1"/>
  <c r="M100" i="4"/>
  <c r="M90" i="8" s="1"/>
  <c r="M102" i="4"/>
  <c r="M91" i="8" s="1"/>
  <c r="M103" i="4"/>
  <c r="M92" i="8" s="1"/>
  <c r="M104" i="4"/>
  <c r="M93" i="8" s="1"/>
  <c r="N93" i="4"/>
  <c r="N98" i="4"/>
  <c r="N99" i="4"/>
  <c r="N100" i="4"/>
  <c r="N102" i="4"/>
  <c r="N103" i="4"/>
  <c r="N104" i="4"/>
  <c r="O93" i="4"/>
  <c r="O98" i="4"/>
  <c r="O99" i="4"/>
  <c r="O100" i="4"/>
  <c r="O102" i="4"/>
  <c r="O103" i="4"/>
  <c r="O104" i="4"/>
  <c r="P93" i="4"/>
  <c r="P98" i="4"/>
  <c r="P99" i="4"/>
  <c r="P100" i="4"/>
  <c r="P102" i="4"/>
  <c r="P103" i="4"/>
  <c r="P104" i="4"/>
  <c r="Q93" i="4"/>
  <c r="Q98" i="4"/>
  <c r="Q99" i="4"/>
  <c r="Q100" i="4"/>
  <c r="Q102" i="4"/>
  <c r="Q103" i="4"/>
  <c r="Q104" i="4"/>
  <c r="R93" i="4"/>
  <c r="R98" i="4"/>
  <c r="R99" i="4"/>
  <c r="R100" i="4"/>
  <c r="R102" i="4"/>
  <c r="R103" i="4"/>
  <c r="R104" i="4"/>
  <c r="S93" i="4"/>
  <c r="S98" i="4"/>
  <c r="S99" i="4"/>
  <c r="S100" i="4"/>
  <c r="S102" i="4"/>
  <c r="S103" i="4"/>
  <c r="S104" i="4"/>
  <c r="T93" i="4"/>
  <c r="T98" i="4"/>
  <c r="T99" i="4"/>
  <c r="T100" i="4"/>
  <c r="T102" i="4"/>
  <c r="T103" i="4"/>
  <c r="T104" i="4"/>
  <c r="U93" i="4"/>
  <c r="U98" i="4"/>
  <c r="U99" i="4"/>
  <c r="U100" i="4"/>
  <c r="U102" i="4"/>
  <c r="U103" i="4"/>
  <c r="U104" i="4"/>
  <c r="V93" i="4"/>
  <c r="V98" i="4"/>
  <c r="V99" i="4"/>
  <c r="V100" i="4"/>
  <c r="V102" i="4"/>
  <c r="V103" i="4"/>
  <c r="V104" i="4"/>
  <c r="X93" i="4"/>
  <c r="X98" i="4"/>
  <c r="X99" i="4"/>
  <c r="X100" i="4"/>
  <c r="X102" i="4"/>
  <c r="X103" i="4"/>
  <c r="X104" i="4"/>
  <c r="Y93" i="4"/>
  <c r="Y98" i="4"/>
  <c r="Y99" i="4"/>
  <c r="Y100" i="4"/>
  <c r="Y102" i="4"/>
  <c r="Y103" i="4"/>
  <c r="Y104" i="4"/>
  <c r="Z93" i="4"/>
  <c r="Z98" i="4"/>
  <c r="Z99" i="4"/>
  <c r="Z100" i="4"/>
  <c r="Z102" i="4"/>
  <c r="Z103" i="4"/>
  <c r="Z104" i="4"/>
  <c r="AA93" i="4"/>
  <c r="AA98" i="4"/>
  <c r="AA99" i="4"/>
  <c r="AA100" i="4"/>
  <c r="AA102" i="4"/>
  <c r="AA103" i="4"/>
  <c r="AA104" i="4"/>
  <c r="AF93" i="4"/>
  <c r="AF98" i="4"/>
  <c r="AF99" i="4"/>
  <c r="AF100" i="4"/>
  <c r="AF102" i="4"/>
  <c r="AF103" i="4"/>
  <c r="AF104" i="4"/>
  <c r="AG93" i="4"/>
  <c r="AG98" i="4"/>
  <c r="AG99" i="4"/>
  <c r="AG100" i="4"/>
  <c r="AG102" i="4"/>
  <c r="AG103" i="4"/>
  <c r="AG104" i="4"/>
  <c r="AH93" i="4"/>
  <c r="AH98" i="4"/>
  <c r="AH99" i="4"/>
  <c r="AH100" i="4"/>
  <c r="AH102" i="4"/>
  <c r="AH103" i="4"/>
  <c r="AH104" i="4"/>
  <c r="AQ93" i="4"/>
  <c r="AQ98" i="4"/>
  <c r="AQ99" i="4"/>
  <c r="AQ100" i="4"/>
  <c r="AQ102" i="4"/>
  <c r="AQ103" i="4"/>
  <c r="AQ104" i="4"/>
  <c r="AR93" i="4"/>
  <c r="AR98" i="4"/>
  <c r="AR99" i="4"/>
  <c r="AR100" i="4"/>
  <c r="AR102" i="4"/>
  <c r="AR103" i="4"/>
  <c r="AR104" i="4"/>
  <c r="AS93" i="4"/>
  <c r="AS98" i="4"/>
  <c r="AS99" i="4"/>
  <c r="AS100" i="4"/>
  <c r="AS102" i="4"/>
  <c r="AS103" i="4"/>
  <c r="AS104" i="4"/>
  <c r="AT93" i="4"/>
  <c r="AT98" i="4"/>
  <c r="AT99" i="4"/>
  <c r="AT100" i="4"/>
  <c r="AT102" i="4"/>
  <c r="AT103" i="4"/>
  <c r="AT104" i="4"/>
  <c r="AU93" i="4"/>
  <c r="AU98" i="4"/>
  <c r="AU99" i="4"/>
  <c r="AU100" i="4"/>
  <c r="AU102" i="4"/>
  <c r="AU103" i="4"/>
  <c r="AU104" i="4"/>
  <c r="AV93" i="4"/>
  <c r="AV98" i="4"/>
  <c r="AV99" i="4"/>
  <c r="AV100" i="4"/>
  <c r="AV102" i="4"/>
  <c r="AV103" i="4"/>
  <c r="AV104" i="4"/>
  <c r="AW93" i="4"/>
  <c r="AW98" i="4"/>
  <c r="AW99" i="4"/>
  <c r="AW100" i="4"/>
  <c r="AW102" i="4"/>
  <c r="AW103" i="4"/>
  <c r="AW104" i="4"/>
  <c r="C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88" i="4"/>
  <c r="AP88" i="4" s="1"/>
  <c r="C88" i="4"/>
  <c r="B9" i="23" s="1"/>
  <c r="D88" i="4"/>
  <c r="E88" i="4"/>
  <c r="F88" i="4"/>
  <c r="G88" i="4"/>
  <c r="H88" i="4"/>
  <c r="I88" i="4"/>
  <c r="AK88" i="4" s="1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X88" i="4"/>
  <c r="Y88" i="4"/>
  <c r="Z88" i="4"/>
  <c r="AA88" i="4"/>
  <c r="AF88" i="4"/>
  <c r="AG88" i="4"/>
  <c r="AH88" i="4"/>
  <c r="AQ88" i="4"/>
  <c r="AR88" i="4"/>
  <c r="AS88" i="4"/>
  <c r="AT88" i="4"/>
  <c r="AU88" i="4"/>
  <c r="AV88" i="4"/>
  <c r="AW88" i="4"/>
  <c r="B89" i="4"/>
  <c r="AP89" i="4" s="1"/>
  <c r="C89" i="4"/>
  <c r="D89" i="4"/>
  <c r="E89" i="4"/>
  <c r="F89" i="4"/>
  <c r="G89" i="4"/>
  <c r="H89" i="4"/>
  <c r="I89" i="4"/>
  <c r="AK89" i="4" s="1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X89" i="4"/>
  <c r="Y89" i="4"/>
  <c r="Z89" i="4"/>
  <c r="AA89" i="4"/>
  <c r="AF89" i="4"/>
  <c r="AG89" i="4"/>
  <c r="AH89" i="4"/>
  <c r="AQ89" i="4"/>
  <c r="AR89" i="4"/>
  <c r="AS89" i="4"/>
  <c r="AT89" i="4"/>
  <c r="AU89" i="4"/>
  <c r="AV89" i="4"/>
  <c r="AW89" i="4"/>
  <c r="B88" i="10"/>
  <c r="B89" i="10"/>
  <c r="B85" i="4"/>
  <c r="B86" i="4"/>
  <c r="AP86" i="4" s="1"/>
  <c r="B87" i="4"/>
  <c r="AP87" i="4" s="1"/>
  <c r="C85" i="4"/>
  <c r="C86" i="4"/>
  <c r="C87" i="4"/>
  <c r="D85" i="4"/>
  <c r="D86" i="4"/>
  <c r="D87" i="4"/>
  <c r="E85" i="4"/>
  <c r="E86" i="4"/>
  <c r="E87" i="4"/>
  <c r="F85" i="4"/>
  <c r="F86" i="4"/>
  <c r="F87" i="4"/>
  <c r="G85" i="4"/>
  <c r="G86" i="4"/>
  <c r="G87" i="4"/>
  <c r="H85" i="4"/>
  <c r="H86" i="4"/>
  <c r="H87" i="4"/>
  <c r="I85" i="4"/>
  <c r="I86" i="4"/>
  <c r="W86" i="4" s="1"/>
  <c r="I87" i="4"/>
  <c r="W87" i="4" s="1"/>
  <c r="J85" i="4"/>
  <c r="J86" i="4"/>
  <c r="J87" i="4"/>
  <c r="K85" i="4"/>
  <c r="K86" i="4"/>
  <c r="K87" i="4"/>
  <c r="L85" i="4"/>
  <c r="L86" i="4"/>
  <c r="L87" i="4"/>
  <c r="M85" i="4"/>
  <c r="M86" i="4"/>
  <c r="M87" i="4"/>
  <c r="N85" i="4"/>
  <c r="N86" i="4"/>
  <c r="N87" i="4"/>
  <c r="O85" i="4"/>
  <c r="O86" i="4"/>
  <c r="O87" i="4"/>
  <c r="P85" i="4"/>
  <c r="P86" i="4"/>
  <c r="P87" i="4"/>
  <c r="Q85" i="4"/>
  <c r="Q86" i="4"/>
  <c r="Q87" i="4"/>
  <c r="R85" i="4"/>
  <c r="R86" i="4"/>
  <c r="R87" i="4"/>
  <c r="S85" i="4"/>
  <c r="S86" i="4"/>
  <c r="S87" i="4"/>
  <c r="T85" i="4"/>
  <c r="T86" i="4"/>
  <c r="T87" i="4"/>
  <c r="U85" i="4"/>
  <c r="U86" i="4"/>
  <c r="U87" i="4"/>
  <c r="V85" i="4"/>
  <c r="V86" i="4"/>
  <c r="V87" i="4"/>
  <c r="X85" i="4"/>
  <c r="X86" i="4"/>
  <c r="X87" i="4"/>
  <c r="Y85" i="4"/>
  <c r="Y86" i="4"/>
  <c r="Y87" i="4"/>
  <c r="Z85" i="4"/>
  <c r="Z86" i="4"/>
  <c r="Z87" i="4"/>
  <c r="AA85" i="4"/>
  <c r="AA86" i="4"/>
  <c r="AA87" i="4"/>
  <c r="AF85" i="4"/>
  <c r="AF86" i="4"/>
  <c r="AF87" i="4"/>
  <c r="AG85" i="4"/>
  <c r="AG86" i="4"/>
  <c r="AG87" i="4"/>
  <c r="AH85" i="4"/>
  <c r="AH86" i="4"/>
  <c r="AH87" i="4"/>
  <c r="AQ85" i="4"/>
  <c r="AQ86" i="4"/>
  <c r="AQ87" i="4"/>
  <c r="AR85" i="4"/>
  <c r="AR86" i="4"/>
  <c r="AR87" i="4"/>
  <c r="AS85" i="4"/>
  <c r="AS86" i="4"/>
  <c r="AS87" i="4"/>
  <c r="AT85" i="4"/>
  <c r="AT86" i="4"/>
  <c r="AT87" i="4"/>
  <c r="AU85" i="4"/>
  <c r="AU86" i="4"/>
  <c r="AU87" i="4"/>
  <c r="AV85" i="4"/>
  <c r="AV86" i="4"/>
  <c r="AV87" i="4"/>
  <c r="AW85" i="4"/>
  <c r="AW86" i="4"/>
  <c r="AW87" i="4"/>
  <c r="B84" i="4"/>
  <c r="AP84" i="4" s="1"/>
  <c r="C84" i="4"/>
  <c r="D84" i="4"/>
  <c r="E84" i="4"/>
  <c r="F84" i="4"/>
  <c r="G84" i="4"/>
  <c r="H84" i="4"/>
  <c r="I84" i="4"/>
  <c r="AK84" i="4" s="1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X84" i="4"/>
  <c r="Y84" i="4"/>
  <c r="Z84" i="4"/>
  <c r="AA84" i="4"/>
  <c r="AF84" i="4"/>
  <c r="AG84" i="4"/>
  <c r="AH84" i="4"/>
  <c r="AQ84" i="4"/>
  <c r="AR84" i="4"/>
  <c r="AS84" i="4"/>
  <c r="AT84" i="4"/>
  <c r="AU84" i="4"/>
  <c r="AV84" i="4"/>
  <c r="AW84" i="4"/>
  <c r="B83" i="10"/>
  <c r="B84" i="10"/>
  <c r="B85" i="10"/>
  <c r="B86" i="10"/>
  <c r="B87" i="10"/>
  <c r="I4" i="4"/>
  <c r="I5" i="4"/>
  <c r="I6" i="4"/>
  <c r="D5" i="38" s="1"/>
  <c r="I7" i="4"/>
  <c r="I8" i="4"/>
  <c r="D7" i="38" s="1"/>
  <c r="I9" i="4"/>
  <c r="I10" i="4"/>
  <c r="I11" i="4"/>
  <c r="W11" i="4" s="1"/>
  <c r="I12" i="4"/>
  <c r="I13" i="4"/>
  <c r="W13" i="4" s="1"/>
  <c r="I14" i="4"/>
  <c r="I15" i="4"/>
  <c r="I16" i="4"/>
  <c r="I17" i="4"/>
  <c r="I18" i="4"/>
  <c r="D15" i="38" s="1"/>
  <c r="I19" i="4"/>
  <c r="W19" i="4" s="1"/>
  <c r="I20" i="4"/>
  <c r="I21" i="4"/>
  <c r="I22" i="4"/>
  <c r="I23" i="4"/>
  <c r="D19" i="38" s="1"/>
  <c r="I24" i="4"/>
  <c r="I25" i="4"/>
  <c r="D143" i="38" s="1"/>
  <c r="I26" i="4"/>
  <c r="D21" i="38" s="1"/>
  <c r="I27" i="4"/>
  <c r="I28" i="4"/>
  <c r="D23" i="38" s="1"/>
  <c r="I29" i="4"/>
  <c r="I30" i="4"/>
  <c r="D25" i="38" s="1"/>
  <c r="I31" i="4"/>
  <c r="I32" i="4"/>
  <c r="D27" i="38" s="1"/>
  <c r="I33" i="4"/>
  <c r="D28" i="38" s="1"/>
  <c r="I34" i="4"/>
  <c r="D29" i="38" s="1"/>
  <c r="I35" i="4"/>
  <c r="W35" i="4" s="1"/>
  <c r="I36" i="4"/>
  <c r="I37" i="4"/>
  <c r="D31" i="38" s="1"/>
  <c r="I38" i="4"/>
  <c r="D32" i="38" s="1"/>
  <c r="I39" i="4"/>
  <c r="D33" i="38" s="1"/>
  <c r="I40" i="4"/>
  <c r="I41" i="4"/>
  <c r="I42" i="4"/>
  <c r="D36" i="38" s="1"/>
  <c r="I43" i="4"/>
  <c r="I44" i="4"/>
  <c r="D38" i="38" s="1"/>
  <c r="I45" i="4"/>
  <c r="I46" i="4"/>
  <c r="I47" i="4"/>
  <c r="I48" i="4"/>
  <c r="I49" i="4"/>
  <c r="D42" i="38" s="1"/>
  <c r="I50" i="4"/>
  <c r="I51" i="4"/>
  <c r="I52" i="4"/>
  <c r="I53" i="4"/>
  <c r="I54" i="4"/>
  <c r="D47" i="38" s="1"/>
  <c r="I55" i="4"/>
  <c r="D48" i="38" s="1"/>
  <c r="I56" i="4"/>
  <c r="D49" i="38" s="1"/>
  <c r="I57" i="4"/>
  <c r="D50" i="38" s="1"/>
  <c r="I58" i="4"/>
  <c r="D51" i="38" s="1"/>
  <c r="I59" i="4"/>
  <c r="D52" i="38" s="1"/>
  <c r="I60" i="4"/>
  <c r="W60" i="4" s="1"/>
  <c r="I61" i="4"/>
  <c r="D53" i="38" s="1"/>
  <c r="I62" i="4"/>
  <c r="I63" i="4"/>
  <c r="I64" i="4"/>
  <c r="I65" i="4"/>
  <c r="I66" i="4"/>
  <c r="D58" i="38" s="1"/>
  <c r="I67" i="4"/>
  <c r="D59" i="38" s="1"/>
  <c r="I68" i="4"/>
  <c r="I69" i="4"/>
  <c r="D61" i="38" s="1"/>
  <c r="I70" i="4"/>
  <c r="D62" i="38" s="1"/>
  <c r="I71" i="4"/>
  <c r="I72" i="4"/>
  <c r="I73" i="4"/>
  <c r="D65" i="38" s="1"/>
  <c r="I74" i="4"/>
  <c r="I75" i="4"/>
  <c r="D67" i="38" s="1"/>
  <c r="I76" i="4"/>
  <c r="I77" i="4"/>
  <c r="W77" i="4" s="1"/>
  <c r="I78" i="4"/>
  <c r="D69" i="38" s="1"/>
  <c r="I80" i="4"/>
  <c r="D71" i="38" s="1"/>
  <c r="I81" i="4"/>
  <c r="I82" i="4"/>
  <c r="W82" i="4" s="1"/>
  <c r="I79" i="4"/>
  <c r="I83" i="4"/>
  <c r="B79" i="4"/>
  <c r="B83" i="4"/>
  <c r="C79" i="4"/>
  <c r="C83" i="4"/>
  <c r="D79" i="4"/>
  <c r="D83" i="4"/>
  <c r="E79" i="4"/>
  <c r="E83" i="4"/>
  <c r="F79" i="4"/>
  <c r="F83" i="4"/>
  <c r="G79" i="4"/>
  <c r="G83" i="4"/>
  <c r="H79" i="4"/>
  <c r="J81" i="8" s="1"/>
  <c r="H83" i="4"/>
  <c r="J85" i="8" s="1"/>
  <c r="J79" i="4"/>
  <c r="J83" i="4"/>
  <c r="K79" i="4"/>
  <c r="F70" i="38" s="1"/>
  <c r="K83" i="4"/>
  <c r="F73" i="38" s="1"/>
  <c r="L79" i="4"/>
  <c r="L83" i="4"/>
  <c r="M79" i="4"/>
  <c r="M81" i="8" s="1"/>
  <c r="M83" i="4"/>
  <c r="M85" i="8" s="1"/>
  <c r="N79" i="4"/>
  <c r="N83" i="4"/>
  <c r="O79" i="4"/>
  <c r="O83" i="4"/>
  <c r="P79" i="4"/>
  <c r="P83" i="4"/>
  <c r="Q79" i="4"/>
  <c r="Q83" i="4"/>
  <c r="R79" i="4"/>
  <c r="R83" i="4"/>
  <c r="S79" i="4"/>
  <c r="S83" i="4"/>
  <c r="T79" i="4"/>
  <c r="T83" i="4"/>
  <c r="U79" i="4"/>
  <c r="U83" i="4"/>
  <c r="V79" i="4"/>
  <c r="V83" i="4"/>
  <c r="X79" i="4"/>
  <c r="X83" i="4"/>
  <c r="Y79" i="4"/>
  <c r="Y83" i="4"/>
  <c r="Z79" i="4"/>
  <c r="Z83" i="4"/>
  <c r="AA79" i="4"/>
  <c r="AA83" i="4"/>
  <c r="AF79" i="4"/>
  <c r="AF83" i="4"/>
  <c r="AG79" i="4"/>
  <c r="AG83" i="4"/>
  <c r="AH79" i="4"/>
  <c r="AH83" i="4"/>
  <c r="AQ79" i="4"/>
  <c r="AQ83" i="4"/>
  <c r="AR79" i="4"/>
  <c r="AR83" i="4"/>
  <c r="AS79" i="4"/>
  <c r="AS83" i="4"/>
  <c r="AT79" i="4"/>
  <c r="AT83" i="4"/>
  <c r="AU79" i="4"/>
  <c r="AU83" i="4"/>
  <c r="AV79" i="4"/>
  <c r="AV83" i="4"/>
  <c r="AW79" i="4"/>
  <c r="AW83" i="4"/>
  <c r="B80" i="4"/>
  <c r="B81" i="4"/>
  <c r="B82" i="4"/>
  <c r="C80" i="4"/>
  <c r="C81" i="4"/>
  <c r="C82" i="4"/>
  <c r="B84" i="8" s="1"/>
  <c r="D80" i="4"/>
  <c r="D81" i="4"/>
  <c r="D82" i="4"/>
  <c r="E80" i="4"/>
  <c r="E81" i="4"/>
  <c r="E82" i="4"/>
  <c r="F80" i="4"/>
  <c r="F81" i="4"/>
  <c r="F82" i="4"/>
  <c r="G80" i="4"/>
  <c r="G81" i="4"/>
  <c r="G82" i="4"/>
  <c r="H80" i="4"/>
  <c r="J82" i="8" s="1"/>
  <c r="H81" i="4"/>
  <c r="J83" i="8" s="1"/>
  <c r="H82" i="4"/>
  <c r="J84" i="8" s="1"/>
  <c r="J80" i="4"/>
  <c r="J81" i="4"/>
  <c r="J82" i="4"/>
  <c r="K84" i="8" s="1"/>
  <c r="K80" i="4"/>
  <c r="F71" i="38" s="1"/>
  <c r="K81" i="4"/>
  <c r="F72" i="38" s="1"/>
  <c r="K82" i="4"/>
  <c r="L80" i="4"/>
  <c r="L81" i="4"/>
  <c r="L82" i="4"/>
  <c r="M80" i="4"/>
  <c r="M82" i="8" s="1"/>
  <c r="M81" i="4"/>
  <c r="M83" i="8" s="1"/>
  <c r="M82" i="4"/>
  <c r="M84" i="8" s="1"/>
  <c r="N80" i="4"/>
  <c r="N81" i="4"/>
  <c r="N82" i="4"/>
  <c r="O80" i="4"/>
  <c r="O81" i="4"/>
  <c r="O82" i="4"/>
  <c r="P80" i="4"/>
  <c r="P81" i="4"/>
  <c r="P82" i="4"/>
  <c r="Q80" i="4"/>
  <c r="Q81" i="4"/>
  <c r="Q82" i="4"/>
  <c r="R80" i="4"/>
  <c r="R81" i="4"/>
  <c r="R82" i="4"/>
  <c r="S80" i="4"/>
  <c r="S81" i="4"/>
  <c r="S82" i="4"/>
  <c r="T80" i="4"/>
  <c r="T81" i="4"/>
  <c r="T82" i="4"/>
  <c r="U80" i="4"/>
  <c r="U81" i="4"/>
  <c r="U82" i="4"/>
  <c r="V80" i="4"/>
  <c r="V81" i="4"/>
  <c r="V82" i="4"/>
  <c r="X80" i="4"/>
  <c r="X81" i="4"/>
  <c r="X82" i="4"/>
  <c r="Y80" i="4"/>
  <c r="Y81" i="4"/>
  <c r="Y82" i="4"/>
  <c r="Z80" i="4"/>
  <c r="Z81" i="4"/>
  <c r="Z82" i="4"/>
  <c r="AA80" i="4"/>
  <c r="AA81" i="4"/>
  <c r="AA82" i="4"/>
  <c r="AF80" i="4"/>
  <c r="AF81" i="4"/>
  <c r="AF82" i="4"/>
  <c r="AG80" i="4"/>
  <c r="AG81" i="4"/>
  <c r="AG82" i="4"/>
  <c r="AH80" i="4"/>
  <c r="AH81" i="4"/>
  <c r="AH82" i="4"/>
  <c r="AQ80" i="4"/>
  <c r="AQ81" i="4"/>
  <c r="AQ82" i="4"/>
  <c r="AR80" i="4"/>
  <c r="AR81" i="4"/>
  <c r="AR82" i="4"/>
  <c r="AS80" i="4"/>
  <c r="AS81" i="4"/>
  <c r="AS82" i="4"/>
  <c r="AT80" i="4"/>
  <c r="AT81" i="4"/>
  <c r="AT82" i="4"/>
  <c r="AU80" i="4"/>
  <c r="AU81" i="4"/>
  <c r="AU82" i="4"/>
  <c r="AV80" i="4"/>
  <c r="AV81" i="4"/>
  <c r="AV82" i="4"/>
  <c r="AW80" i="4"/>
  <c r="AW81" i="4"/>
  <c r="AW82" i="4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H174" i="8" s="1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C4" i="4"/>
  <c r="C5" i="4"/>
  <c r="C6" i="4"/>
  <c r="C7" i="4"/>
  <c r="C8" i="4"/>
  <c r="C9" i="4"/>
  <c r="C10" i="4"/>
  <c r="C11" i="4"/>
  <c r="B13" i="8" s="1"/>
  <c r="C12" i="4"/>
  <c r="C13" i="4"/>
  <c r="B15" i="8" s="1"/>
  <c r="C14" i="4"/>
  <c r="C15" i="4"/>
  <c r="C16" i="4"/>
  <c r="C17" i="4"/>
  <c r="C18" i="4"/>
  <c r="C19" i="4"/>
  <c r="B21" i="8" s="1"/>
  <c r="C20" i="4"/>
  <c r="C21" i="4"/>
  <c r="C22" i="4"/>
  <c r="C23" i="4"/>
  <c r="C24" i="4"/>
  <c r="C25" i="4"/>
  <c r="B143" i="38" s="1"/>
  <c r="C26" i="4"/>
  <c r="C27" i="4"/>
  <c r="C28" i="4"/>
  <c r="C29" i="4"/>
  <c r="C30" i="4"/>
  <c r="C31" i="4"/>
  <c r="C32" i="4"/>
  <c r="C33" i="4"/>
  <c r="C34" i="4"/>
  <c r="C35" i="4"/>
  <c r="B37" i="8" s="1"/>
  <c r="C36" i="4"/>
  <c r="C37" i="4"/>
  <c r="C38" i="4"/>
  <c r="C39" i="4"/>
  <c r="C40" i="4"/>
  <c r="C41" i="4"/>
  <c r="C42" i="4"/>
  <c r="C43" i="4"/>
  <c r="C44" i="4"/>
  <c r="C45" i="4"/>
  <c r="C46" i="4"/>
  <c r="C47" i="4"/>
  <c r="B49" i="8" s="1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B62" i="8" s="1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B79" i="8" s="1"/>
  <c r="C78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H4" i="4"/>
  <c r="J6" i="8" s="1"/>
  <c r="H5" i="4"/>
  <c r="J7" i="8" s="1"/>
  <c r="H6" i="4"/>
  <c r="J8" i="8" s="1"/>
  <c r="H7" i="4"/>
  <c r="J9" i="8" s="1"/>
  <c r="H8" i="4"/>
  <c r="J10" i="8" s="1"/>
  <c r="H9" i="4"/>
  <c r="J11" i="8" s="1"/>
  <c r="H10" i="4"/>
  <c r="J12" i="8" s="1"/>
  <c r="H11" i="4"/>
  <c r="J13" i="8" s="1"/>
  <c r="H12" i="4"/>
  <c r="J14" i="8" s="1"/>
  <c r="H13" i="4"/>
  <c r="J15" i="8" s="1"/>
  <c r="H14" i="4"/>
  <c r="J16" i="8" s="1"/>
  <c r="H15" i="4"/>
  <c r="J17" i="8" s="1"/>
  <c r="H16" i="4"/>
  <c r="J18" i="8" s="1"/>
  <c r="H17" i="4"/>
  <c r="J19" i="8" s="1"/>
  <c r="H18" i="4"/>
  <c r="J20" i="8" s="1"/>
  <c r="H19" i="4"/>
  <c r="J21" i="8" s="1"/>
  <c r="H20" i="4"/>
  <c r="J22" i="8" s="1"/>
  <c r="H21" i="4"/>
  <c r="J23" i="8" s="1"/>
  <c r="H22" i="4"/>
  <c r="J24" i="8" s="1"/>
  <c r="H23" i="4"/>
  <c r="J25" i="8" s="1"/>
  <c r="H24" i="4"/>
  <c r="J26" i="8" s="1"/>
  <c r="H25" i="4"/>
  <c r="H26" i="4"/>
  <c r="J28" i="8" s="1"/>
  <c r="H27" i="4"/>
  <c r="J29" i="8" s="1"/>
  <c r="H28" i="4"/>
  <c r="J30" i="8" s="1"/>
  <c r="H29" i="4"/>
  <c r="J31" i="8" s="1"/>
  <c r="H30" i="4"/>
  <c r="J32" i="8" s="1"/>
  <c r="H31" i="4"/>
  <c r="J33" i="8" s="1"/>
  <c r="H32" i="4"/>
  <c r="J34" i="8" s="1"/>
  <c r="H33" i="4"/>
  <c r="J35" i="8" s="1"/>
  <c r="H34" i="4"/>
  <c r="J36" i="8" s="1"/>
  <c r="H35" i="4"/>
  <c r="J37" i="8" s="1"/>
  <c r="H36" i="4"/>
  <c r="J38" i="8" s="1"/>
  <c r="H37" i="4"/>
  <c r="J39" i="8" s="1"/>
  <c r="H38" i="4"/>
  <c r="J40" i="8" s="1"/>
  <c r="H39" i="4"/>
  <c r="J41" i="8" s="1"/>
  <c r="H40" i="4"/>
  <c r="J42" i="8" s="1"/>
  <c r="H41" i="4"/>
  <c r="J43" i="8" s="1"/>
  <c r="H42" i="4"/>
  <c r="J44" i="8" s="1"/>
  <c r="H43" i="4"/>
  <c r="J45" i="8" s="1"/>
  <c r="H44" i="4"/>
  <c r="J46" i="8" s="1"/>
  <c r="H45" i="4"/>
  <c r="J47" i="8" s="1"/>
  <c r="H46" i="4"/>
  <c r="J48" i="8" s="1"/>
  <c r="H47" i="4"/>
  <c r="J49" i="8" s="1"/>
  <c r="H48" i="4"/>
  <c r="J50" i="8" s="1"/>
  <c r="H49" i="4"/>
  <c r="J51" i="8" s="1"/>
  <c r="H50" i="4"/>
  <c r="J52" i="8" s="1"/>
  <c r="H51" i="4"/>
  <c r="J53" i="8" s="1"/>
  <c r="H52" i="4"/>
  <c r="J54" i="8" s="1"/>
  <c r="H53" i="4"/>
  <c r="J55" i="8" s="1"/>
  <c r="H54" i="4"/>
  <c r="J56" i="8" s="1"/>
  <c r="H55" i="4"/>
  <c r="J57" i="8" s="1"/>
  <c r="H56" i="4"/>
  <c r="J58" i="8" s="1"/>
  <c r="H57" i="4"/>
  <c r="J59" i="8" s="1"/>
  <c r="H58" i="4"/>
  <c r="J60" i="8" s="1"/>
  <c r="H59" i="4"/>
  <c r="J61" i="8" s="1"/>
  <c r="H60" i="4"/>
  <c r="J62" i="8" s="1"/>
  <c r="H61" i="4"/>
  <c r="J63" i="8" s="1"/>
  <c r="H62" i="4"/>
  <c r="J64" i="8" s="1"/>
  <c r="H63" i="4"/>
  <c r="J65" i="8" s="1"/>
  <c r="H64" i="4"/>
  <c r="J66" i="8" s="1"/>
  <c r="H65" i="4"/>
  <c r="J67" i="8" s="1"/>
  <c r="H66" i="4"/>
  <c r="J68" i="8" s="1"/>
  <c r="H67" i="4"/>
  <c r="J69" i="8" s="1"/>
  <c r="H68" i="4"/>
  <c r="J70" i="8" s="1"/>
  <c r="H69" i="4"/>
  <c r="J71" i="8" s="1"/>
  <c r="H70" i="4"/>
  <c r="J72" i="8" s="1"/>
  <c r="H71" i="4"/>
  <c r="J73" i="8" s="1"/>
  <c r="H72" i="4"/>
  <c r="J74" i="8" s="1"/>
  <c r="H73" i="4"/>
  <c r="J75" i="8" s="1"/>
  <c r="H74" i="4"/>
  <c r="J76" i="8" s="1"/>
  <c r="H75" i="4"/>
  <c r="J77" i="8" s="1"/>
  <c r="H76" i="4"/>
  <c r="J78" i="8" s="1"/>
  <c r="H77" i="4"/>
  <c r="J79" i="8" s="1"/>
  <c r="H78" i="4"/>
  <c r="J80" i="8" s="1"/>
  <c r="J4" i="4"/>
  <c r="J5" i="4"/>
  <c r="J6" i="4"/>
  <c r="J7" i="4"/>
  <c r="J8" i="4"/>
  <c r="J9" i="4"/>
  <c r="J10" i="4"/>
  <c r="J11" i="4"/>
  <c r="K13" i="8" s="1"/>
  <c r="J12" i="4"/>
  <c r="J13" i="4"/>
  <c r="K15" i="8" s="1"/>
  <c r="J14" i="4"/>
  <c r="J15" i="4"/>
  <c r="J16" i="4"/>
  <c r="J17" i="4"/>
  <c r="J18" i="4"/>
  <c r="J19" i="4"/>
  <c r="K21" i="8" s="1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K37" i="8" s="1"/>
  <c r="J36" i="4"/>
  <c r="J37" i="4"/>
  <c r="J38" i="4"/>
  <c r="J39" i="4"/>
  <c r="J40" i="4"/>
  <c r="J41" i="4"/>
  <c r="J42" i="4"/>
  <c r="J43" i="4"/>
  <c r="J44" i="4"/>
  <c r="J45" i="4"/>
  <c r="J46" i="4"/>
  <c r="J47" i="4"/>
  <c r="K49" i="8" s="1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K62" i="8" s="1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K79" i="8" s="1"/>
  <c r="J78" i="4"/>
  <c r="K4" i="4"/>
  <c r="F3" i="38" s="1"/>
  <c r="K5" i="4"/>
  <c r="F4" i="38" s="1"/>
  <c r="K6" i="4"/>
  <c r="F5" i="38" s="1"/>
  <c r="K7" i="4"/>
  <c r="F6" i="38" s="1"/>
  <c r="K8" i="4"/>
  <c r="F7" i="38" s="1"/>
  <c r="K9" i="4"/>
  <c r="F8" i="38" s="1"/>
  <c r="K10" i="4"/>
  <c r="F9" i="38" s="1"/>
  <c r="K11" i="4"/>
  <c r="K12" i="4"/>
  <c r="F10" i="38" s="1"/>
  <c r="K13" i="4"/>
  <c r="K14" i="4"/>
  <c r="F11" i="38" s="1"/>
  <c r="K15" i="4"/>
  <c r="F12" i="38" s="1"/>
  <c r="K16" i="4"/>
  <c r="F13" i="38" s="1"/>
  <c r="K17" i="4"/>
  <c r="F14" i="38" s="1"/>
  <c r="K18" i="4"/>
  <c r="F15" i="38" s="1"/>
  <c r="K19" i="4"/>
  <c r="K20" i="4"/>
  <c r="F16" i="38" s="1"/>
  <c r="K21" i="4"/>
  <c r="F17" i="38" s="1"/>
  <c r="K22" i="4"/>
  <c r="F18" i="38" s="1"/>
  <c r="K23" i="4"/>
  <c r="F19" i="38" s="1"/>
  <c r="K24" i="4"/>
  <c r="F20" i="38" s="1"/>
  <c r="K25" i="4"/>
  <c r="F143" i="38" s="1"/>
  <c r="K26" i="4"/>
  <c r="F21" i="38" s="1"/>
  <c r="K27" i="4"/>
  <c r="F22" i="38" s="1"/>
  <c r="K28" i="4"/>
  <c r="F23" i="38" s="1"/>
  <c r="K29" i="4"/>
  <c r="F24" i="38" s="1"/>
  <c r="K30" i="4"/>
  <c r="F25" i="38" s="1"/>
  <c r="K31" i="4"/>
  <c r="F26" i="38" s="1"/>
  <c r="K32" i="4"/>
  <c r="F27" i="38" s="1"/>
  <c r="K33" i="4"/>
  <c r="F28" i="38" s="1"/>
  <c r="K34" i="4"/>
  <c r="F29" i="38" s="1"/>
  <c r="K35" i="4"/>
  <c r="K36" i="4"/>
  <c r="F30" i="38" s="1"/>
  <c r="K37" i="4"/>
  <c r="F31" i="38" s="1"/>
  <c r="K38" i="4"/>
  <c r="F32" i="38" s="1"/>
  <c r="K39" i="4"/>
  <c r="F33" i="38" s="1"/>
  <c r="K40" i="4"/>
  <c r="F34" i="38" s="1"/>
  <c r="K41" i="4"/>
  <c r="F35" i="38" s="1"/>
  <c r="K42" i="4"/>
  <c r="F36" i="38" s="1"/>
  <c r="K43" i="4"/>
  <c r="F37" i="38" s="1"/>
  <c r="K44" i="4"/>
  <c r="F38" i="38" s="1"/>
  <c r="K45" i="4"/>
  <c r="F39" i="38" s="1"/>
  <c r="K46" i="4"/>
  <c r="F40" i="38" s="1"/>
  <c r="K47" i="4"/>
  <c r="K48" i="4"/>
  <c r="F41" i="38" s="1"/>
  <c r="K49" i="4"/>
  <c r="F42" i="38" s="1"/>
  <c r="K50" i="4"/>
  <c r="F43" i="38" s="1"/>
  <c r="K51" i="4"/>
  <c r="F44" i="38" s="1"/>
  <c r="K52" i="4"/>
  <c r="F45" i="38" s="1"/>
  <c r="K53" i="4"/>
  <c r="F46" i="38" s="1"/>
  <c r="K54" i="4"/>
  <c r="F47" i="38" s="1"/>
  <c r="K55" i="4"/>
  <c r="F48" i="38" s="1"/>
  <c r="K56" i="4"/>
  <c r="F49" i="38" s="1"/>
  <c r="K57" i="4"/>
  <c r="F50" i="38" s="1"/>
  <c r="K58" i="4"/>
  <c r="F51" i="38" s="1"/>
  <c r="K59" i="4"/>
  <c r="F52" i="38" s="1"/>
  <c r="K60" i="4"/>
  <c r="K61" i="4"/>
  <c r="F53" i="38" s="1"/>
  <c r="K62" i="4"/>
  <c r="F54" i="38" s="1"/>
  <c r="K63" i="4"/>
  <c r="F55" i="38" s="1"/>
  <c r="K64" i="4"/>
  <c r="F56" i="38" s="1"/>
  <c r="K65" i="4"/>
  <c r="F57" i="38" s="1"/>
  <c r="K66" i="4"/>
  <c r="F58" i="38" s="1"/>
  <c r="K67" i="4"/>
  <c r="F59" i="38" s="1"/>
  <c r="K68" i="4"/>
  <c r="F60" i="38" s="1"/>
  <c r="K69" i="4"/>
  <c r="F61" i="38" s="1"/>
  <c r="K70" i="4"/>
  <c r="F62" i="38" s="1"/>
  <c r="K71" i="4"/>
  <c r="F63" i="38" s="1"/>
  <c r="K72" i="4"/>
  <c r="F64" i="38" s="1"/>
  <c r="K73" i="4"/>
  <c r="F65" i="38" s="1"/>
  <c r="K74" i="4"/>
  <c r="F66" i="38" s="1"/>
  <c r="K75" i="4"/>
  <c r="F67" i="38" s="1"/>
  <c r="K76" i="4"/>
  <c r="F68" i="38" s="1"/>
  <c r="K77" i="4"/>
  <c r="K78" i="4"/>
  <c r="F69" i="38" s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M4" i="4"/>
  <c r="M6" i="8" s="1"/>
  <c r="M5" i="4"/>
  <c r="M7" i="8" s="1"/>
  <c r="M6" i="4"/>
  <c r="M8" i="8" s="1"/>
  <c r="M7" i="4"/>
  <c r="M9" i="8" s="1"/>
  <c r="M8" i="4"/>
  <c r="M10" i="8" s="1"/>
  <c r="M9" i="4"/>
  <c r="M11" i="8" s="1"/>
  <c r="M10" i="4"/>
  <c r="M12" i="8" s="1"/>
  <c r="M11" i="4"/>
  <c r="M13" i="8" s="1"/>
  <c r="M12" i="4"/>
  <c r="M14" i="8" s="1"/>
  <c r="M13" i="4"/>
  <c r="M15" i="8" s="1"/>
  <c r="M14" i="4"/>
  <c r="M16" i="8" s="1"/>
  <c r="M15" i="4"/>
  <c r="M17" i="8" s="1"/>
  <c r="M16" i="4"/>
  <c r="M18" i="8" s="1"/>
  <c r="M17" i="4"/>
  <c r="M19" i="8" s="1"/>
  <c r="M18" i="4"/>
  <c r="M20" i="8" s="1"/>
  <c r="M19" i="4"/>
  <c r="M21" i="8" s="1"/>
  <c r="M20" i="4"/>
  <c r="M22" i="8" s="1"/>
  <c r="M21" i="4"/>
  <c r="M23" i="8" s="1"/>
  <c r="M22" i="4"/>
  <c r="M24" i="8" s="1"/>
  <c r="M23" i="4"/>
  <c r="M25" i="8" s="1"/>
  <c r="M24" i="4"/>
  <c r="M26" i="8" s="1"/>
  <c r="M25" i="4"/>
  <c r="M26" i="4"/>
  <c r="M28" i="8" s="1"/>
  <c r="M27" i="4"/>
  <c r="M29" i="8" s="1"/>
  <c r="M28" i="4"/>
  <c r="M30" i="8" s="1"/>
  <c r="M29" i="4"/>
  <c r="M31" i="8" s="1"/>
  <c r="M30" i="4"/>
  <c r="M32" i="8" s="1"/>
  <c r="M31" i="4"/>
  <c r="M33" i="8" s="1"/>
  <c r="M32" i="4"/>
  <c r="M34" i="8" s="1"/>
  <c r="M33" i="4"/>
  <c r="M35" i="8" s="1"/>
  <c r="M34" i="4"/>
  <c r="M36" i="8" s="1"/>
  <c r="M35" i="4"/>
  <c r="M37" i="8" s="1"/>
  <c r="M36" i="4"/>
  <c r="M38" i="8" s="1"/>
  <c r="M37" i="4"/>
  <c r="M39" i="8" s="1"/>
  <c r="M38" i="4"/>
  <c r="M40" i="8" s="1"/>
  <c r="M39" i="4"/>
  <c r="M41" i="8" s="1"/>
  <c r="M40" i="4"/>
  <c r="M42" i="8" s="1"/>
  <c r="M41" i="4"/>
  <c r="M43" i="8" s="1"/>
  <c r="M42" i="4"/>
  <c r="M44" i="8" s="1"/>
  <c r="M43" i="4"/>
  <c r="M45" i="8" s="1"/>
  <c r="M44" i="4"/>
  <c r="M46" i="8" s="1"/>
  <c r="M45" i="4"/>
  <c r="M47" i="8" s="1"/>
  <c r="M46" i="4"/>
  <c r="M48" i="8" s="1"/>
  <c r="M47" i="4"/>
  <c r="M49" i="8" s="1"/>
  <c r="M48" i="4"/>
  <c r="M50" i="8" s="1"/>
  <c r="M49" i="4"/>
  <c r="M51" i="8" s="1"/>
  <c r="M50" i="4"/>
  <c r="M52" i="8" s="1"/>
  <c r="M51" i="4"/>
  <c r="M53" i="8" s="1"/>
  <c r="M52" i="4"/>
  <c r="M54" i="8" s="1"/>
  <c r="M53" i="4"/>
  <c r="M55" i="8" s="1"/>
  <c r="M54" i="4"/>
  <c r="M56" i="8" s="1"/>
  <c r="M55" i="4"/>
  <c r="M57" i="8" s="1"/>
  <c r="M56" i="4"/>
  <c r="M58" i="8" s="1"/>
  <c r="M57" i="4"/>
  <c r="M59" i="8" s="1"/>
  <c r="M58" i="4"/>
  <c r="M60" i="8" s="1"/>
  <c r="M59" i="4"/>
  <c r="M61" i="8" s="1"/>
  <c r="M60" i="4"/>
  <c r="M62" i="8" s="1"/>
  <c r="M61" i="4"/>
  <c r="M63" i="8" s="1"/>
  <c r="M62" i="4"/>
  <c r="M64" i="8" s="1"/>
  <c r="M63" i="4"/>
  <c r="M65" i="8" s="1"/>
  <c r="M64" i="4"/>
  <c r="M66" i="8" s="1"/>
  <c r="M65" i="4"/>
  <c r="M67" i="8" s="1"/>
  <c r="M66" i="4"/>
  <c r="M68" i="8" s="1"/>
  <c r="M67" i="4"/>
  <c r="M69" i="8" s="1"/>
  <c r="M68" i="4"/>
  <c r="M70" i="8" s="1"/>
  <c r="M69" i="4"/>
  <c r="M71" i="8" s="1"/>
  <c r="M70" i="4"/>
  <c r="M72" i="8" s="1"/>
  <c r="M71" i="4"/>
  <c r="M73" i="8" s="1"/>
  <c r="M72" i="4"/>
  <c r="M74" i="8" s="1"/>
  <c r="M73" i="4"/>
  <c r="M75" i="8" s="1"/>
  <c r="M74" i="4"/>
  <c r="M76" i="8" s="1"/>
  <c r="M75" i="4"/>
  <c r="M77" i="8" s="1"/>
  <c r="M76" i="4"/>
  <c r="M78" i="8" s="1"/>
  <c r="M77" i="4"/>
  <c r="M79" i="8" s="1"/>
  <c r="M78" i="4"/>
  <c r="M80" i="8" s="1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G4" i="4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61" i="4"/>
  <c r="AG62" i="4"/>
  <c r="AG63" i="4"/>
  <c r="AG64" i="4"/>
  <c r="AG65" i="4"/>
  <c r="AG66" i="4"/>
  <c r="AG67" i="4"/>
  <c r="AG68" i="4"/>
  <c r="AG69" i="4"/>
  <c r="AG70" i="4"/>
  <c r="AG71" i="4"/>
  <c r="AG72" i="4"/>
  <c r="AG73" i="4"/>
  <c r="AG74" i="4"/>
  <c r="AG75" i="4"/>
  <c r="AG76" i="4"/>
  <c r="AG77" i="4"/>
  <c r="AG78" i="4"/>
  <c r="AH4" i="4"/>
  <c r="AH5" i="4"/>
  <c r="AH6" i="4"/>
  <c r="AH7" i="4"/>
  <c r="AH8" i="4"/>
  <c r="AH9" i="4"/>
  <c r="AH10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R4" i="4"/>
  <c r="AR5" i="4"/>
  <c r="AR6" i="4"/>
  <c r="AR7" i="4"/>
  <c r="AR8" i="4"/>
  <c r="AR9" i="4"/>
  <c r="AR10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R27" i="4"/>
  <c r="AR28" i="4"/>
  <c r="AR29" i="4"/>
  <c r="AR30" i="4"/>
  <c r="AR31" i="4"/>
  <c r="AR32" i="4"/>
  <c r="AR33" i="4"/>
  <c r="AR34" i="4"/>
  <c r="AR35" i="4"/>
  <c r="AR36" i="4"/>
  <c r="AR37" i="4"/>
  <c r="AR38" i="4"/>
  <c r="AR39" i="4"/>
  <c r="AR40" i="4"/>
  <c r="AR41" i="4"/>
  <c r="AR42" i="4"/>
  <c r="AR43" i="4"/>
  <c r="AR44" i="4"/>
  <c r="AR45" i="4"/>
  <c r="AR46" i="4"/>
  <c r="AR47" i="4"/>
  <c r="AR48" i="4"/>
  <c r="AR49" i="4"/>
  <c r="AR50" i="4"/>
  <c r="AR51" i="4"/>
  <c r="AR52" i="4"/>
  <c r="AR53" i="4"/>
  <c r="AR54" i="4"/>
  <c r="AR55" i="4"/>
  <c r="AR56" i="4"/>
  <c r="AR57" i="4"/>
  <c r="AR58" i="4"/>
  <c r="AR59" i="4"/>
  <c r="AR60" i="4"/>
  <c r="AR61" i="4"/>
  <c r="AR62" i="4"/>
  <c r="AR63" i="4"/>
  <c r="AR64" i="4"/>
  <c r="AR65" i="4"/>
  <c r="AR66" i="4"/>
  <c r="AR67" i="4"/>
  <c r="AR68" i="4"/>
  <c r="AR69" i="4"/>
  <c r="AR70" i="4"/>
  <c r="AR71" i="4"/>
  <c r="AR72" i="4"/>
  <c r="AR73" i="4"/>
  <c r="AR74" i="4"/>
  <c r="AR75" i="4"/>
  <c r="AR76" i="4"/>
  <c r="AR77" i="4"/>
  <c r="AR78" i="4"/>
  <c r="AS4" i="4"/>
  <c r="AS5" i="4"/>
  <c r="AS6" i="4"/>
  <c r="AS7" i="4"/>
  <c r="AS8" i="4"/>
  <c r="AS9" i="4"/>
  <c r="AS10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/>
  <c r="AS43" i="4"/>
  <c r="AS44" i="4"/>
  <c r="AS45" i="4"/>
  <c r="AS46" i="4"/>
  <c r="AS47" i="4"/>
  <c r="AS48" i="4"/>
  <c r="AS49" i="4"/>
  <c r="AS50" i="4"/>
  <c r="AS51" i="4"/>
  <c r="AS52" i="4"/>
  <c r="AS53" i="4"/>
  <c r="AS54" i="4"/>
  <c r="AS55" i="4"/>
  <c r="AS56" i="4"/>
  <c r="AS57" i="4"/>
  <c r="AS58" i="4"/>
  <c r="AS59" i="4"/>
  <c r="AS60" i="4"/>
  <c r="AS61" i="4"/>
  <c r="AS62" i="4"/>
  <c r="AS63" i="4"/>
  <c r="AS64" i="4"/>
  <c r="AS65" i="4"/>
  <c r="AS66" i="4"/>
  <c r="AS67" i="4"/>
  <c r="AS68" i="4"/>
  <c r="AS69" i="4"/>
  <c r="AS70" i="4"/>
  <c r="AS71" i="4"/>
  <c r="AS72" i="4"/>
  <c r="AS73" i="4"/>
  <c r="AS74" i="4"/>
  <c r="AS75" i="4"/>
  <c r="AS76" i="4"/>
  <c r="AS77" i="4"/>
  <c r="AS78" i="4"/>
  <c r="AT4" i="4"/>
  <c r="AT5" i="4"/>
  <c r="AT6" i="4"/>
  <c r="AT7" i="4"/>
  <c r="AT8" i="4"/>
  <c r="AT9" i="4"/>
  <c r="AT10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1" i="4"/>
  <c r="AT62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AT76" i="4"/>
  <c r="AT77" i="4"/>
  <c r="AT78" i="4"/>
  <c r="AU4" i="4"/>
  <c r="AU5" i="4"/>
  <c r="AU6" i="4"/>
  <c r="AU7" i="4"/>
  <c r="AU8" i="4"/>
  <c r="AU9" i="4"/>
  <c r="AU10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U39" i="4"/>
  <c r="AU40" i="4"/>
  <c r="AU41" i="4"/>
  <c r="AU42" i="4"/>
  <c r="AU43" i="4"/>
  <c r="AU44" i="4"/>
  <c r="AU45" i="4"/>
  <c r="AU46" i="4"/>
  <c r="AU47" i="4"/>
  <c r="AU48" i="4"/>
  <c r="AU49" i="4"/>
  <c r="AU50" i="4"/>
  <c r="AU51" i="4"/>
  <c r="AU52" i="4"/>
  <c r="AU53" i="4"/>
  <c r="AU54" i="4"/>
  <c r="AU55" i="4"/>
  <c r="AU56" i="4"/>
  <c r="AU57" i="4"/>
  <c r="AU58" i="4"/>
  <c r="AU59" i="4"/>
  <c r="AU60" i="4"/>
  <c r="AU61" i="4"/>
  <c r="AU62" i="4"/>
  <c r="AU63" i="4"/>
  <c r="AU64" i="4"/>
  <c r="AU65" i="4"/>
  <c r="AU66" i="4"/>
  <c r="AU67" i="4"/>
  <c r="AU68" i="4"/>
  <c r="AU69" i="4"/>
  <c r="AU70" i="4"/>
  <c r="AU71" i="4"/>
  <c r="AU72" i="4"/>
  <c r="AU73" i="4"/>
  <c r="AU74" i="4"/>
  <c r="AU75" i="4"/>
  <c r="AU76" i="4"/>
  <c r="AU77" i="4"/>
  <c r="AU78" i="4"/>
  <c r="AV4" i="4"/>
  <c r="AV5" i="4"/>
  <c r="AV6" i="4"/>
  <c r="AV7" i="4"/>
  <c r="AV8" i="4"/>
  <c r="AV9" i="4"/>
  <c r="AV10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V64" i="4"/>
  <c r="AV65" i="4"/>
  <c r="AV66" i="4"/>
  <c r="AV67" i="4"/>
  <c r="AV68" i="4"/>
  <c r="AV69" i="4"/>
  <c r="AV70" i="4"/>
  <c r="AV71" i="4"/>
  <c r="AV72" i="4"/>
  <c r="AV73" i="4"/>
  <c r="AV74" i="4"/>
  <c r="AV75" i="4"/>
  <c r="AV76" i="4"/>
  <c r="AV77" i="4"/>
  <c r="AV78" i="4"/>
  <c r="AW4" i="4"/>
  <c r="AW5" i="4"/>
  <c r="AW6" i="4"/>
  <c r="AW7" i="4"/>
  <c r="AW8" i="4"/>
  <c r="AW9" i="4"/>
  <c r="AW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AW71" i="4"/>
  <c r="AW72" i="4"/>
  <c r="AW73" i="4"/>
  <c r="AW74" i="4"/>
  <c r="AW75" i="4"/>
  <c r="AW76" i="4"/>
  <c r="AW77" i="4"/>
  <c r="AW78" i="4"/>
  <c r="E3" i="8"/>
  <c r="D3" i="8"/>
  <c r="F2" i="8"/>
  <c r="AA3" i="4"/>
  <c r="Z3" i="4"/>
  <c r="Y3" i="4"/>
  <c r="X3" i="4"/>
  <c r="AW3" i="4"/>
  <c r="AV3" i="4"/>
  <c r="AU3" i="4"/>
  <c r="AT3" i="4"/>
  <c r="AS3" i="4"/>
  <c r="AR3" i="4"/>
  <c r="AQ3" i="4"/>
  <c r="AH3" i="4"/>
  <c r="AG3" i="4"/>
  <c r="AF3" i="4"/>
  <c r="B1" i="29"/>
  <c r="C1" i="29" s="1"/>
  <c r="D1" i="29" s="1"/>
  <c r="E1" i="29" s="1"/>
  <c r="F1" i="29" s="1"/>
  <c r="G1" i="29" s="1"/>
  <c r="H1" i="29" s="1"/>
  <c r="I1" i="29" s="1"/>
  <c r="J1" i="29" s="1"/>
  <c r="K1" i="29" s="1"/>
  <c r="L1" i="29" s="1"/>
  <c r="M1" i="29" s="1"/>
  <c r="N1" i="29" s="1"/>
  <c r="O1" i="29" s="1"/>
  <c r="P1" i="29" s="1"/>
  <c r="Q1" i="29" s="1"/>
  <c r="R1" i="29" s="1"/>
  <c r="S1" i="29" s="1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B2" i="10"/>
  <c r="B1" i="27"/>
  <c r="C1" i="27" s="1"/>
  <c r="D1" i="27" s="1"/>
  <c r="E1" i="27" s="1"/>
  <c r="F1" i="27" s="1"/>
  <c r="G1" i="27" s="1"/>
  <c r="H1" i="27" s="1"/>
  <c r="I1" i="27" s="1"/>
  <c r="J1" i="27" s="1"/>
  <c r="K1" i="27" s="1"/>
  <c r="L1" i="27" s="1"/>
  <c r="M1" i="27" s="1"/>
  <c r="N1" i="27" s="1"/>
  <c r="O1" i="27" s="1"/>
  <c r="P1" i="27" s="1"/>
  <c r="Q1" i="27" s="1"/>
  <c r="R1" i="27" s="1"/>
  <c r="S1" i="27" s="1"/>
  <c r="T1" i="27" s="1"/>
  <c r="U1" i="27" s="1"/>
  <c r="V1" i="27" s="1"/>
  <c r="W1" i="27" s="1"/>
  <c r="X1" i="27" s="1"/>
  <c r="Y1" i="27" s="1"/>
  <c r="Z1" i="27" s="1"/>
  <c r="AA1" i="27" s="1"/>
  <c r="AB1" i="27" s="1"/>
  <c r="AC1" i="27" s="1"/>
  <c r="AD1" i="27" s="1"/>
  <c r="AE1" i="27" s="1"/>
  <c r="AF1" i="27" s="1"/>
  <c r="AG1" i="27" s="1"/>
  <c r="AH1" i="27" s="1"/>
  <c r="AI1" i="27" s="1"/>
  <c r="AJ1" i="27" s="1"/>
  <c r="AK1" i="27" s="1"/>
  <c r="H134" i="38" a="1"/>
  <c r="H121" i="38" a="1"/>
  <c r="H120" i="38" a="1"/>
  <c r="H112" i="38" a="1"/>
  <c r="H117" i="38" a="1"/>
  <c r="H115" i="38" a="1"/>
  <c r="H119" i="38" a="1"/>
  <c r="H131" i="38" a="1"/>
  <c r="H135" i="38" a="1"/>
  <c r="H132" i="38" a="1"/>
  <c r="H125" i="38" a="1"/>
  <c r="H128" i="38" a="1"/>
  <c r="H133" i="38" a="1"/>
  <c r="N12" i="23" l="1"/>
  <c r="N13" i="23"/>
  <c r="E15" i="23"/>
  <c r="E14" i="23"/>
  <c r="E7" i="23"/>
  <c r="E8" i="23"/>
  <c r="E19" i="23"/>
  <c r="E18" i="23"/>
  <c r="E3" i="23"/>
  <c r="E10" i="23"/>
  <c r="E16" i="23"/>
  <c r="E17" i="23"/>
  <c r="E6" i="23"/>
  <c r="E9" i="23"/>
  <c r="E5" i="23"/>
  <c r="E11" i="23"/>
  <c r="E13" i="23"/>
  <c r="AP96" i="4"/>
  <c r="E12" i="23"/>
  <c r="AP95" i="4"/>
  <c r="E2" i="39"/>
  <c r="F2" i="38"/>
  <c r="E143" i="38"/>
  <c r="E2" i="38"/>
  <c r="E4" i="23"/>
  <c r="E3" i="39"/>
  <c r="E7" i="39"/>
  <c r="E4" i="39"/>
  <c r="E5" i="39"/>
  <c r="E6" i="39"/>
  <c r="B3" i="39"/>
  <c r="B7" i="39"/>
  <c r="B4" i="39"/>
  <c r="B5" i="39"/>
  <c r="B6" i="39"/>
  <c r="AK85" i="4"/>
  <c r="D3" i="39"/>
  <c r="D7" i="39"/>
  <c r="D4" i="39"/>
  <c r="D5" i="39"/>
  <c r="D6" i="39"/>
  <c r="B2" i="38"/>
  <c r="B2" i="39"/>
  <c r="D2" i="38"/>
  <c r="D2" i="39"/>
  <c r="H117" i="38"/>
  <c r="H128" i="38"/>
  <c r="H132" i="38"/>
  <c r="H119" i="38"/>
  <c r="H125" i="38"/>
  <c r="H120" i="38"/>
  <c r="H133" i="38"/>
  <c r="H121" i="38"/>
  <c r="H131" i="38"/>
  <c r="H135" i="38"/>
  <c r="H112" i="38"/>
  <c r="H115" i="38"/>
  <c r="H134" i="38"/>
  <c r="K67" i="8"/>
  <c r="E57" i="38"/>
  <c r="K55" i="8"/>
  <c r="E46" i="38"/>
  <c r="K43" i="8"/>
  <c r="E35" i="38"/>
  <c r="K31" i="8"/>
  <c r="E24" i="38"/>
  <c r="K19" i="8"/>
  <c r="E14" i="38"/>
  <c r="K7" i="8"/>
  <c r="E4" i="38"/>
  <c r="B72" i="8"/>
  <c r="B62" i="38"/>
  <c r="B60" i="8"/>
  <c r="B51" i="38"/>
  <c r="B48" i="8"/>
  <c r="B40" i="38"/>
  <c r="B36" i="8"/>
  <c r="B29" i="38"/>
  <c r="B24" i="8"/>
  <c r="B18" i="38"/>
  <c r="B12" i="8"/>
  <c r="B9" i="38"/>
  <c r="W43" i="4"/>
  <c r="D37" i="38"/>
  <c r="W31" i="4"/>
  <c r="D26" i="38"/>
  <c r="W7" i="4"/>
  <c r="D6" i="38"/>
  <c r="K98" i="8"/>
  <c r="E82" i="38"/>
  <c r="K78" i="8"/>
  <c r="E68" i="38"/>
  <c r="K66" i="8"/>
  <c r="E56" i="38"/>
  <c r="K54" i="8"/>
  <c r="E45" i="38"/>
  <c r="K42" i="8"/>
  <c r="E34" i="38"/>
  <c r="K30" i="8"/>
  <c r="E23" i="38"/>
  <c r="K18" i="8"/>
  <c r="E13" i="38"/>
  <c r="K6" i="8"/>
  <c r="E3" i="38"/>
  <c r="B71" i="8"/>
  <c r="B61" i="38"/>
  <c r="B59" i="8"/>
  <c r="B50" i="38"/>
  <c r="B47" i="8"/>
  <c r="B39" i="38"/>
  <c r="B35" i="8"/>
  <c r="B28" i="38"/>
  <c r="B23" i="8"/>
  <c r="B17" i="38"/>
  <c r="B11" i="8"/>
  <c r="B8" i="38"/>
  <c r="K83" i="8"/>
  <c r="E72" i="38"/>
  <c r="W92" i="4"/>
  <c r="D74" i="38"/>
  <c r="B86" i="8"/>
  <c r="B74" i="38"/>
  <c r="K97" i="8"/>
  <c r="E81" i="38"/>
  <c r="K29" i="8"/>
  <c r="E22" i="38"/>
  <c r="W5" i="4"/>
  <c r="D4" i="38"/>
  <c r="K96" i="8"/>
  <c r="E80" i="38"/>
  <c r="K76" i="8"/>
  <c r="E66" i="38"/>
  <c r="K64" i="8"/>
  <c r="E54" i="38"/>
  <c r="K52" i="8"/>
  <c r="E43" i="38"/>
  <c r="K40" i="8"/>
  <c r="E32" i="38"/>
  <c r="K28" i="8"/>
  <c r="E21" i="38"/>
  <c r="K16" i="8"/>
  <c r="E11" i="38"/>
  <c r="B69" i="8"/>
  <c r="B59" i="38"/>
  <c r="B57" i="8"/>
  <c r="B48" i="38"/>
  <c r="B45" i="8"/>
  <c r="B37" i="38"/>
  <c r="B33" i="8"/>
  <c r="B26" i="38"/>
  <c r="B9" i="8"/>
  <c r="B6" i="38"/>
  <c r="W76" i="4"/>
  <c r="D68" i="38"/>
  <c r="W64" i="4"/>
  <c r="D56" i="38"/>
  <c r="W52" i="4"/>
  <c r="D45" i="38"/>
  <c r="W40" i="4"/>
  <c r="D34" i="38"/>
  <c r="W16" i="4"/>
  <c r="D13" i="38"/>
  <c r="W4" i="4"/>
  <c r="D3" i="38"/>
  <c r="W100" i="4"/>
  <c r="D76" i="38"/>
  <c r="K94" i="8"/>
  <c r="E79" i="38"/>
  <c r="B46" i="8"/>
  <c r="B38" i="38"/>
  <c r="K75" i="8"/>
  <c r="E65" i="38"/>
  <c r="K63" i="8"/>
  <c r="E53" i="38"/>
  <c r="K51" i="8"/>
  <c r="E42" i="38"/>
  <c r="K39" i="8"/>
  <c r="E31" i="38"/>
  <c r="B80" i="8"/>
  <c r="B69" i="38"/>
  <c r="B68" i="8"/>
  <c r="B58" i="38"/>
  <c r="B56" i="8"/>
  <c r="B47" i="38"/>
  <c r="B44" i="8"/>
  <c r="B36" i="38"/>
  <c r="B32" i="8"/>
  <c r="B25" i="38"/>
  <c r="B20" i="8"/>
  <c r="B15" i="38"/>
  <c r="B8" i="8"/>
  <c r="B5" i="38"/>
  <c r="K85" i="8"/>
  <c r="E73" i="38"/>
  <c r="B85" i="8"/>
  <c r="B73" i="38"/>
  <c r="W63" i="4"/>
  <c r="D55" i="38"/>
  <c r="W51" i="4"/>
  <c r="D44" i="38"/>
  <c r="W27" i="4"/>
  <c r="D22" i="38"/>
  <c r="W15" i="4"/>
  <c r="D12" i="38"/>
  <c r="B100" i="8"/>
  <c r="B84" i="38"/>
  <c r="K17" i="8"/>
  <c r="E12" i="38"/>
  <c r="B22" i="8"/>
  <c r="B16" i="38"/>
  <c r="K74" i="8"/>
  <c r="E64" i="38"/>
  <c r="K50" i="8"/>
  <c r="E41" i="38"/>
  <c r="K38" i="8"/>
  <c r="E30" i="38"/>
  <c r="K26" i="8"/>
  <c r="E20" i="38"/>
  <c r="K14" i="8"/>
  <c r="E10" i="38"/>
  <c r="B67" i="8"/>
  <c r="B57" i="38"/>
  <c r="B55" i="8"/>
  <c r="B46" i="38"/>
  <c r="B43" i="8"/>
  <c r="B35" i="38"/>
  <c r="B31" i="8"/>
  <c r="B24" i="38"/>
  <c r="B19" i="8"/>
  <c r="B14" i="38"/>
  <c r="B7" i="8"/>
  <c r="B4" i="38"/>
  <c r="K81" i="8"/>
  <c r="E70" i="38"/>
  <c r="B81" i="8"/>
  <c r="B70" i="38"/>
  <c r="W74" i="4"/>
  <c r="D66" i="38"/>
  <c r="W62" i="4"/>
  <c r="D54" i="38"/>
  <c r="W50" i="4"/>
  <c r="D43" i="38"/>
  <c r="W14" i="4"/>
  <c r="D11" i="38"/>
  <c r="K93" i="8"/>
  <c r="E78" i="38"/>
  <c r="K86" i="8"/>
  <c r="E74" i="38"/>
  <c r="B99" i="8"/>
  <c r="B83" i="38"/>
  <c r="B34" i="8"/>
  <c r="B27" i="38"/>
  <c r="B10" i="8"/>
  <c r="B7" i="38"/>
  <c r="K82" i="8"/>
  <c r="E71" i="38"/>
  <c r="W65" i="4"/>
  <c r="D57" i="38"/>
  <c r="W29" i="4"/>
  <c r="D24" i="38"/>
  <c r="W17" i="4"/>
  <c r="D14" i="38"/>
  <c r="K73" i="8"/>
  <c r="E63" i="38"/>
  <c r="K61" i="8"/>
  <c r="E52" i="38"/>
  <c r="K25" i="8"/>
  <c r="E19" i="38"/>
  <c r="B78" i="8"/>
  <c r="B68" i="38"/>
  <c r="B66" i="8"/>
  <c r="B56" i="38"/>
  <c r="B54" i="8"/>
  <c r="B45" i="38"/>
  <c r="B42" i="8"/>
  <c r="B34" i="38"/>
  <c r="B30" i="8"/>
  <c r="B23" i="38"/>
  <c r="B18" i="8"/>
  <c r="B13" i="38"/>
  <c r="B6" i="8"/>
  <c r="B3" i="38"/>
  <c r="K92" i="8"/>
  <c r="E77" i="38"/>
  <c r="B93" i="8"/>
  <c r="B78" i="38"/>
  <c r="W113" i="4"/>
  <c r="D82" i="38"/>
  <c r="B98" i="8"/>
  <c r="B82" i="38"/>
  <c r="K77" i="8"/>
  <c r="E67" i="38"/>
  <c r="K72" i="8"/>
  <c r="E62" i="38"/>
  <c r="K60" i="8"/>
  <c r="E51" i="38"/>
  <c r="K48" i="8"/>
  <c r="E40" i="38"/>
  <c r="K36" i="8"/>
  <c r="E29" i="38"/>
  <c r="K24" i="8"/>
  <c r="E18" i="38"/>
  <c r="K12" i="8"/>
  <c r="E9" i="38"/>
  <c r="B77" i="8"/>
  <c r="B67" i="38"/>
  <c r="B65" i="8"/>
  <c r="B55" i="38"/>
  <c r="B53" i="8"/>
  <c r="B44" i="38"/>
  <c r="B41" i="8"/>
  <c r="B33" i="38"/>
  <c r="B29" i="8"/>
  <c r="B22" i="38"/>
  <c r="B17" i="8"/>
  <c r="B12" i="38"/>
  <c r="B83" i="8"/>
  <c r="B72" i="38"/>
  <c r="W72" i="4"/>
  <c r="D64" i="38"/>
  <c r="W48" i="4"/>
  <c r="D41" i="38"/>
  <c r="W36" i="4"/>
  <c r="D30" i="38"/>
  <c r="W24" i="4"/>
  <c r="D20" i="38"/>
  <c r="W12" i="4"/>
  <c r="D10" i="38"/>
  <c r="B92" i="8"/>
  <c r="B77" i="38"/>
  <c r="W110" i="4"/>
  <c r="D81" i="38"/>
  <c r="B97" i="8"/>
  <c r="B81" i="38"/>
  <c r="K53" i="8"/>
  <c r="E44" i="38"/>
  <c r="B70" i="8"/>
  <c r="B60" i="38"/>
  <c r="W53" i="4"/>
  <c r="D46" i="38"/>
  <c r="K71" i="8"/>
  <c r="E61" i="38"/>
  <c r="K59" i="8"/>
  <c r="E50" i="38"/>
  <c r="K47" i="8"/>
  <c r="E39" i="38"/>
  <c r="K35" i="8"/>
  <c r="E28" i="38"/>
  <c r="K23" i="8"/>
  <c r="E17" i="38"/>
  <c r="K11" i="8"/>
  <c r="E8" i="38"/>
  <c r="B76" i="8"/>
  <c r="B66" i="38"/>
  <c r="B64" i="8"/>
  <c r="B54" i="38"/>
  <c r="B52" i="8"/>
  <c r="B43" i="38"/>
  <c r="B40" i="8"/>
  <c r="B32" i="38"/>
  <c r="B28" i="8"/>
  <c r="B21" i="38"/>
  <c r="B16" i="8"/>
  <c r="B11" i="38"/>
  <c r="B82" i="8"/>
  <c r="B71" i="38"/>
  <c r="W83" i="4"/>
  <c r="D73" i="38"/>
  <c r="W71" i="4"/>
  <c r="D63" i="38"/>
  <c r="K90" i="8"/>
  <c r="E76" i="38"/>
  <c r="W109" i="4"/>
  <c r="D80" i="38"/>
  <c r="B96" i="8"/>
  <c r="B80" i="38"/>
  <c r="K70" i="8"/>
  <c r="E60" i="38"/>
  <c r="K58" i="8"/>
  <c r="E49" i="38"/>
  <c r="K46" i="8"/>
  <c r="E38" i="38"/>
  <c r="K34" i="8"/>
  <c r="E27" i="38"/>
  <c r="K22" i="8"/>
  <c r="E16" i="38"/>
  <c r="K10" i="8"/>
  <c r="E7" i="38"/>
  <c r="B75" i="8"/>
  <c r="B65" i="38"/>
  <c r="B63" i="8"/>
  <c r="B53" i="38"/>
  <c r="B51" i="8"/>
  <c r="B42" i="38"/>
  <c r="B39" i="8"/>
  <c r="B31" i="38"/>
  <c r="W79" i="4"/>
  <c r="D70" i="38"/>
  <c r="W46" i="4"/>
  <c r="D40" i="38"/>
  <c r="W22" i="4"/>
  <c r="D18" i="38"/>
  <c r="W10" i="4"/>
  <c r="D9" i="38"/>
  <c r="B90" i="8"/>
  <c r="B76" i="38"/>
  <c r="W107" i="4"/>
  <c r="D79" i="38"/>
  <c r="B94" i="8"/>
  <c r="B79" i="38"/>
  <c r="K41" i="8"/>
  <c r="E33" i="38"/>
  <c r="W41" i="4"/>
  <c r="D35" i="38"/>
  <c r="K69" i="8"/>
  <c r="E59" i="38"/>
  <c r="K57" i="8"/>
  <c r="E48" i="38"/>
  <c r="K45" i="8"/>
  <c r="E37" i="38"/>
  <c r="K33" i="8"/>
  <c r="E26" i="38"/>
  <c r="K9" i="8"/>
  <c r="E6" i="38"/>
  <c r="B74" i="8"/>
  <c r="B64" i="38"/>
  <c r="B50" i="8"/>
  <c r="B41" i="38"/>
  <c r="B38" i="8"/>
  <c r="B30" i="38"/>
  <c r="B26" i="8"/>
  <c r="B20" i="38"/>
  <c r="B14" i="8"/>
  <c r="B10" i="38"/>
  <c r="W45" i="4"/>
  <c r="D39" i="38"/>
  <c r="W21" i="4"/>
  <c r="D17" i="38"/>
  <c r="W9" i="4"/>
  <c r="D8" i="38"/>
  <c r="K88" i="8"/>
  <c r="E75" i="38"/>
  <c r="K100" i="8"/>
  <c r="E84" i="38"/>
  <c r="K65" i="8"/>
  <c r="E55" i="38"/>
  <c r="B58" i="8"/>
  <c r="B49" i="38"/>
  <c r="K80" i="8"/>
  <c r="E69" i="38"/>
  <c r="K68" i="8"/>
  <c r="E58" i="38"/>
  <c r="K56" i="8"/>
  <c r="E47" i="38"/>
  <c r="K44" i="8"/>
  <c r="E36" i="38"/>
  <c r="K32" i="8"/>
  <c r="E25" i="38"/>
  <c r="K20" i="8"/>
  <c r="E15" i="38"/>
  <c r="K8" i="8"/>
  <c r="E5" i="38"/>
  <c r="B73" i="8"/>
  <c r="B63" i="38"/>
  <c r="B61" i="8"/>
  <c r="B52" i="38"/>
  <c r="B25" i="8"/>
  <c r="B19" i="38"/>
  <c r="W81" i="4"/>
  <c r="D72" i="38"/>
  <c r="W68" i="4"/>
  <c r="D60" i="38"/>
  <c r="W20" i="4"/>
  <c r="D16" i="38"/>
  <c r="B88" i="8"/>
  <c r="B75" i="38"/>
  <c r="K99" i="8"/>
  <c r="E83" i="38"/>
  <c r="B27" i="8"/>
  <c r="B174" i="8"/>
  <c r="K27" i="8"/>
  <c r="K174" i="8"/>
  <c r="M27" i="8"/>
  <c r="M174" i="8"/>
  <c r="J27" i="8"/>
  <c r="J174" i="8"/>
  <c r="F15" i="5"/>
  <c r="C16" i="5"/>
  <c r="D16" i="5"/>
  <c r="F16" i="5"/>
  <c r="M5" i="8"/>
  <c r="F2" i="25"/>
  <c r="H2" i="25" s="1"/>
  <c r="F14" i="25"/>
  <c r="H14" i="25" s="1"/>
  <c r="F3" i="25"/>
  <c r="H3" i="25" s="1"/>
  <c r="F15" i="25"/>
  <c r="H15" i="25" s="1"/>
  <c r="F4" i="25"/>
  <c r="H4" i="25" s="1"/>
  <c r="F16" i="25"/>
  <c r="H16" i="25" s="1"/>
  <c r="F5" i="25"/>
  <c r="H5" i="25" s="1"/>
  <c r="F17" i="25"/>
  <c r="H17" i="25" s="1"/>
  <c r="F6" i="25"/>
  <c r="H6" i="25" s="1"/>
  <c r="F18" i="25"/>
  <c r="H18" i="25" s="1"/>
  <c r="F7" i="25"/>
  <c r="H7" i="25" s="1"/>
  <c r="F19" i="25"/>
  <c r="H19" i="25" s="1"/>
  <c r="F8" i="25"/>
  <c r="H8" i="25" s="1"/>
  <c r="F20" i="25"/>
  <c r="H20" i="25" s="1"/>
  <c r="F9" i="25"/>
  <c r="H9" i="25" s="1"/>
  <c r="F21" i="25"/>
  <c r="H21" i="25" s="1"/>
  <c r="F10" i="25"/>
  <c r="H10" i="25" s="1"/>
  <c r="F11" i="25"/>
  <c r="H11" i="25" s="1"/>
  <c r="F12" i="25"/>
  <c r="H12" i="25" s="1"/>
  <c r="F13" i="25"/>
  <c r="H13" i="25" s="1"/>
  <c r="C5" i="31"/>
  <c r="D23" i="31" s="1"/>
  <c r="E23" i="31" s="1"/>
  <c r="C4" i="31"/>
  <c r="AP75" i="4"/>
  <c r="H77" i="8"/>
  <c r="AP63" i="4"/>
  <c r="H65" i="8"/>
  <c r="AP51" i="4"/>
  <c r="H53" i="8"/>
  <c r="AP39" i="4"/>
  <c r="H41" i="8"/>
  <c r="AP27" i="4"/>
  <c r="H29" i="8"/>
  <c r="AP15" i="4"/>
  <c r="H17" i="8"/>
  <c r="AP81" i="4"/>
  <c r="H83" i="8"/>
  <c r="AP74" i="4"/>
  <c r="H76" i="8"/>
  <c r="AP62" i="4"/>
  <c r="H64" i="8"/>
  <c r="AP50" i="4"/>
  <c r="H52" i="8"/>
  <c r="AP38" i="4"/>
  <c r="H40" i="8"/>
  <c r="AP26" i="4"/>
  <c r="H28" i="8"/>
  <c r="AP14" i="4"/>
  <c r="H16" i="8"/>
  <c r="AP80" i="4"/>
  <c r="H82" i="8"/>
  <c r="AP73" i="4"/>
  <c r="H75" i="8"/>
  <c r="AP61" i="4"/>
  <c r="H63" i="8"/>
  <c r="AP49" i="4"/>
  <c r="H51" i="8"/>
  <c r="AP37" i="4"/>
  <c r="H39" i="8"/>
  <c r="AP25" i="4"/>
  <c r="H27" i="8"/>
  <c r="AP13" i="4"/>
  <c r="H15" i="8"/>
  <c r="AP40" i="4"/>
  <c r="H42" i="8"/>
  <c r="AP72" i="4"/>
  <c r="H74" i="8"/>
  <c r="AP60" i="4"/>
  <c r="H62" i="8"/>
  <c r="AP48" i="4"/>
  <c r="H50" i="8"/>
  <c r="AP36" i="4"/>
  <c r="H38" i="8"/>
  <c r="AP24" i="4"/>
  <c r="H26" i="8"/>
  <c r="AP12" i="4"/>
  <c r="H14" i="8"/>
  <c r="AP104" i="4"/>
  <c r="H93" i="8"/>
  <c r="AP16" i="4"/>
  <c r="H18" i="8"/>
  <c r="AP71" i="4"/>
  <c r="H73" i="8"/>
  <c r="AP59" i="4"/>
  <c r="H61" i="8"/>
  <c r="AP47" i="4"/>
  <c r="H49" i="8"/>
  <c r="AP35" i="4"/>
  <c r="H37" i="8"/>
  <c r="AP23" i="4"/>
  <c r="H25" i="8"/>
  <c r="AP11" i="4"/>
  <c r="H13" i="8"/>
  <c r="AP103" i="4"/>
  <c r="H92" i="8"/>
  <c r="AP109" i="4"/>
  <c r="H96" i="8"/>
  <c r="AP76" i="4"/>
  <c r="H78" i="8"/>
  <c r="AP70" i="4"/>
  <c r="H72" i="8"/>
  <c r="AP58" i="4"/>
  <c r="H60" i="8"/>
  <c r="AP46" i="4"/>
  <c r="H48" i="8"/>
  <c r="AP34" i="4"/>
  <c r="H36" i="8"/>
  <c r="AP22" i="4"/>
  <c r="H24" i="8"/>
  <c r="AP10" i="4"/>
  <c r="H12" i="8"/>
  <c r="AP102" i="4"/>
  <c r="H91" i="8"/>
  <c r="AP69" i="4"/>
  <c r="H71" i="8"/>
  <c r="AP57" i="4"/>
  <c r="H59" i="8"/>
  <c r="AP45" i="4"/>
  <c r="H47" i="8"/>
  <c r="AP33" i="4"/>
  <c r="H35" i="8"/>
  <c r="AP21" i="4"/>
  <c r="H23" i="8"/>
  <c r="AP9" i="4"/>
  <c r="H11" i="8"/>
  <c r="AP100" i="4"/>
  <c r="H90" i="8"/>
  <c r="AP28" i="4"/>
  <c r="H30" i="8"/>
  <c r="AP68" i="4"/>
  <c r="H70" i="8"/>
  <c r="AP56" i="4"/>
  <c r="H58" i="8"/>
  <c r="AP44" i="4"/>
  <c r="H46" i="8"/>
  <c r="AP32" i="4"/>
  <c r="H34" i="8"/>
  <c r="AP20" i="4"/>
  <c r="H22" i="8"/>
  <c r="AP8" i="4"/>
  <c r="H10" i="8"/>
  <c r="AP99" i="4"/>
  <c r="H89" i="8"/>
  <c r="AP52" i="4"/>
  <c r="H54" i="8"/>
  <c r="AP4" i="4"/>
  <c r="H6" i="8"/>
  <c r="AP67" i="4"/>
  <c r="H69" i="8"/>
  <c r="AP55" i="4"/>
  <c r="H57" i="8"/>
  <c r="AP43" i="4"/>
  <c r="H45" i="8"/>
  <c r="AP31" i="4"/>
  <c r="H33" i="8"/>
  <c r="AP19" i="4"/>
  <c r="H21" i="8"/>
  <c r="AP7" i="4"/>
  <c r="H9" i="8"/>
  <c r="AP83" i="4"/>
  <c r="H85" i="8"/>
  <c r="AP98" i="4"/>
  <c r="H88" i="8"/>
  <c r="AP64" i="4"/>
  <c r="H66" i="8"/>
  <c r="AP78" i="4"/>
  <c r="H80" i="8"/>
  <c r="AP66" i="4"/>
  <c r="H68" i="8"/>
  <c r="AP54" i="4"/>
  <c r="H56" i="8"/>
  <c r="AP42" i="4"/>
  <c r="H44" i="8"/>
  <c r="AP30" i="4"/>
  <c r="H32" i="8"/>
  <c r="AP18" i="4"/>
  <c r="H20" i="8"/>
  <c r="AP6" i="4"/>
  <c r="H8" i="8"/>
  <c r="AP79" i="4"/>
  <c r="H81" i="8"/>
  <c r="AP93" i="4"/>
  <c r="H87" i="8"/>
  <c r="AP82" i="4"/>
  <c r="H84" i="8"/>
  <c r="AP77" i="4"/>
  <c r="H79" i="8"/>
  <c r="AP65" i="4"/>
  <c r="H67" i="8"/>
  <c r="AP53" i="4"/>
  <c r="H55" i="8"/>
  <c r="AP41" i="4"/>
  <c r="H43" i="8"/>
  <c r="AP29" i="4"/>
  <c r="H31" i="8"/>
  <c r="AP17" i="4"/>
  <c r="H19" i="8"/>
  <c r="AP5" i="4"/>
  <c r="H7" i="8"/>
  <c r="AK175" i="4"/>
  <c r="G126" i="38" s="1"/>
  <c r="AK180" i="4"/>
  <c r="G130" i="38" s="1"/>
  <c r="AK162" i="4"/>
  <c r="G116" i="38" s="1"/>
  <c r="AK179" i="4"/>
  <c r="G129" i="38" s="1"/>
  <c r="AK177" i="4"/>
  <c r="G127" i="38" s="1"/>
  <c r="AK171" i="4"/>
  <c r="G123" i="38" s="1"/>
  <c r="AK172" i="4"/>
  <c r="G124" i="38" s="1"/>
  <c r="AK170" i="4"/>
  <c r="G122" i="38" s="1"/>
  <c r="AK165" i="4"/>
  <c r="G118" i="38" s="1"/>
  <c r="AK153" i="4"/>
  <c r="H2" i="8"/>
  <c r="C2" i="31"/>
  <c r="C1" i="31"/>
  <c r="H1" i="8"/>
  <c r="AK154" i="4"/>
  <c r="AK155" i="4"/>
  <c r="AK150" i="4"/>
  <c r="G110" i="38" s="1"/>
  <c r="AK151" i="4"/>
  <c r="G111" i="38" s="1"/>
  <c r="AK156" i="4"/>
  <c r="AK140" i="4"/>
  <c r="G101" i="38" s="1"/>
  <c r="AK130" i="4"/>
  <c r="G93" i="38" s="1"/>
  <c r="AK136" i="4"/>
  <c r="G98" i="38" s="1"/>
  <c r="AK157" i="4"/>
  <c r="G113" i="38" s="1"/>
  <c r="AK120" i="4"/>
  <c r="G86" i="38" s="1"/>
  <c r="AK142" i="4"/>
  <c r="G103" i="38" s="1"/>
  <c r="AK141" i="4"/>
  <c r="G102" i="38" s="1"/>
  <c r="AK144" i="4"/>
  <c r="G105" i="38" s="1"/>
  <c r="AK159" i="4"/>
  <c r="G114" i="38" s="1"/>
  <c r="AK121" i="4"/>
  <c r="G87" i="38" s="1"/>
  <c r="AK137" i="4"/>
  <c r="G99" i="38" s="1"/>
  <c r="AK128" i="4"/>
  <c r="G92" i="38" s="1"/>
  <c r="AK119" i="4"/>
  <c r="G85" i="38" s="1"/>
  <c r="AK139" i="4"/>
  <c r="AK148" i="4"/>
  <c r="G108" i="38" s="1"/>
  <c r="AK146" i="4"/>
  <c r="AK125" i="4"/>
  <c r="AK132" i="4"/>
  <c r="G95" i="38" s="1"/>
  <c r="AK145" i="4"/>
  <c r="G106" i="38" s="1"/>
  <c r="AK131" i="4"/>
  <c r="G94" i="38" s="1"/>
  <c r="AK133" i="4"/>
  <c r="AK143" i="4"/>
  <c r="G104" i="38" s="1"/>
  <c r="AK134" i="4"/>
  <c r="G96" i="38" s="1"/>
  <c r="AK147" i="4"/>
  <c r="G107" i="38" s="1"/>
  <c r="AK149" i="4"/>
  <c r="G109" i="38" s="1"/>
  <c r="AK135" i="4"/>
  <c r="G97" i="38" s="1"/>
  <c r="AK138" i="4"/>
  <c r="G100" i="38" s="1"/>
  <c r="AK127" i="4"/>
  <c r="G91" i="38" s="1"/>
  <c r="AK126" i="4"/>
  <c r="G90" i="38" s="1"/>
  <c r="AK123" i="4"/>
  <c r="G89" i="38" s="1"/>
  <c r="AK122" i="4"/>
  <c r="G88" i="38" s="1"/>
  <c r="D16" i="23"/>
  <c r="B16" i="23"/>
  <c r="D17" i="23"/>
  <c r="B17" i="23"/>
  <c r="B5" i="23"/>
  <c r="D8" i="23"/>
  <c r="D11" i="23"/>
  <c r="D6" i="23"/>
  <c r="C16" i="23"/>
  <c r="C12" i="23"/>
  <c r="D10" i="23"/>
  <c r="B10" i="23"/>
  <c r="D5" i="23"/>
  <c r="C5" i="23"/>
  <c r="B8" i="23"/>
  <c r="D19" i="23"/>
  <c r="B19" i="23"/>
  <c r="B18" i="23"/>
  <c r="B7" i="23"/>
  <c r="D13" i="23"/>
  <c r="B13" i="23"/>
  <c r="D9" i="23"/>
  <c r="D4" i="23"/>
  <c r="B11" i="23"/>
  <c r="D7" i="23"/>
  <c r="B4" i="23"/>
  <c r="D18" i="23"/>
  <c r="D15" i="23"/>
  <c r="B15" i="23"/>
  <c r="D14" i="23"/>
  <c r="B14" i="23"/>
  <c r="C18" i="23"/>
  <c r="B6" i="23"/>
  <c r="D12" i="23"/>
  <c r="B12" i="23"/>
  <c r="AK109" i="4"/>
  <c r="G80" i="38" s="1"/>
  <c r="AK114" i="4"/>
  <c r="G83" i="38" s="1"/>
  <c r="W114" i="4"/>
  <c r="AK110" i="4"/>
  <c r="G81" i="38" s="1"/>
  <c r="AK107" i="4"/>
  <c r="G79" i="38" s="1"/>
  <c r="AK115" i="4"/>
  <c r="G84" i="38" s="1"/>
  <c r="AK56" i="4"/>
  <c r="G49" i="38" s="1"/>
  <c r="AK44" i="4"/>
  <c r="G38" i="38" s="1"/>
  <c r="AK32" i="4"/>
  <c r="G27" i="38" s="1"/>
  <c r="AK8" i="4"/>
  <c r="G7" i="38" s="1"/>
  <c r="AK106" i="4"/>
  <c r="AP101" i="4"/>
  <c r="AK104" i="4"/>
  <c r="G78" i="38" s="1"/>
  <c r="AK69" i="4"/>
  <c r="G61" i="38" s="1"/>
  <c r="AK57" i="4"/>
  <c r="G50" i="38" s="1"/>
  <c r="AK33" i="4"/>
  <c r="G28" i="38" s="1"/>
  <c r="AK75" i="4"/>
  <c r="G67" i="38" s="1"/>
  <c r="AK39" i="4"/>
  <c r="G33" i="38" s="1"/>
  <c r="AK38" i="4"/>
  <c r="G32" i="38" s="1"/>
  <c r="AK26" i="4"/>
  <c r="G21" i="38" s="1"/>
  <c r="AP94" i="4"/>
  <c r="AP92" i="4"/>
  <c r="AP116" i="4"/>
  <c r="AP115" i="4"/>
  <c r="W115" i="4"/>
  <c r="AK103" i="4"/>
  <c r="G77" i="38" s="1"/>
  <c r="AK116" i="4"/>
  <c r="AK97" i="4"/>
  <c r="AK96" i="4"/>
  <c r="AP114" i="4"/>
  <c r="AP112" i="4"/>
  <c r="AP106" i="4"/>
  <c r="AK105" i="4"/>
  <c r="C10" i="23"/>
  <c r="AP110" i="4"/>
  <c r="AP107" i="4"/>
  <c r="W111" i="4"/>
  <c r="C9" i="23"/>
  <c r="C19" i="23"/>
  <c r="C8" i="23"/>
  <c r="AP85" i="4"/>
  <c r="C7" i="23"/>
  <c r="C15" i="23"/>
  <c r="C17" i="23"/>
  <c r="W101" i="4"/>
  <c r="C6" i="23"/>
  <c r="C14" i="23"/>
  <c r="C13" i="23"/>
  <c r="C4" i="23"/>
  <c r="AP108" i="4"/>
  <c r="C11" i="23"/>
  <c r="AP113" i="4"/>
  <c r="W112" i="4"/>
  <c r="AK113" i="4"/>
  <c r="G82" i="38" s="1"/>
  <c r="AK108" i="4"/>
  <c r="AK19" i="4"/>
  <c r="AK100" i="4"/>
  <c r="G76" i="38" s="1"/>
  <c r="AK70" i="4"/>
  <c r="G62" i="38" s="1"/>
  <c r="AK58" i="4"/>
  <c r="G51" i="38" s="1"/>
  <c r="AK34" i="4"/>
  <c r="G29" i="38" s="1"/>
  <c r="AK98" i="4"/>
  <c r="G75" i="38" s="1"/>
  <c r="AK28" i="4"/>
  <c r="G23" i="38" s="1"/>
  <c r="AK59" i="4"/>
  <c r="G52" i="38" s="1"/>
  <c r="AK47" i="4"/>
  <c r="AK23" i="4"/>
  <c r="G19" i="38" s="1"/>
  <c r="AK99" i="4"/>
  <c r="AK73" i="4"/>
  <c r="G65" i="38" s="1"/>
  <c r="AK61" i="4"/>
  <c r="G53" i="38" s="1"/>
  <c r="AK49" i="4"/>
  <c r="G42" i="38" s="1"/>
  <c r="AK37" i="4"/>
  <c r="G31" i="38" s="1"/>
  <c r="AK25" i="4"/>
  <c r="G143" i="38" s="1"/>
  <c r="AK102" i="4"/>
  <c r="AK80" i="4"/>
  <c r="G71" i="38" s="1"/>
  <c r="AK67" i="4"/>
  <c r="G59" i="38" s="1"/>
  <c r="AK55" i="4"/>
  <c r="G48" i="38" s="1"/>
  <c r="AK43" i="4"/>
  <c r="G37" i="38" s="1"/>
  <c r="AK18" i="4"/>
  <c r="G15" i="38" s="1"/>
  <c r="AK30" i="4"/>
  <c r="G25" i="38" s="1"/>
  <c r="AK66" i="4"/>
  <c r="G58" i="38" s="1"/>
  <c r="AK54" i="4"/>
  <c r="G47" i="38" s="1"/>
  <c r="AK78" i="4"/>
  <c r="G69" i="38" s="1"/>
  <c r="AK6" i="4"/>
  <c r="G5" i="38" s="1"/>
  <c r="AK42" i="4"/>
  <c r="G36" i="38" s="1"/>
  <c r="AK95" i="4"/>
  <c r="W104" i="4"/>
  <c r="W98" i="4"/>
  <c r="AK93" i="4"/>
  <c r="AK94" i="4"/>
  <c r="AK31" i="4"/>
  <c r="G26" i="38" s="1"/>
  <c r="W55" i="4"/>
  <c r="AK7" i="4"/>
  <c r="G6" i="38" s="1"/>
  <c r="AK90" i="4"/>
  <c r="W103" i="4"/>
  <c r="AK92" i="4"/>
  <c r="G74" i="38" s="1"/>
  <c r="AK91" i="4"/>
  <c r="W88" i="4"/>
  <c r="W89" i="4"/>
  <c r="W18" i="4"/>
  <c r="W84" i="4"/>
  <c r="AK68" i="4"/>
  <c r="G60" i="38" s="1"/>
  <c r="AK20" i="4"/>
  <c r="G16" i="38" s="1"/>
  <c r="W44" i="4"/>
  <c r="W57" i="4"/>
  <c r="W56" i="4"/>
  <c r="AK21" i="4"/>
  <c r="G17" i="38" s="1"/>
  <c r="W69" i="4"/>
  <c r="W8" i="4"/>
  <c r="W33" i="4"/>
  <c r="W85" i="4"/>
  <c r="AK87" i="4"/>
  <c r="AK86" i="4"/>
  <c r="W38" i="4"/>
  <c r="AK82" i="4"/>
  <c r="W58" i="4"/>
  <c r="AK79" i="4"/>
  <c r="G70" i="38" s="1"/>
  <c r="AK83" i="4"/>
  <c r="G73" i="38" s="1"/>
  <c r="AK62" i="4"/>
  <c r="G54" i="38" s="1"/>
  <c r="AK14" i="4"/>
  <c r="G11" i="38" s="1"/>
  <c r="AK45" i="4"/>
  <c r="G39" i="38" s="1"/>
  <c r="AK12" i="4"/>
  <c r="G10" i="38" s="1"/>
  <c r="AK46" i="4"/>
  <c r="G40" i="38" s="1"/>
  <c r="W32" i="4"/>
  <c r="W30" i="4"/>
  <c r="W26" i="4"/>
  <c r="AK74" i="4"/>
  <c r="G66" i="38" s="1"/>
  <c r="AK15" i="4"/>
  <c r="G12" i="38" s="1"/>
  <c r="AK10" i="4"/>
  <c r="G9" i="38" s="1"/>
  <c r="AK9" i="4"/>
  <c r="G8" i="38" s="1"/>
  <c r="W70" i="4"/>
  <c r="AK22" i="4"/>
  <c r="G18" i="38" s="1"/>
  <c r="AK50" i="4"/>
  <c r="G43" i="38" s="1"/>
  <c r="W67" i="4"/>
  <c r="W34" i="4"/>
  <c r="AK13" i="4"/>
  <c r="AK72" i="4"/>
  <c r="G64" i="38" s="1"/>
  <c r="AK48" i="4"/>
  <c r="G41" i="38" s="1"/>
  <c r="AK24" i="4"/>
  <c r="G20" i="38" s="1"/>
  <c r="W80" i="4"/>
  <c r="AK60" i="4"/>
  <c r="AK36" i="4"/>
  <c r="G30" i="38" s="1"/>
  <c r="AK63" i="4"/>
  <c r="G55" i="38" s="1"/>
  <c r="AK27" i="4"/>
  <c r="G22" i="38" s="1"/>
  <c r="AK51" i="4"/>
  <c r="G44" i="38" s="1"/>
  <c r="W49" i="4"/>
  <c r="W25" i="4"/>
  <c r="W61" i="4"/>
  <c r="W75" i="4"/>
  <c r="W39" i="4"/>
  <c r="AK81" i="4"/>
  <c r="G72" i="38" s="1"/>
  <c r="W73" i="4"/>
  <c r="W37" i="4"/>
  <c r="W23" i="4"/>
  <c r="AK11" i="4"/>
  <c r="W47" i="4"/>
  <c r="AK71" i="4"/>
  <c r="G63" i="38" s="1"/>
  <c r="W59" i="4"/>
  <c r="AK35" i="4"/>
  <c r="W42" i="4"/>
  <c r="W54" i="4"/>
  <c r="W66" i="4"/>
  <c r="W78" i="4"/>
  <c r="W6" i="4"/>
  <c r="AK76" i="4"/>
  <c r="G68" i="38" s="1"/>
  <c r="AK64" i="4"/>
  <c r="G56" i="38" s="1"/>
  <c r="AK52" i="4"/>
  <c r="G45" i="38" s="1"/>
  <c r="AK40" i="4"/>
  <c r="G34" i="38" s="1"/>
  <c r="AK16" i="4"/>
  <c r="G13" i="38" s="1"/>
  <c r="AK4" i="4"/>
  <c r="G3" i="38" s="1"/>
  <c r="AK77" i="4"/>
  <c r="AK65" i="4"/>
  <c r="G57" i="38" s="1"/>
  <c r="AK53" i="4"/>
  <c r="G46" i="38" s="1"/>
  <c r="AK41" i="4"/>
  <c r="G35" i="38" s="1"/>
  <c r="AK29" i="4"/>
  <c r="G24" i="38" s="1"/>
  <c r="AK17" i="4"/>
  <c r="G14" i="38" s="1"/>
  <c r="AK5" i="4"/>
  <c r="G4" i="38" s="1"/>
  <c r="W28" i="4"/>
  <c r="H102" i="38" a="1"/>
  <c r="H130" i="38" a="1"/>
  <c r="H76" i="38" a="1"/>
  <c r="H52" i="38" a="1"/>
  <c r="H10" i="38" a="1"/>
  <c r="H50" i="38" a="1"/>
  <c r="H13" i="38" a="1"/>
  <c r="H36" i="38" a="1"/>
  <c r="H68" i="38" a="1"/>
  <c r="H82" i="38" a="1"/>
  <c r="H60" i="38" a="1"/>
  <c r="H25" i="38" a="1"/>
  <c r="H45" i="38" a="1"/>
  <c r="H93" i="38" a="1"/>
  <c r="H70" i="38" a="1"/>
  <c r="H57" i="38" a="1"/>
  <c r="H6" i="38" a="1"/>
  <c r="H64" i="38" a="1"/>
  <c r="H111" i="38" a="1"/>
  <c r="H97" i="38" a="1"/>
  <c r="H34" i="38" a="1"/>
  <c r="H62" i="38" a="1"/>
  <c r="H106" i="38" a="1"/>
  <c r="H56" i="38" a="1"/>
  <c r="H88" i="38" a="1"/>
  <c r="H24" i="38" a="1"/>
  <c r="H77" i="38" a="1"/>
  <c r="H15" i="38" a="1"/>
  <c r="H104" i="38" a="1"/>
  <c r="H118" i="38" a="1"/>
  <c r="H87" i="38" a="1"/>
  <c r="H79" i="38" a="1"/>
  <c r="H86" i="38" a="1"/>
  <c r="H143" i="38" a="1"/>
  <c r="H84" i="38" a="1"/>
  <c r="H20" i="38" a="1"/>
  <c r="H75" i="38" a="1"/>
  <c r="H107" i="38" a="1"/>
  <c r="H9" i="38" a="1"/>
  <c r="H11" i="38" a="1"/>
  <c r="H114" i="38" a="1"/>
  <c r="H98" i="38" a="1"/>
  <c r="H3" i="38" a="1"/>
  <c r="H95" i="38" a="1"/>
  <c r="H71" i="38" a="1"/>
  <c r="H44" i="38" a="1"/>
  <c r="H59" i="38" a="1"/>
  <c r="H37" i="38" a="1"/>
  <c r="H116" i="38" a="1"/>
  <c r="H12" i="38" a="1"/>
  <c r="H39" i="38" a="1"/>
  <c r="H53" i="38" a="1"/>
  <c r="H46" i="38" a="1"/>
  <c r="H89" i="38" a="1"/>
  <c r="H27" i="38" a="1"/>
  <c r="H21" i="38" a="1"/>
  <c r="H103" i="38" a="1"/>
  <c r="H32" i="38" a="1"/>
  <c r="H126" i="38" a="1"/>
  <c r="H54" i="38" a="1"/>
  <c r="H80" i="38" a="1"/>
  <c r="H7" i="38" a="1"/>
  <c r="H8" i="38" a="1"/>
  <c r="H16" i="38" a="1"/>
  <c r="H30" i="38" a="1"/>
  <c r="H31" i="38" a="1"/>
  <c r="H92" i="38" a="1"/>
  <c r="H109" i="38" a="1"/>
  <c r="H55" i="38" a="1"/>
  <c r="H41" i="38" a="1"/>
  <c r="H99" i="38" a="1"/>
  <c r="H61" i="38" a="1"/>
  <c r="H123" i="38" a="1"/>
  <c r="H17" i="38" a="1"/>
  <c r="H63" i="38" a="1"/>
  <c r="H66" i="38" a="1"/>
  <c r="H35" i="38" a="1"/>
  <c r="H42" i="38" a="1"/>
  <c r="H85" i="38" a="1"/>
  <c r="H23" i="38" a="1"/>
  <c r="H65" i="38" a="1"/>
  <c r="H49" i="38" a="1"/>
  <c r="H26" i="38" a="1"/>
  <c r="H51" i="38" a="1"/>
  <c r="H122" i="38" a="1"/>
  <c r="H100" i="38" a="1"/>
  <c r="H4" i="38" a="1"/>
  <c r="H22" i="38" a="1"/>
  <c r="H74" i="38" a="1"/>
  <c r="H105" i="38" a="1"/>
  <c r="H19" i="38" a="1"/>
  <c r="H67" i="38" a="1"/>
  <c r="H28" i="38" a="1"/>
  <c r="H14" i="38" a="1"/>
  <c r="H81" i="38" a="1"/>
  <c r="H73" i="38" a="1"/>
  <c r="H124" i="38" a="1"/>
  <c r="H108" i="38" a="1"/>
  <c r="H96" i="38" a="1"/>
  <c r="H38" i="38" a="1"/>
  <c r="H78" i="38" a="1"/>
  <c r="H58" i="38" a="1"/>
  <c r="H113" i="38" a="1"/>
  <c r="H5" i="38" a="1"/>
  <c r="H90" i="38" a="1"/>
  <c r="H43" i="38" a="1"/>
  <c r="H33" i="38" a="1"/>
  <c r="H83" i="38" a="1"/>
  <c r="H94" i="38" a="1"/>
  <c r="H101" i="38" a="1"/>
  <c r="H91" i="38" a="1"/>
  <c r="H47" i="38" a="1"/>
  <c r="H48" i="38" a="1"/>
  <c r="H29" i="38" a="1"/>
  <c r="H129" i="38" a="1"/>
  <c r="H110" i="38" a="1"/>
  <c r="H69" i="38" a="1"/>
  <c r="H18" i="38" a="1"/>
  <c r="H72" i="38" a="1"/>
  <c r="H40" i="38" a="1"/>
  <c r="H127" i="38" a="1"/>
  <c r="H72" i="38" l="1"/>
  <c r="H129" i="38"/>
  <c r="H57" i="38"/>
  <c r="H59" i="38"/>
  <c r="H23" i="38"/>
  <c r="H77" i="38"/>
  <c r="H61" i="38"/>
  <c r="H83" i="38"/>
  <c r="H94" i="38"/>
  <c r="H105" i="38"/>
  <c r="H116" i="38"/>
  <c r="H50" i="38"/>
  <c r="H71" i="38"/>
  <c r="H78" i="38"/>
  <c r="H80" i="38"/>
  <c r="H88" i="38"/>
  <c r="H106" i="38"/>
  <c r="H102" i="38"/>
  <c r="H130" i="38"/>
  <c r="H40" i="38"/>
  <c r="H75" i="38"/>
  <c r="H3" i="38"/>
  <c r="H10" i="38"/>
  <c r="H29" i="38"/>
  <c r="H89" i="38"/>
  <c r="H95" i="38"/>
  <c r="H103" i="38"/>
  <c r="H126" i="38"/>
  <c r="H46" i="38"/>
  <c r="H43" i="38"/>
  <c r="H143" i="38"/>
  <c r="H51" i="38"/>
  <c r="H90" i="38"/>
  <c r="H86" i="38"/>
  <c r="H48" i="38"/>
  <c r="H63" i="38"/>
  <c r="H36" i="38"/>
  <c r="H34" i="38"/>
  <c r="H22" i="38"/>
  <c r="H18" i="38"/>
  <c r="H11" i="38"/>
  <c r="H74" i="38"/>
  <c r="H5" i="38"/>
  <c r="H31" i="38"/>
  <c r="H62" i="38"/>
  <c r="H7" i="38"/>
  <c r="H91" i="38"/>
  <c r="H113" i="38"/>
  <c r="H114" i="38"/>
  <c r="H13" i="38"/>
  <c r="H39" i="38"/>
  <c r="H55" i="38"/>
  <c r="H54" i="38"/>
  <c r="H17" i="38"/>
  <c r="H69" i="38"/>
  <c r="H42" i="38"/>
  <c r="H76" i="38"/>
  <c r="H27" i="38"/>
  <c r="H100" i="38"/>
  <c r="H108" i="38"/>
  <c r="H98" i="38"/>
  <c r="H64" i="38"/>
  <c r="H44" i="38"/>
  <c r="H45" i="38"/>
  <c r="H56" i="38"/>
  <c r="H30" i="38"/>
  <c r="H8" i="38"/>
  <c r="H73" i="38"/>
  <c r="H47" i="38"/>
  <c r="H53" i="38"/>
  <c r="H21" i="38"/>
  <c r="H38" i="38"/>
  <c r="H97" i="38"/>
  <c r="H93" i="38"/>
  <c r="H118" i="38"/>
  <c r="H68" i="38"/>
  <c r="H70" i="38"/>
  <c r="H6" i="38"/>
  <c r="H65" i="38"/>
  <c r="H32" i="38"/>
  <c r="H49" i="38"/>
  <c r="H109" i="38"/>
  <c r="H85" i="38"/>
  <c r="H101" i="38"/>
  <c r="H122" i="38"/>
  <c r="H52" i="38"/>
  <c r="H4" i="38"/>
  <c r="H9" i="38"/>
  <c r="H58" i="38"/>
  <c r="H14" i="38"/>
  <c r="H12" i="38"/>
  <c r="H25" i="38"/>
  <c r="H82" i="38"/>
  <c r="H33" i="38"/>
  <c r="H84" i="38"/>
  <c r="H107" i="38"/>
  <c r="H92" i="38"/>
  <c r="H124" i="38"/>
  <c r="H24" i="38"/>
  <c r="H20" i="38"/>
  <c r="H16" i="38"/>
  <c r="H26" i="38"/>
  <c r="H15" i="38"/>
  <c r="H19" i="38"/>
  <c r="H67" i="38"/>
  <c r="H79" i="38"/>
  <c r="H96" i="38"/>
  <c r="H99" i="38"/>
  <c r="H111" i="38"/>
  <c r="H123" i="38"/>
  <c r="H66" i="38"/>
  <c r="H35" i="38"/>
  <c r="H41" i="38"/>
  <c r="H60" i="38"/>
  <c r="H37" i="38"/>
  <c r="H28" i="38"/>
  <c r="H81" i="38"/>
  <c r="H104" i="38"/>
  <c r="H87" i="38"/>
  <c r="H110" i="38"/>
  <c r="H127" i="38"/>
  <c r="D24" i="31"/>
  <c r="E24" i="31" s="1"/>
  <c r="F24" i="31" s="1"/>
  <c r="D21" i="31"/>
  <c r="E21" i="31" s="1"/>
  <c r="F21" i="31" s="1"/>
  <c r="F25" i="31"/>
  <c r="F23" i="31"/>
  <c r="F9" i="31"/>
  <c r="F13" i="31"/>
  <c r="D10" i="31"/>
  <c r="E10" i="31" s="1"/>
  <c r="F10" i="31" s="1"/>
  <c r="F18" i="31"/>
  <c r="F19" i="31"/>
  <c r="F27" i="31"/>
  <c r="F14" i="31"/>
  <c r="F17" i="31"/>
  <c r="D20" i="31"/>
  <c r="E20" i="31" s="1"/>
  <c r="F20" i="31" s="1"/>
  <c r="F28" i="31"/>
  <c r="F26" i="31"/>
  <c r="D22" i="31"/>
  <c r="E22" i="31" s="1"/>
  <c r="F22" i="31" s="1"/>
  <c r="F11" i="31"/>
  <c r="F16" i="31"/>
  <c r="F12" i="31"/>
  <c r="F15" i="31"/>
  <c r="J1" i="23"/>
  <c r="I1" i="23"/>
  <c r="H1" i="23"/>
  <c r="G1" i="23"/>
  <c r="K3" i="23"/>
  <c r="F1" i="23" l="1"/>
  <c r="K1" i="23"/>
  <c r="C8" i="31" s="1"/>
  <c r="E8" i="31" s="1"/>
  <c r="AP3" i="4"/>
  <c r="W3" i="4"/>
  <c r="J5" i="8"/>
  <c r="K5" i="8"/>
  <c r="B3" i="23"/>
  <c r="D3" i="23"/>
  <c r="F8" i="31" l="1"/>
  <c r="E30" i="31" s="1"/>
  <c r="E29" i="31"/>
  <c r="C3" i="23"/>
  <c r="H5" i="8"/>
  <c r="G5" i="8"/>
  <c r="F1" i="8" l="1"/>
  <c r="C3" i="8"/>
  <c r="F5" i="8"/>
  <c r="F3" i="8" l="1"/>
  <c r="A2" i="8" s="1"/>
  <c r="J17" i="16" s="1"/>
  <c r="AK3" i="4"/>
  <c r="B5" i="8"/>
  <c r="G2" i="38" l="1"/>
  <c r="J2" i="31" s="1"/>
  <c r="J5" i="31" s="1"/>
  <c r="C15" i="5"/>
  <c r="C14" i="5"/>
  <c r="C13" i="5"/>
  <c r="C11" i="5"/>
  <c r="C10" i="5"/>
  <c r="C9" i="5"/>
  <c r="C8" i="5"/>
  <c r="C7" i="5"/>
  <c r="C6" i="5"/>
  <c r="C5" i="5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AG1" i="4" s="1"/>
  <c r="AH1" i="4" s="1"/>
  <c r="AI1" i="4" s="1"/>
  <c r="AJ1" i="4" s="1"/>
  <c r="AK1" i="4" s="1"/>
  <c r="AL1" i="4" s="1"/>
  <c r="AM1" i="4" s="1"/>
  <c r="AN1" i="4" s="1"/>
  <c r="AO1" i="4" s="1"/>
  <c r="AP1" i="4" s="1"/>
  <c r="AQ1" i="4" s="1"/>
  <c r="AR1" i="4" s="1"/>
  <c r="AS1" i="4" s="1"/>
  <c r="AT1" i="4" s="1"/>
  <c r="AU1" i="4" s="1"/>
  <c r="AV1" i="4" s="1"/>
  <c r="AW1" i="4" s="1"/>
  <c r="AX1" i="4" s="1"/>
  <c r="AY1" i="4" s="1"/>
  <c r="G2" i="39" a="1"/>
  <c r="H2" i="38" a="1"/>
  <c r="G2" i="39" l="1"/>
  <c r="H2" i="38"/>
  <c r="C19" i="5"/>
  <c r="C18" i="5"/>
  <c r="C17" i="5"/>
  <c r="B3" i="5"/>
  <c r="J3" i="1"/>
  <c r="J4" i="1" s="1"/>
  <c r="J5" i="1" s="1"/>
  <c r="J6" i="1" s="1"/>
  <c r="J7" i="1" s="1"/>
  <c r="J8" i="1" s="1"/>
  <c r="J9" i="1" s="1"/>
  <c r="J10" i="1" s="1"/>
  <c r="J11" i="1" s="1"/>
  <c r="J12" i="1" s="1"/>
  <c r="J13" i="1" s="1"/>
  <c r="J14" i="1" s="1"/>
  <c r="C20" i="5" l="1"/>
  <c r="J15" i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F20" i="5" l="1"/>
  <c r="E20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A402D0-C121-4A81-8A0E-B36D654D0674}" name="Consulta - BBDD" description="Conexión a la consulta 'BBDD' en el libro." type="100" refreshedVersion="8" minRefreshableVersion="5">
    <extLst>
      <ext xmlns:x15="http://schemas.microsoft.com/office/spreadsheetml/2010/11/main" uri="{DE250136-89BD-433C-8126-D09CA5730AF9}">
        <x15:connection id="f7c23703-9233-4704-a022-b8e29ba118b2"/>
      </ext>
    </extLst>
  </connection>
  <connection id="2" xr16:uid="{92EBB407-FEE2-4FC1-91F9-F39A4D6CACCA}" name="Consulta - BBDD_Formadores" description="Conexión a la consulta 'BBDD_Formadores' en el libro." type="100" refreshedVersion="8" minRefreshableVersion="5">
    <extLst>
      <ext xmlns:x15="http://schemas.microsoft.com/office/spreadsheetml/2010/11/main" uri="{DE250136-89BD-433C-8126-D09CA5730AF9}">
        <x15:connection id="61041b02-bb8d-4017-8d82-99f96705def6"/>
      </ext>
    </extLst>
  </connection>
  <connection id="3" xr16:uid="{E8B9D119-F90E-489B-99A4-F68BF9060177}" keepAlive="1" name="Consulta - Tabla_Pagos" description="Conexión a la consulta 'Tabla_Pagos' en el libro." type="5" refreshedVersion="8" background="1" saveData="1">
    <dbPr connection="Provider=Microsoft.Mashup.OleDb.1;Data Source=$Workbook$;Location=Tabla_Pagos;Extended Properties=&quot;&quot;" command="SELECT * FROM [Tabla_Pagos]"/>
  </connection>
  <connection id="4" xr16:uid="{FF5194B0-F23B-4435-8C06-9CD4C3A9CE25}" keepAlive="1" name="ModelConnection_DatosExternos_1" description="Modelo de datos" type="5" refreshedVersion="8" minRefreshableVersion="5" saveData="1">
    <dbPr connection="Data Model Connection" command="BBDD_Formadores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FDD61AA9-21BB-4E9B-BCAD-C1C653DE5CB1}" keepAlive="1" name="ModelConnection_DatosExternos_4" description="Modelo de datos" type="5" refreshedVersion="8" minRefreshableVersion="5" saveData="1">
    <dbPr connection="Data Model Connection" command="BBDD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C0205C61-5C0C-4613-BA6B-73B4660641D9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70E70FCE-FD43-46B4-93D3-BF40BF82D7EB}" name="WorksheetConnection_Curso Medio 2025_06.xlsm!T_Asignado" type="102" refreshedVersion="8" minRefreshableVersion="5" saveData="1">
    <extLst>
      <ext xmlns:x15="http://schemas.microsoft.com/office/spreadsheetml/2010/11/main" uri="{DE250136-89BD-433C-8126-D09CA5730AF9}">
        <x15:connection id="T_Asignado">
          <x15:rangePr sourceName="_xlcn.WorksheetConnection_CursoMedio2025_06.xlsmT_Asignado1"/>
        </x15:connection>
      </ext>
    </extLst>
  </connection>
  <connection id="8" xr16:uid="{D8B87B45-9689-431C-B478-85E4F5AEF642}" name="WorksheetConnection_Curso Medio 2025_06.xlsm!T_Avisado" type="102" refreshedVersion="8" minRefreshableVersion="5" saveData="1">
    <extLst>
      <ext xmlns:x15="http://schemas.microsoft.com/office/spreadsheetml/2010/11/main" uri="{DE250136-89BD-433C-8126-D09CA5730AF9}">
        <x15:connection id="T_Avisado">
          <x15:rangePr sourceName="_xlcn.WorksheetConnection_CursoMedio2025_06.xlsmT_Avisado1"/>
        </x15:connection>
      </ext>
    </extLst>
  </connection>
  <connection id="9" xr16:uid="{027AC961-779B-405E-9EE6-C6C6791C3B32}" name="WorksheetConnection_Curso Medio 2025_06.xlsm!T_Cama" type="102" refreshedVersion="8" minRefreshableVersion="5" saveData="1">
    <extLst>
      <ext xmlns:x15="http://schemas.microsoft.com/office/spreadsheetml/2010/11/main" uri="{DE250136-89BD-433C-8126-D09CA5730AF9}">
        <x15:connection id="T_Cama">
          <x15:rangePr sourceName="_xlcn.WorksheetConnection_CursoMedio2025_06.xlsmT_Cama1"/>
        </x15:connection>
      </ext>
    </extLst>
  </connection>
  <connection id="10" xr16:uid="{010B39CC-0866-4F55-A9A4-B5CD3E21562B}" name="WorksheetConnection_Curso Medio 2025_06.xlsm!T_Cargo" type="102" refreshedVersion="8" minRefreshableVersion="5">
    <extLst>
      <ext xmlns:x15="http://schemas.microsoft.com/office/spreadsheetml/2010/11/main" uri="{DE250136-89BD-433C-8126-D09CA5730AF9}">
        <x15:connection id="T_Cargo">
          <x15:rangePr sourceName="_xlcn.WorksheetConnection_CursoMedio2025_06.xlsmT_Cargo1"/>
        </x15:connection>
      </ext>
    </extLst>
  </connection>
  <connection id="11" xr16:uid="{5898D612-9660-4E80-A357-B56B8872CDC6}" name="WorksheetConnection_Curso Medio 2025_06.xlsm!T_Cuenta" type="102" refreshedVersion="8" minRefreshableVersion="5">
    <extLst>
      <ext xmlns:x15="http://schemas.microsoft.com/office/spreadsheetml/2010/11/main" uri="{DE250136-89BD-433C-8126-D09CA5730AF9}">
        <x15:connection id="T_Cuenta">
          <x15:rangePr sourceName="_xlcn.WorksheetConnection_CursoMedio2025_06.xlsmT_Cuenta1"/>
        </x15:connection>
      </ext>
    </extLst>
  </connection>
  <connection id="12" xr16:uid="{2220BB3F-705B-47E2-B47E-B9F04C2ACBE1}" name="WorksheetConnection_Curso Medio 2025_06.xlsm!T_Cuotas" type="102" refreshedVersion="8" minRefreshableVersion="5" saveData="1">
    <extLst>
      <ext xmlns:x15="http://schemas.microsoft.com/office/spreadsheetml/2010/11/main" uri="{DE250136-89BD-433C-8126-D09CA5730AF9}">
        <x15:connection id="T_Cuotas">
          <x15:rangePr sourceName="_xlcn.WorksheetConnection_CursoMedio2025_06.xlsmT_Cuotas1"/>
        </x15:connection>
      </ext>
    </extLst>
  </connection>
  <connection id="13" xr16:uid="{7BDD20DD-1D7A-43E1-AC0D-3C71250832F0}" name="WorksheetConnection_Curso Medio 2025_06.xlsm!T_Estado" type="102" refreshedVersion="8" minRefreshableVersion="5">
    <extLst>
      <ext xmlns:x15="http://schemas.microsoft.com/office/spreadsheetml/2010/11/main" uri="{DE250136-89BD-433C-8126-D09CA5730AF9}">
        <x15:connection id="T_Estado">
          <x15:rangePr sourceName="_xlcn.WorksheetConnection_CursoMedio2025_06.xlsmT_Estado1"/>
        </x15:connection>
      </ext>
    </extLst>
  </connection>
  <connection id="14" xr16:uid="{A4CFC4BE-1DA1-4D03-81D6-818042761F0A}" name="WorksheetConnection_Curso Medio 2025_06.xlsm!T_Rol" type="102" refreshedVersion="8" minRefreshableVersion="5">
    <extLst>
      <ext xmlns:x15="http://schemas.microsoft.com/office/spreadsheetml/2010/11/main" uri="{DE250136-89BD-433C-8126-D09CA5730AF9}">
        <x15:connection id="T_Rol">
          <x15:rangePr sourceName="_xlcn.WorksheetConnection_CursoMedio2025_06.xlsmT_Rol1"/>
        </x15:connection>
      </ext>
    </extLst>
  </connection>
  <connection id="15" xr16:uid="{3D4ED488-9FF0-4A58-A79F-992D5F82F83B}" name="WorksheetConnection_Curso Medio 2025_06.xlsm!T_TipoDocto" type="102" refreshedVersion="8" minRefreshableVersion="5">
    <extLst>
      <ext xmlns:x15="http://schemas.microsoft.com/office/spreadsheetml/2010/11/main" uri="{DE250136-89BD-433C-8126-D09CA5730AF9}">
        <x15:connection id="T_TipoDocto">
          <x15:rangePr sourceName="_xlcn.WorksheetConnection_CursoMedio2025_06.xlsmT_TipoDocto1"/>
        </x15:connection>
      </ext>
    </extLst>
  </connection>
  <connection id="16" xr16:uid="{C02678F8-76D0-4E31-B0D5-7F3B596C201F}" name="WorksheetConnection_Curso Medio 2025_06.xlsm!T_TipoRendicion" type="102" refreshedVersion="8" minRefreshableVersion="5">
    <extLst>
      <ext xmlns:x15="http://schemas.microsoft.com/office/spreadsheetml/2010/11/main" uri="{DE250136-89BD-433C-8126-D09CA5730AF9}">
        <x15:connection id="T_TipoRendicion">
          <x15:rangePr sourceName="_xlcn.WorksheetConnection_CursoMedio2025_06.xlsmT_TipoRendicion1"/>
        </x15:connection>
      </ext>
    </extLst>
  </connection>
  <connection id="17" xr16:uid="{6DF1AD99-737F-4C63-B4ED-C6A057494855}" name="WorksheetConnection_Curso Medio 2025_06.xlsm!T_Transporte" type="102" refreshedVersion="8" minRefreshableVersion="5">
    <extLst>
      <ext xmlns:x15="http://schemas.microsoft.com/office/spreadsheetml/2010/11/main" uri="{DE250136-89BD-433C-8126-D09CA5730AF9}">
        <x15:connection id="T_Transporte">
          <x15:rangePr sourceName="_xlcn.WorksheetConnection_CursoMedio2025_06.xlsmT_Transporte1"/>
        </x15:connection>
      </ext>
    </extLst>
  </connection>
  <connection id="18" xr16:uid="{F49A1202-C346-4D85-B0C8-47CB8C2DC4C4}" name="WorksheetConnection_Curso Medio 2025_06.xlsm!T_Voluntarios" type="102" refreshedVersion="8" minRefreshableVersion="5" saveData="1">
    <extLst>
      <ext xmlns:x15="http://schemas.microsoft.com/office/spreadsheetml/2010/11/main" uri="{DE250136-89BD-433C-8126-D09CA5730AF9}">
        <x15:connection id="T_Voluntarios">
          <x15:rangePr sourceName="_xlcn.WorksheetConnection_CursoMedio2025_06.xlsmT_Voluntario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5">
    <s v="ThisWorkbookDataModel"/>
    <s v="{[T_Voluntarios].[ESTADO].[All]}"/>
    <s v="{[T_Voluntarios].[ROL].[All]}"/>
    <s v="{[T_Voluntarios].[AVISADO].[All]}"/>
    <s v="{[T_Voluntarios].[ROL].&amp;[Formador(a)],[T_Voluntarios].[ROL].&amp;[Apoyo a Formadores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<sst xmlns="http://schemas.openxmlformats.org/spreadsheetml/2006/main" count="21151" uniqueCount="3404">
  <si>
    <t>Avisado</t>
  </si>
  <si>
    <t>SI</t>
  </si>
  <si>
    <t>NO</t>
  </si>
  <si>
    <t>Rol</t>
  </si>
  <si>
    <t>Participante</t>
  </si>
  <si>
    <t>Formador(a)</t>
  </si>
  <si>
    <t>Equipo Organizador</t>
  </si>
  <si>
    <t>Tipo_Rendicion</t>
  </si>
  <si>
    <t>Alimentacion</t>
  </si>
  <si>
    <t>Combustible</t>
  </si>
  <si>
    <t>Otro</t>
  </si>
  <si>
    <t>Pasaje</t>
  </si>
  <si>
    <t>Peaje</t>
  </si>
  <si>
    <t>Tipo_Docto</t>
  </si>
  <si>
    <t>Boleta</t>
  </si>
  <si>
    <t>Factura</t>
  </si>
  <si>
    <t>Ticket</t>
  </si>
  <si>
    <t>Cargo</t>
  </si>
  <si>
    <t>Orden</t>
  </si>
  <si>
    <t>Responsable Ejecutivo</t>
  </si>
  <si>
    <t>Director(a) Zonal</t>
  </si>
  <si>
    <t>Director(a) Distrito</t>
  </si>
  <si>
    <t>Director(a) Curso</t>
  </si>
  <si>
    <t>Apoyo Administración</t>
  </si>
  <si>
    <t>Apoyo Voluntarios</t>
  </si>
  <si>
    <t>Apoyo Operaciones</t>
  </si>
  <si>
    <t>Apoyo Programa</t>
  </si>
  <si>
    <t>Apoyo Salud</t>
  </si>
  <si>
    <t>CZ  de Administración</t>
  </si>
  <si>
    <t>CZ de Operaciones</t>
  </si>
  <si>
    <t>CZ de Programa</t>
  </si>
  <si>
    <t>CZ de Salud</t>
  </si>
  <si>
    <t>CZ de Docente</t>
  </si>
  <si>
    <t>Apoyo Alimentación</t>
  </si>
  <si>
    <t>Coordinador Alimentación</t>
  </si>
  <si>
    <t>Coordinador Instalaciones</t>
  </si>
  <si>
    <t>Apoyo Instalaciones</t>
  </si>
  <si>
    <t>RUN</t>
  </si>
  <si>
    <t>E_MAIL</t>
  </si>
  <si>
    <t>NOMBRE</t>
  </si>
  <si>
    <t>FEC_NAC</t>
  </si>
  <si>
    <t>DIRECCION</t>
  </si>
  <si>
    <t>COMUNA</t>
  </si>
  <si>
    <t>TIPO_FONO</t>
  </si>
  <si>
    <t>FONO</t>
  </si>
  <si>
    <t>ROL</t>
  </si>
  <si>
    <t>GRUPO</t>
  </si>
  <si>
    <t>DISTRITO</t>
  </si>
  <si>
    <t>ALIMENTACION</t>
  </si>
  <si>
    <t>ALERGIA_ENFERMEDAD</t>
  </si>
  <si>
    <t>LIMITACION</t>
  </si>
  <si>
    <t>EMERGENCIA</t>
  </si>
  <si>
    <t>EXTRA</t>
  </si>
  <si>
    <t>NIVEL</t>
  </si>
  <si>
    <t>NUMERO_MMAA</t>
  </si>
  <si>
    <t>RAMA_NIVEL_MEDIO</t>
  </si>
  <si>
    <t>RAMA_NIVEL_AVANZADO</t>
  </si>
  <si>
    <t>FORMADOR</t>
  </si>
  <si>
    <t>HABIL_I</t>
  </si>
  <si>
    <t>HABIL_II</t>
  </si>
  <si>
    <t>VERIFICADOR</t>
  </si>
  <si>
    <t>INSTITUCIONAL</t>
  </si>
  <si>
    <t>CUENTA</t>
  </si>
  <si>
    <t>NECESITA_CAMA</t>
  </si>
  <si>
    <t>ACREDITADO</t>
  </si>
  <si>
    <t>REGISTRO</t>
  </si>
  <si>
    <t>OBSERVACION</t>
  </si>
  <si>
    <t>CONFIRMA_CAMA</t>
  </si>
  <si>
    <t>ESTADO</t>
  </si>
  <si>
    <t>TRANSPORTE</t>
  </si>
  <si>
    <t>MARCA_VEHICULO</t>
  </si>
  <si>
    <t>MODELO_VEHICULO</t>
  </si>
  <si>
    <t>PATENTE_VEHICULO</t>
  </si>
  <si>
    <t>AVISADO</t>
  </si>
  <si>
    <t>FICHA_MEDICA</t>
  </si>
  <si>
    <t>PAGA_CUOTA</t>
  </si>
  <si>
    <t>Estado</t>
  </si>
  <si>
    <t>Vigente</t>
  </si>
  <si>
    <t>NO Vigente</t>
  </si>
  <si>
    <t>CZ de Rama</t>
  </si>
  <si>
    <t>CZ Internacional</t>
  </si>
  <si>
    <t>CZ de Comunicaciones y RR.II.</t>
  </si>
  <si>
    <t>Apoyo Comunicaciones y RR.II.</t>
  </si>
  <si>
    <t>C. N. de I.</t>
  </si>
  <si>
    <t>INSCRITO COMO</t>
  </si>
  <si>
    <t>NOMBRE COMPLETO</t>
  </si>
  <si>
    <t>GRUPO O CARGO</t>
  </si>
  <si>
    <t>RAMA</t>
  </si>
  <si>
    <t>SOLICITUD DE CAMA</t>
  </si>
  <si>
    <t>REGISTRADO</t>
  </si>
  <si>
    <t>EMAIL</t>
  </si>
  <si>
    <t>TIPO FONO</t>
  </si>
  <si>
    <t>CUOTA N° 1</t>
  </si>
  <si>
    <t>CUOTA N° 2</t>
  </si>
  <si>
    <t>CUOTA N° 3</t>
  </si>
  <si>
    <t>TOTAL CANCELADO</t>
  </si>
  <si>
    <t>Nombre</t>
  </si>
  <si>
    <t>RAMA_CURSO</t>
  </si>
  <si>
    <t>Cuota_1</t>
  </si>
  <si>
    <t>Cuota_2</t>
  </si>
  <si>
    <t>Cuota_3</t>
  </si>
  <si>
    <t>Total</t>
  </si>
  <si>
    <t>Celular</t>
  </si>
  <si>
    <t>Peulla</t>
  </si>
  <si>
    <t>Pioneros</t>
  </si>
  <si>
    <t>Rio Andalién</t>
  </si>
  <si>
    <t>Ninguno</t>
  </si>
  <si>
    <t>Villa Cayucupil 696</t>
  </si>
  <si>
    <t>Cañete</t>
  </si>
  <si>
    <t>Namuncura</t>
  </si>
  <si>
    <t>Golondrinas</t>
  </si>
  <si>
    <t>Nahuelbuta</t>
  </si>
  <si>
    <t>Talcahuano</t>
  </si>
  <si>
    <t>Helen Keller</t>
  </si>
  <si>
    <t>Buen Pastor</t>
  </si>
  <si>
    <t>Scouts</t>
  </si>
  <si>
    <t>Biobío</t>
  </si>
  <si>
    <t>Guias</t>
  </si>
  <si>
    <t>Concepción</t>
  </si>
  <si>
    <t>Medio</t>
  </si>
  <si>
    <t>Alimentación Vegetariana</t>
  </si>
  <si>
    <t>Caminantes</t>
  </si>
  <si>
    <t>Lobatos</t>
  </si>
  <si>
    <t>Rucapeñihue</t>
  </si>
  <si>
    <t>Chillán</t>
  </si>
  <si>
    <t>Ñuble</t>
  </si>
  <si>
    <t>Sagrada Familia</t>
  </si>
  <si>
    <t>dani.lama.cofre@gmail.com</t>
  </si>
  <si>
    <t>Daniela Constanza Lama Cofré</t>
  </si>
  <si>
    <t>20155266-4</t>
  </si>
  <si>
    <t>Andrés Madariaga 241, Los Canelos</t>
  </si>
  <si>
    <t>+56962258227</t>
  </si>
  <si>
    <t>Santa Cecilia</t>
  </si>
  <si>
    <t>Alimentación Vegana</t>
  </si>
  <si>
    <t>Halcones Negros</t>
  </si>
  <si>
    <t>Rañileufu</t>
  </si>
  <si>
    <t>San Pablo</t>
  </si>
  <si>
    <t>Braulio Alfredo Rojas Salas</t>
  </si>
  <si>
    <t>17395890-0</t>
  </si>
  <si>
    <t>+56967877580</t>
  </si>
  <si>
    <t>Sin grupo</t>
  </si>
  <si>
    <t>Avanzado</t>
  </si>
  <si>
    <t>7212</t>
  </si>
  <si>
    <t>painostroza@gmail.com</t>
  </si>
  <si>
    <t>+56984597052</t>
  </si>
  <si>
    <t>9180</t>
  </si>
  <si>
    <t>srojas.lla@gmail.com</t>
  </si>
  <si>
    <t>19533643-1</t>
  </si>
  <si>
    <t>Hualpén</t>
  </si>
  <si>
    <t>+56966669088</t>
  </si>
  <si>
    <t>La Asunción</t>
  </si>
  <si>
    <t>9865</t>
  </si>
  <si>
    <t>Scouts, Caminantes</t>
  </si>
  <si>
    <t>a.infante.p@gmail.com</t>
  </si>
  <si>
    <t>Alexis Antonio Infante Pinto</t>
  </si>
  <si>
    <t>14572495-3</t>
  </si>
  <si>
    <t>jose santos ossa 327</t>
  </si>
  <si>
    <t>+56995372559</t>
  </si>
  <si>
    <t>Rosa de los Vientos</t>
  </si>
  <si>
    <t>7107</t>
  </si>
  <si>
    <t>10668555-K</t>
  </si>
  <si>
    <t>+56994923774</t>
  </si>
  <si>
    <t>San Ignacio de Loyola</t>
  </si>
  <si>
    <t>2970</t>
  </si>
  <si>
    <t>Pablo Enrique Pesce Sánchez</t>
  </si>
  <si>
    <t>12918155-9</t>
  </si>
  <si>
    <t>+56998745724</t>
  </si>
  <si>
    <t>Equipo Zonal</t>
  </si>
  <si>
    <t>5208</t>
  </si>
  <si>
    <t>FECHA_HORA</t>
  </si>
  <si>
    <t>FECHA_NAC</t>
  </si>
  <si>
    <t>NUM_MMAA</t>
  </si>
  <si>
    <t>ALERGIA</t>
  </si>
  <si>
    <t>CONSIDERACION</t>
  </si>
  <si>
    <t>14390617-5</t>
  </si>
  <si>
    <t>17343643-2</t>
  </si>
  <si>
    <t>rarnechino@guiasyscoutschile.cl</t>
  </si>
  <si>
    <t>Colon 8185 depto 208 b parque ligure</t>
  </si>
  <si>
    <t>+56948671716</t>
  </si>
  <si>
    <t>7916</t>
  </si>
  <si>
    <t>BBDD</t>
  </si>
  <si>
    <t>Inscritos</t>
  </si>
  <si>
    <t>Total general</t>
  </si>
  <si>
    <t>N° Part.</t>
  </si>
  <si>
    <t>Correo Electrónico</t>
  </si>
  <si>
    <t>Comuna Inscrita</t>
  </si>
  <si>
    <t>N° Fono</t>
  </si>
  <si>
    <t>Rama Curso</t>
  </si>
  <si>
    <t>CARGO_VIGENTE</t>
  </si>
  <si>
    <t>(Todas)</t>
  </si>
  <si>
    <t>Sub Totales de lo recaudado</t>
  </si>
  <si>
    <t>Saldo</t>
  </si>
  <si>
    <t>San Bernardo</t>
  </si>
  <si>
    <t>Cristián Andrés Lara Landaeta</t>
  </si>
  <si>
    <t>ivo.battaglia@gmail.com</t>
  </si>
  <si>
    <t>Ivo Pietro Battaglia Salinas</t>
  </si>
  <si>
    <t>Los Cristales 316. Villa Tres Vientos</t>
  </si>
  <si>
    <t>+56978235800</t>
  </si>
  <si>
    <t>10211</t>
  </si>
  <si>
    <t>17138403-6</t>
  </si>
  <si>
    <t>pabloramosparedes89@gmail.com</t>
  </si>
  <si>
    <t>+56983394704</t>
  </si>
  <si>
    <t>7382</t>
  </si>
  <si>
    <t>12362790-3</t>
  </si>
  <si>
    <t>chormazabal@guiasyscoutschile.cl</t>
  </si>
  <si>
    <t>Carlos Gerardo Hormazábal Sáez</t>
  </si>
  <si>
    <t>+56962191513</t>
  </si>
  <si>
    <t>8666</t>
  </si>
  <si>
    <t>18145220-K</t>
  </si>
  <si>
    <t>Gustavo Alonso Romero Bustos</t>
  </si>
  <si>
    <t>+56942542374</t>
  </si>
  <si>
    <t>10141</t>
  </si>
  <si>
    <t>20022942-8</t>
  </si>
  <si>
    <t>vjarapersoglia@gmail.com</t>
  </si>
  <si>
    <t>Iquique 581</t>
  </si>
  <si>
    <t>+56963274213</t>
  </si>
  <si>
    <t>10497</t>
  </si>
  <si>
    <t>19090410-5</t>
  </si>
  <si>
    <t>javiera.sv21@gmail.com</t>
  </si>
  <si>
    <t>Javiera Constanza Sánchez Vega</t>
  </si>
  <si>
    <t>+56997711144</t>
  </si>
  <si>
    <t>13725336-4</t>
  </si>
  <si>
    <t>aarevalo@guiasyscoutschile.cl</t>
  </si>
  <si>
    <t>Aldo Felipe Arévalo Rodríguez</t>
  </si>
  <si>
    <t>Lope de Landa 1358</t>
  </si>
  <si>
    <t>+56987329470</t>
  </si>
  <si>
    <t>Huilliche</t>
  </si>
  <si>
    <t>7771</t>
  </si>
  <si>
    <t>12549494-3</t>
  </si>
  <si>
    <t>scarrasco@guiasyscoutschile.cl</t>
  </si>
  <si>
    <t>Silvia Karina Carrasco Avilés</t>
  </si>
  <si>
    <t>Chillán Viejo</t>
  </si>
  <si>
    <t>+56999912803</t>
  </si>
  <si>
    <t>3314</t>
  </si>
  <si>
    <t>Los Angeles</t>
  </si>
  <si>
    <t>San Vicente</t>
  </si>
  <si>
    <t>Distrito</t>
  </si>
  <si>
    <t xml:space="preserve">Distrito </t>
  </si>
  <si>
    <t xml:space="preserve">Grupo </t>
  </si>
  <si>
    <t>Grupo</t>
  </si>
  <si>
    <t>Por Comuna</t>
  </si>
  <si>
    <t>N° Volunt.</t>
  </si>
  <si>
    <t>Limitaciones</t>
  </si>
  <si>
    <t>Total Cuota</t>
  </si>
  <si>
    <t xml:space="preserve">Registro </t>
  </si>
  <si>
    <t>Monte Kenya</t>
  </si>
  <si>
    <t>DOMINIO</t>
  </si>
  <si>
    <t>Dominio Correos</t>
  </si>
  <si>
    <t>Registro</t>
  </si>
  <si>
    <t>R.U.N.</t>
  </si>
  <si>
    <t>Pamela Andrea Inostroza Ulloa</t>
  </si>
  <si>
    <t>18686470-0</t>
  </si>
  <si>
    <t>eric.munoz.bel@gmail.com</t>
  </si>
  <si>
    <t>Eric Edison Eduardo Muñoz Beltrán</t>
  </si>
  <si>
    <t>+56985377591</t>
  </si>
  <si>
    <t>9464</t>
  </si>
  <si>
    <t>PARTICIPANTES POR COMUNA</t>
  </si>
  <si>
    <t>PARTICIPANTES POR DISTRITO Y RAMA</t>
  </si>
  <si>
    <t>LIMITACIONES DE TODOS LOS VOLUNTARIOS VIGENTES</t>
  </si>
  <si>
    <t>TOTAL DE VOLUNTARIOS EN EL CURSO</t>
  </si>
  <si>
    <t>Total a Cancelar por los Participantes</t>
  </si>
  <si>
    <t>DOMINIOS DE CORREOS DE VOLUNTARIOS</t>
  </si>
  <si>
    <t>CZ de Voluntariado</t>
  </si>
  <si>
    <t>Romina Paz Arnechino Arriagada</t>
  </si>
  <si>
    <t>20116981-K</t>
  </si>
  <si>
    <t>liset.alarcon4@gmail.com</t>
  </si>
  <si>
    <t>Liset Scarlet Alarcón Ortega</t>
  </si>
  <si>
    <t>+56974928049</t>
  </si>
  <si>
    <t>9965</t>
  </si>
  <si>
    <t>Cuenta</t>
  </si>
  <si>
    <t>Cuota1</t>
  </si>
  <si>
    <t>Cuota2</t>
  </si>
  <si>
    <t>Cuota3</t>
  </si>
  <si>
    <t>Nombre Completo</t>
  </si>
  <si>
    <t xml:space="preserve">Fono </t>
  </si>
  <si>
    <t xml:space="preserve">Rol </t>
  </si>
  <si>
    <t xml:space="preserve">Estado </t>
  </si>
  <si>
    <t xml:space="preserve">Avisado </t>
  </si>
  <si>
    <t>Rama</t>
  </si>
  <si>
    <t>N° Formadores</t>
  </si>
  <si>
    <t>TOTAL DE FORMADORES</t>
  </si>
  <si>
    <t>N° Form.</t>
  </si>
  <si>
    <t>19509993-6</t>
  </si>
  <si>
    <t>shormazabalm7@gmail.com</t>
  </si>
  <si>
    <t>Ruta P520 Km 0680, Tucapel Alto</t>
  </si>
  <si>
    <t>+56993326025</t>
  </si>
  <si>
    <t>9207</t>
  </si>
  <si>
    <t>18419830-4</t>
  </si>
  <si>
    <t>orianasaezm@gmail.com</t>
  </si>
  <si>
    <t>Oriana Alejandra Saez Muñoz</t>
  </si>
  <si>
    <t>San eulogio 408</t>
  </si>
  <si>
    <t>+56999300814</t>
  </si>
  <si>
    <t>Equipo nacional de salud</t>
  </si>
  <si>
    <t>9553</t>
  </si>
  <si>
    <t>CORREO</t>
  </si>
  <si>
    <t>RAMA_MEDIO</t>
  </si>
  <si>
    <t>RAMA_AVANZADO</t>
  </si>
  <si>
    <t>Hualpen</t>
  </si>
  <si>
    <t>16765243-3</t>
  </si>
  <si>
    <t>caroardi@gmail.com</t>
  </si>
  <si>
    <t>Carolina Andrea Sepúlveda Melo</t>
  </si>
  <si>
    <t>San Pedro de la paz</t>
  </si>
  <si>
    <t>7772</t>
  </si>
  <si>
    <t>12133343-0</t>
  </si>
  <si>
    <t>amadridcani@gmail.com</t>
  </si>
  <si>
    <t>Ana Carolina Madrid Canivilo</t>
  </si>
  <si>
    <t>8665</t>
  </si>
  <si>
    <t>Villa Cayucupil 696 km 12</t>
  </si>
  <si>
    <t>18405393-4</t>
  </si>
  <si>
    <t>Pia Alejandra Martinez Maass</t>
  </si>
  <si>
    <t>Pasaje nueve 235, pob lzo arenas 3</t>
  </si>
  <si>
    <t>Alfa Cruz</t>
  </si>
  <si>
    <t>9445</t>
  </si>
  <si>
    <t>Golondrinas, Caminantes</t>
  </si>
  <si>
    <t>Golondrinas, Ninguno</t>
  </si>
  <si>
    <t>9941142-2</t>
  </si>
  <si>
    <t>jacky4165@gmail.com</t>
  </si>
  <si>
    <t>Jacqueline Reyes Asenjo</t>
  </si>
  <si>
    <t>Las violetas 1756, casa 13, Huertos Familires, San Pedro de la Paz</t>
  </si>
  <si>
    <t>8064</t>
  </si>
  <si>
    <t>19107593-5</t>
  </si>
  <si>
    <t>constanzamendozaayllon@gmail.com</t>
  </si>
  <si>
    <t>Constanza Alejandra Mendoza Ayllón</t>
  </si>
  <si>
    <t>Pioneros, Caminantes</t>
  </si>
  <si>
    <t>14214988-5</t>
  </si>
  <si>
    <t>jontoledocl@gmail.com</t>
  </si>
  <si>
    <t>Jonathan Cristian Toledo García</t>
  </si>
  <si>
    <t>Avenida Federico Schwager 4400</t>
  </si>
  <si>
    <t>Coronel</t>
  </si>
  <si>
    <t>9007</t>
  </si>
  <si>
    <t>18416537-6</t>
  </si>
  <si>
    <t>Sergio Andrés Benavides Avendaño</t>
  </si>
  <si>
    <t>Freire 1655</t>
  </si>
  <si>
    <t>8837</t>
  </si>
  <si>
    <t>17803225-9</t>
  </si>
  <si>
    <t>to.carlos.rj@gmail.com</t>
  </si>
  <si>
    <t>Carlos José Rubilar Jerez</t>
  </si>
  <si>
    <t>Av. Circunvalación 1240, dpto 441</t>
  </si>
  <si>
    <t>Curicó</t>
  </si>
  <si>
    <t>7739</t>
  </si>
  <si>
    <t>braulio.rojas.salas@gmail.com</t>
  </si>
  <si>
    <t>Cuarta Longitudinal 562, Villa San Valentín.</t>
  </si>
  <si>
    <t>No Actualizado</t>
  </si>
  <si>
    <t>Juan Martínez de Rozas 275</t>
  </si>
  <si>
    <t>La Frontera</t>
  </si>
  <si>
    <t>gustromerob@gmail.com</t>
  </si>
  <si>
    <t>Calle 101 condominio 1876 casa 6 Parque Las Princesas</t>
  </si>
  <si>
    <t>14493355-9</t>
  </si>
  <si>
    <t>victor.zegpi@gmail.com</t>
  </si>
  <si>
    <t>Victor Viviano Zegpi Estrada</t>
  </si>
  <si>
    <t>francisco de aguirre 115, los angeles</t>
  </si>
  <si>
    <t>8045</t>
  </si>
  <si>
    <t>13378111-0</t>
  </si>
  <si>
    <t>josorio@guiasyscoutschile.cl</t>
  </si>
  <si>
    <t>Juan José Osorio Meza</t>
  </si>
  <si>
    <t>Urbano Dubosc 244</t>
  </si>
  <si>
    <t>5373</t>
  </si>
  <si>
    <t>Pablo Andres Ramos Paredes</t>
  </si>
  <si>
    <t>Dieciocho de septiembre 320 depto 1507</t>
  </si>
  <si>
    <t>Chillan</t>
  </si>
  <si>
    <t>12024863-4</t>
  </si>
  <si>
    <t>distritobiobio@gmail.com</t>
  </si>
  <si>
    <t>Rodrigo Nicolas Olivari Cid</t>
  </si>
  <si>
    <t>Monte perdido 1580 dpto d 206</t>
  </si>
  <si>
    <t>8646</t>
  </si>
  <si>
    <t>10118</t>
  </si>
  <si>
    <t>Chaiten 8024 Torre E Departamento 201, Miradores de Hualpén</t>
  </si>
  <si>
    <t>Los Ángeles</t>
  </si>
  <si>
    <t>10992722-8</t>
  </si>
  <si>
    <t>andreajuanjosara@gmail.com</t>
  </si>
  <si>
    <t>Andrea Isolda Palacios Gutiérrez</t>
  </si>
  <si>
    <t>alonso de reinoso 030</t>
  </si>
  <si>
    <t>10225</t>
  </si>
  <si>
    <t>10216374-0</t>
  </si>
  <si>
    <t>jimeveas@gmail.com</t>
  </si>
  <si>
    <t>Jimena Soledad Veas Reyes</t>
  </si>
  <si>
    <t>Puerto Varas 89</t>
  </si>
  <si>
    <t>4385</t>
  </si>
  <si>
    <t>14208448-1</t>
  </si>
  <si>
    <t>gonzalocuevas.salazar@gmail.com</t>
  </si>
  <si>
    <t>Gonzalo Andres Cuevas Salazar</t>
  </si>
  <si>
    <t>Emilio Rioseco 248, Población Los Lirios</t>
  </si>
  <si>
    <t>5676</t>
  </si>
  <si>
    <t>12026379-K</t>
  </si>
  <si>
    <t>karinacuriconcha@gmail.com</t>
  </si>
  <si>
    <t>Karina Isabel Curi Concha</t>
  </si>
  <si>
    <t>Inmaculada Concepción de Talcahuano</t>
  </si>
  <si>
    <t>9695</t>
  </si>
  <si>
    <t>17348754-1</t>
  </si>
  <si>
    <t>cabreracamilapaz@gmail.com</t>
  </si>
  <si>
    <t>Camila Paz Cabrera Menares</t>
  </si>
  <si>
    <t>Augusto Iglesias 481</t>
  </si>
  <si>
    <t>8681</t>
  </si>
  <si>
    <t>Pío Baroja 1541, concepción</t>
  </si>
  <si>
    <t>16139619-2</t>
  </si>
  <si>
    <t>tamara.garcia.v@gmail.com</t>
  </si>
  <si>
    <t>Tamara Alejandra García Vásquez</t>
  </si>
  <si>
    <t>Almirante Riveros sur 567, depto 24</t>
  </si>
  <si>
    <t>Salesiano</t>
  </si>
  <si>
    <t>10573</t>
  </si>
  <si>
    <t>12972669-5</t>
  </si>
  <si>
    <t>nlinconir@guiasyscoutschile.cl</t>
  </si>
  <si>
    <t>Natalia Andrea Lincoñir Roa</t>
  </si>
  <si>
    <t>3347</t>
  </si>
  <si>
    <t>Avenida Los Carrera 1865, depto 905</t>
  </si>
  <si>
    <t>Sebastián Andrés Hormazábal Madrid</t>
  </si>
  <si>
    <t>17541547-5</t>
  </si>
  <si>
    <t>katterinemunozbel@gmail.com</t>
  </si>
  <si>
    <t>Katterine Araceli Muñoz Beltrán</t>
  </si>
  <si>
    <t>Concepcion</t>
  </si>
  <si>
    <t>9255</t>
  </si>
  <si>
    <t>pesce.operaciones@gmail.com</t>
  </si>
  <si>
    <t>Los Boldos 1820, Villa San Pedro</t>
  </si>
  <si>
    <t>Salesianos Concepción</t>
  </si>
  <si>
    <t>Urbano duboscx 244</t>
  </si>
  <si>
    <t>+56992966019</t>
  </si>
  <si>
    <t>+56987955454</t>
  </si>
  <si>
    <t>All</t>
  </si>
  <si>
    <t>ACREDITADOS</t>
  </si>
  <si>
    <t xml:space="preserve">Acreditado </t>
  </si>
  <si>
    <t xml:space="preserve">Registrado </t>
  </si>
  <si>
    <t>Necesita CAMA</t>
  </si>
  <si>
    <t>NECESIDAD DE CAMA</t>
  </si>
  <si>
    <t>Conf. CAMA</t>
  </si>
  <si>
    <t>+56992147123</t>
  </si>
  <si>
    <t>8831</t>
  </si>
  <si>
    <t>+56982029010</t>
  </si>
  <si>
    <t>Nacional</t>
  </si>
  <si>
    <t>+56966676938</t>
  </si>
  <si>
    <t>+56984352733</t>
  </si>
  <si>
    <t>jwalker@guiasyscoutschile.cl</t>
  </si>
  <si>
    <t>Jimmy Alfonso Walker Vergara</t>
  </si>
  <si>
    <t>Quilpue</t>
  </si>
  <si>
    <t>3768</t>
  </si>
  <si>
    <t>13103689-2</t>
  </si>
  <si>
    <t>Fecha Nac.</t>
  </si>
  <si>
    <t>EDAD</t>
  </si>
  <si>
    <t xml:space="preserve">Edad </t>
  </si>
  <si>
    <t>Fue Avisado</t>
  </si>
  <si>
    <t>+56993508234</t>
  </si>
  <si>
    <t>PROFESION</t>
  </si>
  <si>
    <t>APODO</t>
  </si>
  <si>
    <t>TIEMPO_ADULTO</t>
  </si>
  <si>
    <t>ESTADO_CIVIL</t>
  </si>
  <si>
    <t>RELIGION</t>
  </si>
  <si>
    <t>9040564-0</t>
  </si>
  <si>
    <t>+56990781445</t>
  </si>
  <si>
    <t>Correo</t>
  </si>
  <si>
    <t>Observación</t>
  </si>
  <si>
    <t>Teléfono</t>
  </si>
  <si>
    <t>+56991392212</t>
  </si>
  <si>
    <t>MANUAL</t>
  </si>
  <si>
    <t>VIERNES</t>
  </si>
  <si>
    <t>SABADO</t>
  </si>
  <si>
    <t>DOMINGO</t>
  </si>
  <si>
    <t>LUNES</t>
  </si>
  <si>
    <t>Cena</t>
  </si>
  <si>
    <t>TOTAL</t>
  </si>
  <si>
    <t>BONO</t>
  </si>
  <si>
    <t>TOTAL PASAJES</t>
  </si>
  <si>
    <t>FECHA</t>
  </si>
  <si>
    <t>DIA</t>
  </si>
  <si>
    <t>DESCRIPCION</t>
  </si>
  <si>
    <t>CANTIDAD</t>
  </si>
  <si>
    <t>natachamarquezr@gmail.com</t>
  </si>
  <si>
    <t>Natacha Cecilia Márquez Rivas</t>
  </si>
  <si>
    <t>Penco</t>
  </si>
  <si>
    <t>+56977065940</t>
  </si>
  <si>
    <t>8656</t>
  </si>
  <si>
    <t>+56942050953</t>
  </si>
  <si>
    <t>PARTICIPANTES INSCRITOS</t>
  </si>
  <si>
    <t>CARGO</t>
  </si>
  <si>
    <t>TIEMPO_UNIDAD</t>
  </si>
  <si>
    <t>ALOJAMIENTO</t>
  </si>
  <si>
    <t>TIEMPO_BENEFICIARIO</t>
  </si>
  <si>
    <t>TRABAJO_NNAJ</t>
  </si>
  <si>
    <t>CUOTA</t>
  </si>
  <si>
    <t>Pmartinez@guiasyscoutschile.cl</t>
  </si>
  <si>
    <t>Benav.sergio@gmail.com</t>
  </si>
  <si>
    <t>crislara@gmail.com</t>
  </si>
  <si>
    <t>Sin distrito</t>
  </si>
  <si>
    <t>Pio Baroja 1541, Concepción</t>
  </si>
  <si>
    <t>Samuel Valencia 650</t>
  </si>
  <si>
    <t>Los pensamientos 43</t>
  </si>
  <si>
    <t>Sebastián Esteban Rojas Canales</t>
  </si>
  <si>
    <t>Gobernador Juan Henríquez #820</t>
  </si>
  <si>
    <t>Antonio Varas 1965, Torre H-203.</t>
  </si>
  <si>
    <t>rarroyo@guiasyscoutschile.cl</t>
  </si>
  <si>
    <t>13065943-8</t>
  </si>
  <si>
    <t>Rossana Loretto Arroyo Aguila</t>
  </si>
  <si>
    <t>San Martín 1179</t>
  </si>
  <si>
    <t>Guias, Scouts</t>
  </si>
  <si>
    <t>javieraveloso1@gmail.com</t>
  </si>
  <si>
    <t>19373051-5</t>
  </si>
  <si>
    <t>Los pasionistas 137</t>
  </si>
  <si>
    <t>San Rafael</t>
  </si>
  <si>
    <t>coniacevedo38@gmail.com</t>
  </si>
  <si>
    <t>18800175-0</t>
  </si>
  <si>
    <t>Constanza Belen Acevedo Rivera</t>
  </si>
  <si>
    <t>Camino Antuco km 2,4 Loteo Santa Raquel Parcela 5</t>
  </si>
  <si>
    <t>cchavez.mon@gmail.com</t>
  </si>
  <si>
    <t>20258730-5</t>
  </si>
  <si>
    <t>fiorelola32@gmail.com</t>
  </si>
  <si>
    <t>19956015-8</t>
  </si>
  <si>
    <t>Fiorenza Alexandra De Lange General</t>
  </si>
  <si>
    <t>Freire 1190, dpto 1101</t>
  </si>
  <si>
    <t>patricio.privasp@gmail.com</t>
  </si>
  <si>
    <t>Patricio Andrés Rivas Pérez</t>
  </si>
  <si>
    <t>Rodulfo Philippi 524, salinas</t>
  </si>
  <si>
    <t>jorgebaeza01@gmail.com</t>
  </si>
  <si>
    <t>14583939-4</t>
  </si>
  <si>
    <t>Jorge Alejandro Baeza Robles</t>
  </si>
  <si>
    <t>Bulnes 275, depto 805</t>
  </si>
  <si>
    <t>Wetripantu</t>
  </si>
  <si>
    <t>sjarah12@gmail.com</t>
  </si>
  <si>
    <t>19579508-8</t>
  </si>
  <si>
    <t>Scarleth Andrea Jara Huenchuleo</t>
  </si>
  <si>
    <t>Reposo s/n cañete</t>
  </si>
  <si>
    <t>ccontrerasfaure@gmail.com</t>
  </si>
  <si>
    <t>12927721-1</t>
  </si>
  <si>
    <t>Claudio Contreras Faure</t>
  </si>
  <si>
    <t>Pasaje Manuel Rodríguez #1390</t>
  </si>
  <si>
    <t>Lautaro</t>
  </si>
  <si>
    <t>Lolquellen</t>
  </si>
  <si>
    <t>alexis.auad@gmail.com</t>
  </si>
  <si>
    <t>14068351-5</t>
  </si>
  <si>
    <t>Alexis Hernán Auad Díaz</t>
  </si>
  <si>
    <t>Chorrillos 436 casa B Cond. Doña Marina</t>
  </si>
  <si>
    <t>Comisión Nacional Seguridad y Prevención de Riesgos</t>
  </si>
  <si>
    <t>sussyrebolledo@gmail.com</t>
  </si>
  <si>
    <t>11987329-0</t>
  </si>
  <si>
    <t>Parcela 29 Lote A2 sector Puerto Peleco</t>
  </si>
  <si>
    <t>Condominio Parque la Piedra, Casa 19</t>
  </si>
  <si>
    <t>San Pedro de la Pz</t>
  </si>
  <si>
    <t>msepulvedabenedetti@gmail.com</t>
  </si>
  <si>
    <t>19816809-2</t>
  </si>
  <si>
    <t>María José Sepúlveda Benedetti</t>
  </si>
  <si>
    <t>Benito Perez galdos 1854</t>
  </si>
  <si>
    <t>ofernadezv@gmail.com</t>
  </si>
  <si>
    <t>Orlando Ernesto Fernandez Vásquez</t>
  </si>
  <si>
    <t>Arturo Perez 528</t>
  </si>
  <si>
    <t>Andalién</t>
  </si>
  <si>
    <t>Scouts, Pioneros</t>
  </si>
  <si>
    <t>b.jullieth.meza@gmail.com</t>
  </si>
  <si>
    <t>19615922-3</t>
  </si>
  <si>
    <t>danibascursanhueza@gmail.com</t>
  </si>
  <si>
    <t>18525115-2</t>
  </si>
  <si>
    <t>Daniela Alejandra Bascur Sanhueza</t>
  </si>
  <si>
    <t>Helios 585, Los Ángeles</t>
  </si>
  <si>
    <t>Equipo distrital Biobio</t>
  </si>
  <si>
    <t>18426749-7</t>
  </si>
  <si>
    <t>Ingrid Andrea Cifuentes Bernal</t>
  </si>
  <si>
    <t>omarsanhueza78@gmail.com</t>
  </si>
  <si>
    <t>13382158-9</t>
  </si>
  <si>
    <t>Omar Sanhueza Sepúlveda</t>
  </si>
  <si>
    <t>Maguncia 99</t>
  </si>
  <si>
    <t>Angol</t>
  </si>
  <si>
    <t>Buena Aventura</t>
  </si>
  <si>
    <t>danitza.valencia.p@gmail.com</t>
  </si>
  <si>
    <t>20994815-K</t>
  </si>
  <si>
    <t>Danitza Monserrat Valencia Pedreros</t>
  </si>
  <si>
    <t>rio ñuble 13, penco</t>
  </si>
  <si>
    <t>itecheira17@gmail.com</t>
  </si>
  <si>
    <t>20488355-6</t>
  </si>
  <si>
    <t>Ignacio Nicolás Techeira Sepúlveda</t>
  </si>
  <si>
    <t>Talcahuano #79</t>
  </si>
  <si>
    <t>Universidad Austral</t>
  </si>
  <si>
    <t>Nivel Nacional</t>
  </si>
  <si>
    <t>Vicente Javier Jara Persoglia</t>
  </si>
  <si>
    <t>El Arrayán 310 Villa Los Aromos.</t>
  </si>
  <si>
    <t>crisantemos 57 villa perales</t>
  </si>
  <si>
    <t>Raíces</t>
  </si>
  <si>
    <t>San Joaquín</t>
  </si>
  <si>
    <t>Cristóbal Tomás Chávez Montoya</t>
  </si>
  <si>
    <t>Quinchamali 9322 Parque Residencial Biobío</t>
  </si>
  <si>
    <t>25-10-1987</t>
  </si>
  <si>
    <t>10-04-1974</t>
  </si>
  <si>
    <t>16-01-1973</t>
  </si>
  <si>
    <t>05-03-1993</t>
  </si>
  <si>
    <t>10-06-1965</t>
  </si>
  <si>
    <t>+56998712976</t>
  </si>
  <si>
    <t>04-02-1976</t>
  </si>
  <si>
    <t>27-07-1980</t>
  </si>
  <si>
    <t>+56930780902</t>
  </si>
  <si>
    <t>10-07-1993</t>
  </si>
  <si>
    <t>25-01-1991</t>
  </si>
  <si>
    <t>+56987414946</t>
  </si>
  <si>
    <t>09-03-1989</t>
  </si>
  <si>
    <t>28-11-1967</t>
  </si>
  <si>
    <t>24-07-1992</t>
  </si>
  <si>
    <t>02-12-1976</t>
  </si>
  <si>
    <t>+56988817246</t>
  </si>
  <si>
    <t>28-06-1978</t>
  </si>
  <si>
    <t>+56967226482</t>
  </si>
  <si>
    <t>18-08-1989</t>
  </si>
  <si>
    <t>18-07-1980</t>
  </si>
  <si>
    <t>+56987877532</t>
  </si>
  <si>
    <t>24-05-1973</t>
  </si>
  <si>
    <t>+56992513493</t>
  </si>
  <si>
    <t>09-07-1971</t>
  </si>
  <si>
    <t>+56978823113</t>
  </si>
  <si>
    <t>24-11-1981</t>
  </si>
  <si>
    <t>05-09-1990</t>
  </si>
  <si>
    <t>04-01-1995</t>
  </si>
  <si>
    <t>25-01-1986</t>
  </si>
  <si>
    <t>+56957680567</t>
  </si>
  <si>
    <t>25-10-1990</t>
  </si>
  <si>
    <t>04-06-1999</t>
  </si>
  <si>
    <t>04-03-1997</t>
  </si>
  <si>
    <t>10-07-1975</t>
  </si>
  <si>
    <t>11-05-1976</t>
  </si>
  <si>
    <t>+56966792633</t>
  </si>
  <si>
    <t>16-05-1975</t>
  </si>
  <si>
    <t>±56969095979</t>
  </si>
  <si>
    <t>02-05-1997</t>
  </si>
  <si>
    <t>03-03-1994</t>
  </si>
  <si>
    <t>21-09-1995</t>
  </si>
  <si>
    <t>08-10-1979</t>
  </si>
  <si>
    <t>17-04-1999</t>
  </si>
  <si>
    <t>22-08-1989</t>
  </si>
  <si>
    <t>17-09-1994</t>
  </si>
  <si>
    <t>13-01-1974</t>
  </si>
  <si>
    <t>27-06-2023</t>
  </si>
  <si>
    <t>19-02-1978</t>
  </si>
  <si>
    <t>04-08-1989</t>
  </si>
  <si>
    <t>05-02-1976</t>
  </si>
  <si>
    <t>+56946685127</t>
  </si>
  <si>
    <t>4830</t>
  </si>
  <si>
    <t>Javiera Consuelo Veloso Sanhueza</t>
  </si>
  <si>
    <t>18-04-1997</t>
  </si>
  <si>
    <t>+56984568437</t>
  </si>
  <si>
    <t>9221</t>
  </si>
  <si>
    <t>28-10-1994</t>
  </si>
  <si>
    <t>+56988071283</t>
  </si>
  <si>
    <t>9222</t>
  </si>
  <si>
    <t>18-02-2000</t>
  </si>
  <si>
    <t>+56983409835</t>
  </si>
  <si>
    <t>10571</t>
  </si>
  <si>
    <t>25-05-1998</t>
  </si>
  <si>
    <t>+56976636828</t>
  </si>
  <si>
    <t>10737</t>
  </si>
  <si>
    <t>13315552-K</t>
  </si>
  <si>
    <t>02-09-1977</t>
  </si>
  <si>
    <t>+56922492767</t>
  </si>
  <si>
    <t>8441</t>
  </si>
  <si>
    <t>29-10-1976</t>
  </si>
  <si>
    <t>+56998468806</t>
  </si>
  <si>
    <t>7395</t>
  </si>
  <si>
    <t>30-08-1997</t>
  </si>
  <si>
    <t>+56991429448</t>
  </si>
  <si>
    <t>10185</t>
  </si>
  <si>
    <t>06-12-1975</t>
  </si>
  <si>
    <t>+56952124058</t>
  </si>
  <si>
    <t>9722</t>
  </si>
  <si>
    <t>16-06-1978</t>
  </si>
  <si>
    <t>+56988077917</t>
  </si>
  <si>
    <t>10714</t>
  </si>
  <si>
    <t>Susana Lilian Rebolledo Torres</t>
  </si>
  <si>
    <t>06-04-1972</t>
  </si>
  <si>
    <t>+56976476414</t>
  </si>
  <si>
    <t>10063</t>
  </si>
  <si>
    <t>1853622-6</t>
  </si>
  <si>
    <t>06-09-1993</t>
  </si>
  <si>
    <t>13-07-1999</t>
  </si>
  <si>
    <t>10798</t>
  </si>
  <si>
    <t>11-07-1998</t>
  </si>
  <si>
    <t>+56989465054</t>
  </si>
  <si>
    <t>10729</t>
  </si>
  <si>
    <t>30-01-1978</t>
  </si>
  <si>
    <t>+56968456922</t>
  </si>
  <si>
    <t>10460</t>
  </si>
  <si>
    <t>03-04-2002</t>
  </si>
  <si>
    <t>+56964030087</t>
  </si>
  <si>
    <t>10777</t>
  </si>
  <si>
    <t>09-07-2000</t>
  </si>
  <si>
    <t>+56951562182</t>
  </si>
  <si>
    <t>10627</t>
  </si>
  <si>
    <t>13-11-1993</t>
  </si>
  <si>
    <t>+56950856213</t>
  </si>
  <si>
    <t>8664</t>
  </si>
  <si>
    <t>i.cifuentes.bernal@gmail.com</t>
  </si>
  <si>
    <t>12-04-1993</t>
  </si>
  <si>
    <t>SECTOR DIÑICO S/N</t>
  </si>
  <si>
    <t>SANTA JUANA</t>
  </si>
  <si>
    <t>+56921701964</t>
  </si>
  <si>
    <t>9006</t>
  </si>
  <si>
    <t>19798265-9</t>
  </si>
  <si>
    <t>ismaelsotoespi98@gmail.com</t>
  </si>
  <si>
    <t>Ismael Osvaldo Espinoza Soto</t>
  </si>
  <si>
    <t>24-06-1998</t>
  </si>
  <si>
    <t>Camino san Luis parcela 4</t>
  </si>
  <si>
    <t>+56987889283</t>
  </si>
  <si>
    <t>San Bartolomé</t>
  </si>
  <si>
    <t>10409</t>
  </si>
  <si>
    <t>Bárbara Jullieth Meza Benavides</t>
  </si>
  <si>
    <t>07-03-1999</t>
  </si>
  <si>
    <t>Calle 7 #3789 Villa San Marcos 2000</t>
  </si>
  <si>
    <t>+56981518180</t>
  </si>
  <si>
    <t>23-01-1963</t>
  </si>
  <si>
    <t>2299</t>
  </si>
  <si>
    <t>Asignado</t>
  </si>
  <si>
    <t>Transporte</t>
  </si>
  <si>
    <t>Propio</t>
  </si>
  <si>
    <t>Común</t>
  </si>
  <si>
    <t>Cama</t>
  </si>
  <si>
    <t>TIEMPO_NNAJ</t>
  </si>
  <si>
    <t>TIPO</t>
  </si>
  <si>
    <t>Desayuno</t>
  </si>
  <si>
    <t>Almuerzo</t>
  </si>
  <si>
    <t>Once</t>
  </si>
  <si>
    <t>01_Viernes</t>
  </si>
  <si>
    <t>TIEMPO</t>
  </si>
  <si>
    <t>(Todo)</t>
  </si>
  <si>
    <t>Alimentación Tradicional</t>
  </si>
  <si>
    <t>Alimentación para Celiac@s</t>
  </si>
  <si>
    <t>02_Sábado</t>
  </si>
  <si>
    <t>03_Domingo</t>
  </si>
  <si>
    <t>(en blanco)</t>
  </si>
  <si>
    <t>Valores del Curso (Con Almuerzo)</t>
  </si>
  <si>
    <t>Valores del Curso (Sin Almuerzo)</t>
  </si>
  <si>
    <t>Total con Almuerzo</t>
  </si>
  <si>
    <t>Total sin Almuerzo</t>
  </si>
  <si>
    <t>18799920-0</t>
  </si>
  <si>
    <t>andreavidalmo@gmail.com</t>
  </si>
  <si>
    <t>Andrea Fernanda Vidal Morales</t>
  </si>
  <si>
    <t>Avda Los Parques 704</t>
  </si>
  <si>
    <t>+56933728882</t>
  </si>
  <si>
    <t>Asistente de unidad</t>
  </si>
  <si>
    <t>7 meses</t>
  </si>
  <si>
    <t>Inicial</t>
  </si>
  <si>
    <t>Sin Almuerzo</t>
  </si>
  <si>
    <t>Ninguna</t>
  </si>
  <si>
    <t>Alvaro Palma Vallejos / 987783166</t>
  </si>
  <si>
    <t>No</t>
  </si>
  <si>
    <t>Psicóloga</t>
  </si>
  <si>
    <t>3 años</t>
  </si>
  <si>
    <t>1 año</t>
  </si>
  <si>
    <t>Conviviente Civil</t>
  </si>
  <si>
    <t>Andrea</t>
  </si>
  <si>
    <t>https://drive.google.com/open?id=1h1rdavJKiZozh6e2jgRtXBi9OyY2HFeo</t>
  </si>
  <si>
    <t>20677699-4</t>
  </si>
  <si>
    <t>pamelapinol21@gmail.com</t>
  </si>
  <si>
    <t>Pamela Elena Pino Leiva</t>
  </si>
  <si>
    <t>Los halcones, Parcela Z-11 Country Santa Eliana</t>
  </si>
  <si>
    <t>+56946993024</t>
  </si>
  <si>
    <t>Mahuidanche</t>
  </si>
  <si>
    <t>Asistente de compañia</t>
  </si>
  <si>
    <t>8 meses</t>
  </si>
  <si>
    <t>Victoria Leiva (mi mamá) +56993887014</t>
  </si>
  <si>
    <t>Enfermera</t>
  </si>
  <si>
    <t>Desde los 12 años hasta los 20 aprox (8 años aprox)</t>
  </si>
  <si>
    <t>Solo lo que llevo trabajando como asistente de compañia, por mi profesión, no.</t>
  </si>
  <si>
    <t>Soltero(a)</t>
  </si>
  <si>
    <t>Católica</t>
  </si>
  <si>
    <t>Pame</t>
  </si>
  <si>
    <t>https://drive.google.com/open?id=1_qAlapZ63JaY43jo9j-_-2VXyoWSWgav</t>
  </si>
  <si>
    <t>20958325-9</t>
  </si>
  <si>
    <t>noemigonzalez644@gmail.com</t>
  </si>
  <si>
    <t>Noemí Rosita González Marambio</t>
  </si>
  <si>
    <t>Reinoguelen #63 Villa San Pedro</t>
  </si>
  <si>
    <t>Responsable de Unidad</t>
  </si>
  <si>
    <t>Alergia a las nueces</t>
  </si>
  <si>
    <t>Rosa Marambio 988373803</t>
  </si>
  <si>
    <t>Estudiante</t>
  </si>
  <si>
    <t>8 años</t>
  </si>
  <si>
    <t>Noe</t>
  </si>
  <si>
    <t>https://drive.google.com/open?id=1Kr4b5P3MOpMGNgqO743qXarh7OjMljo2</t>
  </si>
  <si>
    <t>20259006-3</t>
  </si>
  <si>
    <t>cpalmab00@gmail.com</t>
  </si>
  <si>
    <t>Catalina Dannae Palma Bastías</t>
  </si>
  <si>
    <t>Av. Manuel Rodríguez 966</t>
  </si>
  <si>
    <t>Chiguayante</t>
  </si>
  <si>
    <t>+56932294127</t>
  </si>
  <si>
    <t>Responsable</t>
  </si>
  <si>
    <t>2</t>
  </si>
  <si>
    <t>Vicente Gonzalez +56977760821</t>
  </si>
  <si>
    <t>Estudiante de enfermeria</t>
  </si>
  <si>
    <t>No fui MMBB</t>
  </si>
  <si>
    <t>10</t>
  </si>
  <si>
    <t>Cata</t>
  </si>
  <si>
    <t>https://drive.google.com/open?id=17zNYLya7GbKB4LPm0APaXE2orMh2MM0a</t>
  </si>
  <si>
    <t>17199729-1</t>
  </si>
  <si>
    <t>mgonzalez.biologia@gmail.com</t>
  </si>
  <si>
    <t>Muriel Esther González Silva</t>
  </si>
  <si>
    <t>Genova 2891</t>
  </si>
  <si>
    <t>+56940010332</t>
  </si>
  <si>
    <t>Alergica a la Penicilina e Ibuprofeno</t>
  </si>
  <si>
    <t>Nicolás Peña +56966903399</t>
  </si>
  <si>
    <t>Profesora de Biología</t>
  </si>
  <si>
    <t>5 años</t>
  </si>
  <si>
    <t>Casado(a)</t>
  </si>
  <si>
    <t>Muriel</t>
  </si>
  <si>
    <t>https://drive.google.com/open?id=1TNPN3aqKillnYNMhRibWnwlfu6FTujU8</t>
  </si>
  <si>
    <t>21276054-4</t>
  </si>
  <si>
    <t>cdiazaguilera12@gmail.com</t>
  </si>
  <si>
    <t>Catalina Belén Díaz Aguilera</t>
  </si>
  <si>
    <t>Avenida los presidentes 1555 casa 15</t>
  </si>
  <si>
    <t>+56956959880</t>
  </si>
  <si>
    <t>Paulina Aguilera +56944367305</t>
  </si>
  <si>
    <t>Estudiante de enfermería</t>
  </si>
  <si>
    <t>7 años</t>
  </si>
  <si>
    <t>Evangélica</t>
  </si>
  <si>
    <t>https://drive.google.com/open?id=1WjGduateW_RIs_Bfg9hVE2ANLMp7dpZG</t>
  </si>
  <si>
    <t>20447788-4</t>
  </si>
  <si>
    <t>alejandroquezadacontacto@gmail.com</t>
  </si>
  <si>
    <t>Alejandro Antonio Quezada Huenchunao</t>
  </si>
  <si>
    <t>Tomás de Aquino 1656</t>
  </si>
  <si>
    <t>+56933932949</t>
  </si>
  <si>
    <t>Asistente de Unidad de Clan</t>
  </si>
  <si>
    <t>1 mes</t>
  </si>
  <si>
    <t>Javiera Sáez +56933932949</t>
  </si>
  <si>
    <t>Comunicador Audiovisual</t>
  </si>
  <si>
    <t>5 Meses</t>
  </si>
  <si>
    <t>Ale</t>
  </si>
  <si>
    <t>https://drive.google.com/open?id=1Vmy5TQY9ge-UvIRttV7jgUGiaQwa_xnM</t>
  </si>
  <si>
    <t>20951673-K</t>
  </si>
  <si>
    <t>gonza.sandovalito@gmail.com</t>
  </si>
  <si>
    <t>Gonzalo Peña Sandoval</t>
  </si>
  <si>
    <t>los jazmines 4836</t>
  </si>
  <si>
    <t>+56974531813</t>
  </si>
  <si>
    <t>Asistente de manada</t>
  </si>
  <si>
    <t>medio año</t>
  </si>
  <si>
    <t>Movilidad poco limitada</t>
  </si>
  <si>
    <t>Hector peña  +56981741669</t>
  </si>
  <si>
    <t>Soy una persona con la condicion del transtorno del espectro autista</t>
  </si>
  <si>
    <t>Desde los 9 a 21 años</t>
  </si>
  <si>
    <t>Golazo</t>
  </si>
  <si>
    <t>https://drive.google.com/open?id=19hr6zLY2DwYLS55JCS_UmtpJ4rDd3Zvo</t>
  </si>
  <si>
    <t>20968446-2</t>
  </si>
  <si>
    <t>estebangop@gmail.com</t>
  </si>
  <si>
    <t>Esteban Gustavo Ortiz Pezo</t>
  </si>
  <si>
    <t>Psj José Antonio villa gran 370 población Carlos Ibáñez del campo sector los lirios concepción</t>
  </si>
  <si>
    <t>Lactosa</t>
  </si>
  <si>
    <t>Catalina Velasquez, 9 59641563</t>
  </si>
  <si>
    <t>Tens</t>
  </si>
  <si>
    <t>2 años</t>
  </si>
  <si>
    <t>MOAI</t>
  </si>
  <si>
    <t>https://drive.google.com/open?id=1FhlMEhCe0IiX7WuxWIz7aXD0FYMzn0NQ</t>
  </si>
  <si>
    <t>21921293-3</t>
  </si>
  <si>
    <t>chaminherrera2.3@gmail.com</t>
  </si>
  <si>
    <t>Benjamin Ignacio Herrera Acevedo</t>
  </si>
  <si>
    <t>Hamburgo 2589</t>
  </si>
  <si>
    <t>+56949310990</t>
  </si>
  <si>
    <t>Ayudante</t>
  </si>
  <si>
    <t>2 meses</t>
  </si>
  <si>
    <t>Intolerancia a la lactosa</t>
  </si>
  <si>
    <t>Asma</t>
  </si>
  <si>
    <t>Violeta Acevedo 990900350</t>
  </si>
  <si>
    <t>0</t>
  </si>
  <si>
    <t>Herrera</t>
  </si>
  <si>
    <t>https://drive.google.com/open?id=1nkA5khAZQVKpYNjLckI05354uoNr0ygJ</t>
  </si>
  <si>
    <t>21304861-9</t>
  </si>
  <si>
    <t>niigvipa@gmail.com</t>
  </si>
  <si>
    <t>Nicolás Ignacio Villanueva Parodi</t>
  </si>
  <si>
    <t>Sor María Josefina Cavada 639</t>
  </si>
  <si>
    <t>+56957805108</t>
  </si>
  <si>
    <t>Macarena Parodi +56944016104</t>
  </si>
  <si>
    <t>7 años aprox</t>
  </si>
  <si>
    <t>Niko</t>
  </si>
  <si>
    <t>https://drive.google.com/open?id=1eGlvwNbp07j_pSioBCjhCpgURWPjKEIRWJcXBMzOdjo</t>
  </si>
  <si>
    <t>21166830-K</t>
  </si>
  <si>
    <t>nachogoncar02@gmail.com</t>
  </si>
  <si>
    <t>Ignacio Antonio González Carrasco</t>
  </si>
  <si>
    <t>Pasaje ainavillo 1611 Barrio norte</t>
  </si>
  <si>
    <t>+56953133620</t>
  </si>
  <si>
    <t>2 años y 5 meses</t>
  </si>
  <si>
    <t>+56976536406</t>
  </si>
  <si>
    <t>Ingeniero en maquinaria pesada y vehículos automotrices</t>
  </si>
  <si>
    <t>8 años y 4 meses</t>
  </si>
  <si>
    <t>Nacho</t>
  </si>
  <si>
    <t>https://drive.google.com/open?id=1kr_yjZYHHx0DH00ug9Dy7ZRNDMF8BNTz</t>
  </si>
  <si>
    <t>20757965-3</t>
  </si>
  <si>
    <t>carlacontreras424@gmail.com</t>
  </si>
  <si>
    <t>Carla Andrea Contreras Calderon</t>
  </si>
  <si>
    <t>Volcan planchon 0759</t>
  </si>
  <si>
    <t>Curico</t>
  </si>
  <si>
    <t>Nuestra señora del pilar</t>
  </si>
  <si>
    <t>Gentamicina y ciprofloxacino</t>
  </si>
  <si>
    <t>Magaly calderon +569 38820910</t>
  </si>
  <si>
    <t>Diseñadora gráfica</t>
  </si>
  <si>
    <t>6 años</t>
  </si>
  <si>
    <t>2años</t>
  </si>
  <si>
    <t>Carlita</t>
  </si>
  <si>
    <t>https://drive.google.com/open?id=1UnPNGoYsihq8bfEjXxb35x-poNK79gzb</t>
  </si>
  <si>
    <t>16003635-4</t>
  </si>
  <si>
    <t>natimsg@gmail.com</t>
  </si>
  <si>
    <t>Natalie Magdalena Sepulveda Gomez</t>
  </si>
  <si>
    <t>Presbistero Andres Jarlan 1036</t>
  </si>
  <si>
    <t>+56969084323</t>
  </si>
  <si>
    <t>Asistente</t>
  </si>
  <si>
    <t>Antonio Millapan 966477930</t>
  </si>
  <si>
    <t>Contadora</t>
  </si>
  <si>
    <t>Naty</t>
  </si>
  <si>
    <t>https://drive.google.com/open?id=1bKRdJtRwFuhMUh8rd8hVc1hbCNZFH5V5</t>
  </si>
  <si>
    <t>21727177-0</t>
  </si>
  <si>
    <t>renatoandresantibanezy@gmail.com</t>
  </si>
  <si>
    <t>Renato Andres Santibañez Yevilao</t>
  </si>
  <si>
    <t>Brisas del sol, pasaje 14, #437</t>
  </si>
  <si>
    <t>+56934950948</t>
  </si>
  <si>
    <t>Dirigente</t>
  </si>
  <si>
    <t>Rosana Yevilao - 978947403</t>
  </si>
  <si>
    <t>Estudiante de biologia</t>
  </si>
  <si>
    <t>14 años aprox</t>
  </si>
  <si>
    <t>Como dirigente: 2 meses. En otras actividades: 5 años</t>
  </si>
  <si>
    <t>Catolica</t>
  </si>
  <si>
    <t>Patito</t>
  </si>
  <si>
    <t>https://drive.google.com/open?id=1reuS0-wAW3j_jQkePsPLbuhCR8mpc6zC</t>
  </si>
  <si>
    <t>21835332-0</t>
  </si>
  <si>
    <t>josearavenavarrete@gmail.com</t>
  </si>
  <si>
    <t>José Ignacio Aravena Navarrete</t>
  </si>
  <si>
    <t>Pasaje Diecinueve, casa 2425, Laguna Redonda</t>
  </si>
  <si>
    <t>+56965518943</t>
  </si>
  <si>
    <t>Este año</t>
  </si>
  <si>
    <t>930532731 Claudio Aravena</t>
  </si>
  <si>
    <t>No tengo, soy estudiante</t>
  </si>
  <si>
    <t>11 años</t>
  </si>
  <si>
    <t>Este año y algunos voluntariados cortos</t>
  </si>
  <si>
    <t>Jose</t>
  </si>
  <si>
    <t>https://drive.google.com/open?id=1M9EJwn2LH-sP4uxo1ypXnc6pfe2hLkfm</t>
  </si>
  <si>
    <t>13734880-2</t>
  </si>
  <si>
    <t>liviocarrasco@gmail.com</t>
  </si>
  <si>
    <t>Livio Alfredo Carrasco Duran</t>
  </si>
  <si>
    <t>Martínez de Rosas 137, Purranque</t>
  </si>
  <si>
    <t>Purranque</t>
  </si>
  <si>
    <t>+56988118402</t>
  </si>
  <si>
    <t>Grupo Guías y Scout San Mateo, Osorno</t>
  </si>
  <si>
    <t>Waleska Prambs. +56994861311</t>
  </si>
  <si>
    <t>SXYH17</t>
  </si>
  <si>
    <t>Skoda</t>
  </si>
  <si>
    <t>Kodiak</t>
  </si>
  <si>
    <t>Venimos desde purranque. Buscaremos alojo por la zona. No sé si Uds ven alguna limitación.</t>
  </si>
  <si>
    <t>Ingeniero Civil en Informática</t>
  </si>
  <si>
    <t>Livio</t>
  </si>
  <si>
    <t>https://drive.google.com/open?id=1QXMi2oFCu59IWzjt2rizSqCEouOtYWsz</t>
  </si>
  <si>
    <t>17220413-9</t>
  </si>
  <si>
    <t>aneri15@gmail.com</t>
  </si>
  <si>
    <t>Ana Erilda Peña Orellana</t>
  </si>
  <si>
    <t>Pasaje Arnoldo Hauri 455</t>
  </si>
  <si>
    <t>+56989709230</t>
  </si>
  <si>
    <t>Aliwen kimün</t>
  </si>
  <si>
    <t>Un año</t>
  </si>
  <si>
    <t>Intolerancia a Lactosa</t>
  </si>
  <si>
    <t>Karla de la Jara +56 9 7138 0064</t>
  </si>
  <si>
    <t>Profesora media en matemática</t>
  </si>
  <si>
    <t>3 meses</t>
  </si>
  <si>
    <t>3</t>
  </si>
  <si>
    <t>Anny</t>
  </si>
  <si>
    <t>https://drive.google.com/open?id=1ZrU8L2lr1dZP67OOOzDHgrRmFSwne1OH</t>
  </si>
  <si>
    <t>17349336-3</t>
  </si>
  <si>
    <t>latorrefrancisco@gmail.com</t>
  </si>
  <si>
    <t>Francisco Javier Latorre Zuñiga</t>
  </si>
  <si>
    <t>General Cornelio Saavedra 59</t>
  </si>
  <si>
    <t>+56995142816</t>
  </si>
  <si>
    <t>Victoria Reyes 975679087</t>
  </si>
  <si>
    <t>Estudiante de derecho</t>
  </si>
  <si>
    <t>Panxo</t>
  </si>
  <si>
    <t>https://drive.google.com/open?id=1kReYL37Jw2aCO2SQZgR1sAL1KVNIbMWb</t>
  </si>
  <si>
    <t>21359566-0</t>
  </si>
  <si>
    <t>sebasper2003@gmail.com</t>
  </si>
  <si>
    <t>Sebastián Alejandro Pérez Serrano</t>
  </si>
  <si>
    <t>Brisa del sol, calle 3</t>
  </si>
  <si>
    <t>+56973352622</t>
  </si>
  <si>
    <t>Asistente de unidad y coordinador distrital de rama scout</t>
  </si>
  <si>
    <t>1 año y medio</t>
  </si>
  <si>
    <t>Alergia a Penicilina e insectos</t>
  </si>
  <si>
    <t>María Teresa Serrano Badilla +56950250390</t>
  </si>
  <si>
    <t>JBTR67</t>
  </si>
  <si>
    <t>Susuki</t>
  </si>
  <si>
    <t>Swift</t>
  </si>
  <si>
    <t>12 años</t>
  </si>
  <si>
    <t>Catolicismo</t>
  </si>
  <si>
    <t>Seba</t>
  </si>
  <si>
    <t>https://drive.google.com/open?id=1tabU68-UjapXnlIh_xL6OKbRCsmkp4u6</t>
  </si>
  <si>
    <t>elias.neirato@gmail.com</t>
  </si>
  <si>
    <t>Elias Neira Torres</t>
  </si>
  <si>
    <t>Manuel Rodríguez 1551</t>
  </si>
  <si>
    <t>+56997800817</t>
  </si>
  <si>
    <t>No lo sé</t>
  </si>
  <si>
    <t>Florentino Neira +56972165886</t>
  </si>
  <si>
    <t>No tengo</t>
  </si>
  <si>
    <t>Fui beneficiario 9 años</t>
  </si>
  <si>
    <t>14 años</t>
  </si>
  <si>
    <t>Elias</t>
  </si>
  <si>
    <t>https://drive.google.com/open?id=1KbUM0QynHg_WJGaxX1n0_XmI2US7TzGF</t>
  </si>
  <si>
    <t>Paula Sepúlveda Medina +56966163228</t>
  </si>
  <si>
    <t>No aplica</t>
  </si>
  <si>
    <t>4 años</t>
  </si>
  <si>
    <t>Teche</t>
  </si>
  <si>
    <t>https://drive.google.com/open?id=1nuqqzQnNstIGgY12NNHmR6mMfoIp2KUg</t>
  </si>
  <si>
    <t>21631373-7</t>
  </si>
  <si>
    <t>marcela.ivana.molina.agurto@gmail.com</t>
  </si>
  <si>
    <t>Marcela Molina Agurto</t>
  </si>
  <si>
    <t>Pinares 10 casa 83 condominio alto castaño</t>
  </si>
  <si>
    <t>+56965416672</t>
  </si>
  <si>
    <t>Meses</t>
  </si>
  <si>
    <t>Montserrat agurto 987760864</t>
  </si>
  <si>
    <t>Marce</t>
  </si>
  <si>
    <t>https://drive.google.com/open?id=1MV_iCfIBi2ClzQuy1B6QkmCFCbItecnt</t>
  </si>
  <si>
    <t>mora62813@gmail.com</t>
  </si>
  <si>
    <t>Alvaro Mora Martinez</t>
  </si>
  <si>
    <t>General Gambino 3731</t>
  </si>
  <si>
    <t>Conchali</t>
  </si>
  <si>
    <t>+56966748869</t>
  </si>
  <si>
    <t>La Montaña</t>
  </si>
  <si>
    <t>Zona Ñuble</t>
  </si>
  <si>
    <t>a la dipirona</t>
  </si>
  <si>
    <t>Maria Martinez 984462480</t>
  </si>
  <si>
    <t>Carabinero</t>
  </si>
  <si>
    <t>10 años</t>
  </si>
  <si>
    <t>catolico</t>
  </si>
  <si>
    <t>Morita</t>
  </si>
  <si>
    <t>https://drive.google.com/open?id=1GQm-YFCdlT3OKmJBrMeBgtcUZBf_u3fv</t>
  </si>
  <si>
    <t>lisbetmatamala2001@gmail.com</t>
  </si>
  <si>
    <t>Lisbet Almendra Matamala Sandoval</t>
  </si>
  <si>
    <t>Esmeralda 029-7</t>
  </si>
  <si>
    <t>+56946450576</t>
  </si>
  <si>
    <t>Ayudante de unidad</t>
  </si>
  <si>
    <t>1 año 1 mes</t>
  </si>
  <si>
    <t>Alergia al huevo</t>
  </si>
  <si>
    <t>Ines Sandoval Troncoso +56956522122</t>
  </si>
  <si>
    <t>Lisbet</t>
  </si>
  <si>
    <t>https://drive.google.com/open?id=15JrLYtxBjHWz61VrAwRphoKJqg8QgpfW</t>
  </si>
  <si>
    <t>18962018-7</t>
  </si>
  <si>
    <t>khenriquezb@gmail.com</t>
  </si>
  <si>
    <t>Katherin Valeska Bañados Henriquez</t>
  </si>
  <si>
    <t>Juan Antonio Ríos 537</t>
  </si>
  <si>
    <t>+56971041512</t>
  </si>
  <si>
    <t>Joel Henríquez 991253786</t>
  </si>
  <si>
    <t>HPBD88</t>
  </si>
  <si>
    <t>Hyundai</t>
  </si>
  <si>
    <t>Eon</t>
  </si>
  <si>
    <t>Ingeniera civil industrial</t>
  </si>
  <si>
    <t>9 años</t>
  </si>
  <si>
    <t>Kati</t>
  </si>
  <si>
    <t>https://drive.google.com/open?id=1E7e_aaCEuwp1slTSaOTNcPbYQzs5fQsF</t>
  </si>
  <si>
    <t>21486862-8</t>
  </si>
  <si>
    <t>anitabravocortez7@gmail.com</t>
  </si>
  <si>
    <t>Anita Bravo Cortez</t>
  </si>
  <si>
    <t>Andrés Bello 322</t>
  </si>
  <si>
    <t>El Carmen</t>
  </si>
  <si>
    <t>+56954996048</t>
  </si>
  <si>
    <t>Mayra Amigo 954094654</t>
  </si>
  <si>
    <t>No Aplica</t>
  </si>
  <si>
    <t>Anita</t>
  </si>
  <si>
    <t>https://drive.google.com/open?id=1K4zHOckzcaWIAR-b1TYJefK-uoT48hi6</t>
  </si>
  <si>
    <t>21861091-9</t>
  </si>
  <si>
    <t>antoromerocampos@gmail.com</t>
  </si>
  <si>
    <t>Antonia Belén Romero Campos</t>
  </si>
  <si>
    <t>pasaje 5 poniente casa 309 Barrio Las Pataguas</t>
  </si>
  <si>
    <t>+56934418140</t>
  </si>
  <si>
    <t>Bárbara Campos, 982139060</t>
  </si>
  <si>
    <t>Anto R</t>
  </si>
  <si>
    <t>https://drive.google.com/open?id=1mjRYZfsQP47u7Fox6tYik_j2_dDsZExZ</t>
  </si>
  <si>
    <t>16489970-5</t>
  </si>
  <si>
    <t>feijooangela@gmail.com</t>
  </si>
  <si>
    <t>Angela Andrea Feijoo Herrerra</t>
  </si>
  <si>
    <t>San Juan Bautista 2231 casa 1, San Remo, lomas San Sebastián</t>
  </si>
  <si>
    <t>+56985920688</t>
  </si>
  <si>
    <t>Responsable de bandada</t>
  </si>
  <si>
    <t>Hipertensión, alergia a la lidocaina</t>
  </si>
  <si>
    <t>Gladys Herrera +56 9 5833 0496</t>
  </si>
  <si>
    <t>Publicidad, Fotógrafa</t>
  </si>
  <si>
    <t>Viudo(a)</t>
  </si>
  <si>
    <t>Angela "Ayeka" Feijoo</t>
  </si>
  <si>
    <t>https://drive.google.com/open?id=1Y4fqHjSWuldQc73Jkb43k1MFNFytsFgZ</t>
  </si>
  <si>
    <t>21537964-7</t>
  </si>
  <si>
    <t>isidorasandogut@gmail.com</t>
  </si>
  <si>
    <t>Isidora María Fernanda Sandoval Gutiérrez</t>
  </si>
  <si>
    <t>Bernardo O´Higgins 621</t>
  </si>
  <si>
    <t>Paola Gutiérrez Hernández +56 9 7696 8415</t>
  </si>
  <si>
    <t>Isi</t>
  </si>
  <si>
    <t>https://drive.google.com/open?id=1qpd3EriJU0nvxG5B48JwqlNx0aA5BCmP</t>
  </si>
  <si>
    <t>19088730-8</t>
  </si>
  <si>
    <t>javiera.jareyes@gmail.com</t>
  </si>
  <si>
    <t>Javiera Jacqueline Jara Reyes</t>
  </si>
  <si>
    <t>Las violetas 1756 casa 13</t>
  </si>
  <si>
    <t>+56988893472</t>
  </si>
  <si>
    <t>Mariscos</t>
  </si>
  <si>
    <t>Lucas Urriaga +56945480251</t>
  </si>
  <si>
    <t>Kinesióloga</t>
  </si>
  <si>
    <t>JJ</t>
  </si>
  <si>
    <t>https://drive.google.com/open?id=1q4twkejpxV2-VIaZWO9UtnfZMes_J_qz</t>
  </si>
  <si>
    <t>17641213-5</t>
  </si>
  <si>
    <t>placenciavalenzuela@gmail.com</t>
  </si>
  <si>
    <t>Alfredo Andrés Placencia Valenzuela</t>
  </si>
  <si>
    <t>Baquedano 100, Lota</t>
  </si>
  <si>
    <t>Lota</t>
  </si>
  <si>
    <t>+56971954811</t>
  </si>
  <si>
    <t>5 meses</t>
  </si>
  <si>
    <t>José Placencia 991504796</t>
  </si>
  <si>
    <t>Hpgg71</t>
  </si>
  <si>
    <t>Chevrolet</t>
  </si>
  <si>
    <t>Sail</t>
  </si>
  <si>
    <t>Profesor de matemáticas</t>
  </si>
  <si>
    <t>4 meses</t>
  </si>
  <si>
    <t>Supremo Lider</t>
  </si>
  <si>
    <t>https://drive.google.com/open?id=15g4k3llnhSFJx6XUN_QpGZ0qGP2YFmAf</t>
  </si>
  <si>
    <t>18770447-2</t>
  </si>
  <si>
    <t>texiasl@gmail.com</t>
  </si>
  <si>
    <t>Texias Nicole Lagos Navarrete</t>
  </si>
  <si>
    <t>V. La Esperanza, Calle Dos #525</t>
  </si>
  <si>
    <t>+56954600260</t>
  </si>
  <si>
    <t>8447</t>
  </si>
  <si>
    <t>Frutos secos</t>
  </si>
  <si>
    <t>Yolanda Navarrete ×
+56988117586</t>
  </si>
  <si>
    <t>Kinesiologa</t>
  </si>
  <si>
    <t>13</t>
  </si>
  <si>
    <t>Texias o Te-te</t>
  </si>
  <si>
    <t>https://drive.google.com/open?id=1hpG3aCyIMqorFeNF94J9CcexKTiZ8la5</t>
  </si>
  <si>
    <t>21748001-9</t>
  </si>
  <si>
    <t>dsheward05@gmail.com</t>
  </si>
  <si>
    <t>Darío Alfonso Sheward Castillo</t>
  </si>
  <si>
    <t>Lorenzo Arenas196</t>
  </si>
  <si>
    <t>+56950170657</t>
  </si>
  <si>
    <t>1 Semestre</t>
  </si>
  <si>
    <t>Pamela Castillo - +56956093205</t>
  </si>
  <si>
    <t>2 años y medio</t>
  </si>
  <si>
    <t>Desde marzo de 2025- Este semestre</t>
  </si>
  <si>
    <t>Sheward</t>
  </si>
  <si>
    <t>https://drive.google.com/open?id=1bIpWmvLd0QGrmKJyXDRjrZvJth8vx_Ag</t>
  </si>
  <si>
    <t>21261995-7</t>
  </si>
  <si>
    <t>maturana.emilia21@gmail.com</t>
  </si>
  <si>
    <t>Emilia Belén Maturana Valverde</t>
  </si>
  <si>
    <t>Prat 555, casa 25</t>
  </si>
  <si>
    <t>+56978779116</t>
  </si>
  <si>
    <t>Sagrados Corazones</t>
  </si>
  <si>
    <t>Mariela Valverde 998798969</t>
  </si>
  <si>
    <t>PCJK33</t>
  </si>
  <si>
    <t>Subaru</t>
  </si>
  <si>
    <t>XV</t>
  </si>
  <si>
    <t>Emi</t>
  </si>
  <si>
    <t>https://drive.google.com/open?id=1VzQHHu5pw-hU2HxpklrEcfs-_s8ITDH2</t>
  </si>
  <si>
    <t>20021994-5</t>
  </si>
  <si>
    <t>sofiaisabelmc@gmail.com</t>
  </si>
  <si>
    <t>Sofía Isabel Martínez Clavería</t>
  </si>
  <si>
    <t>Los naranjos 112</t>
  </si>
  <si>
    <t>+56999225725</t>
  </si>
  <si>
    <t>Asistente de unidad (también de grupo)</t>
  </si>
  <si>
    <t>Sergio Martínez 994994234</t>
  </si>
  <si>
    <t>Sofi M</t>
  </si>
  <si>
    <t>https://drive.google.com/open?id=1L37tEdGSEETwkiTKF5IePjYpBAXJL_F6</t>
  </si>
  <si>
    <t>21098317-1</t>
  </si>
  <si>
    <t>antomm002@gmail.com</t>
  </si>
  <si>
    <t>Antonia Isabel Venegas Larrere</t>
  </si>
  <si>
    <t>Cuarta Longitudinal 563</t>
  </si>
  <si>
    <t>+56942538502</t>
  </si>
  <si>
    <t>Tatiana Larrere +56987593355</t>
  </si>
  <si>
    <t>Estudiante de Trabajo Social</t>
  </si>
  <si>
    <t>13 años</t>
  </si>
  <si>
    <t>Anto</t>
  </si>
  <si>
    <t>https://drive.google.com/open?id=1mUCdGuVkKlPq-AoM9hAxYmRoslyUpAnf</t>
  </si>
  <si>
    <t>21027384-0</t>
  </si>
  <si>
    <t>c.silvamolina2@gmail.com</t>
  </si>
  <si>
    <t>Carolina Francisca Silva Molina</t>
  </si>
  <si>
    <t>Obispo dionisio cimbron #388, villa los cipreces, Camilo Henriquez</t>
  </si>
  <si>
    <t>+56966604575</t>
  </si>
  <si>
    <t>Intolerancia a la lactosa, alergia al cerdo, alergia leche en polvo</t>
  </si>
  <si>
    <t>Subluxación patelofemoral ambas rodillas</t>
  </si>
  <si>
    <t>Mónica Molina Ulloa/ 986669970</t>
  </si>
  <si>
    <t>15 años</t>
  </si>
  <si>
    <t>1 año y un semestre</t>
  </si>
  <si>
    <t>Caro</t>
  </si>
  <si>
    <t>https://drive.google.com/open?id=1V-TjdGOCxTDcKZwQuHe41pl2SiuaTQ7L</t>
  </si>
  <si>
    <t>19157712-4</t>
  </si>
  <si>
    <t>fbonfimm@gmail.com</t>
  </si>
  <si>
    <t>Fernanda Javiera Pérez Figueroa</t>
  </si>
  <si>
    <t>Carlos Varela 56</t>
  </si>
  <si>
    <t>+56936336569</t>
  </si>
  <si>
    <t>Responsable de unidad manada</t>
  </si>
  <si>
    <t>Desde septiembre de 2023</t>
  </si>
  <si>
    <t>Alimentaria: Intoterancia a la lactosa, apio, coco, nueces. Medicamentos: pseudoefedrina, ranitidina, ciprofloxacino, penicilina, clorfenamina, prednisona.  Otras: yodo.,</t>
  </si>
  <si>
    <t>Valeska Figueroa (madre) +56987206067</t>
  </si>
  <si>
    <t>Estudiante universitaria</t>
  </si>
  <si>
    <t>Casi 2 años</t>
  </si>
  <si>
    <t>Fer</t>
  </si>
  <si>
    <t>https://drive.google.com/open?id=1xKVkIzmWmRfBMMfuFJ2EKHmzS6EuZjox</t>
  </si>
  <si>
    <t>21137969-3</t>
  </si>
  <si>
    <t>angelabelenmc@gmail.com</t>
  </si>
  <si>
    <t>Angela Belén Martínez Clavería</t>
  </si>
  <si>
    <t>Los naranjos 112, Villa el aromo</t>
  </si>
  <si>
    <t>+56950112060</t>
  </si>
  <si>
    <t>Sergio +56994994234</t>
  </si>
  <si>
    <t>Estudiante Medicina Veterinaria</t>
  </si>
  <si>
    <t>2 años (este será mi cuarto semestre)</t>
  </si>
  <si>
    <t>Angela</t>
  </si>
  <si>
    <t>https://drive.google.com/open?id=1CSzORn4zsoIUa6jsFKHX0IutQiLscxys</t>
  </si>
  <si>
    <t>alvarotoleseguel@gmail.com</t>
  </si>
  <si>
    <t>Álvaro Andrés Toledo Seguel</t>
  </si>
  <si>
    <t>Esmeralda #245, El Carmen</t>
  </si>
  <si>
    <t>+56978485507</t>
  </si>
  <si>
    <t>Oriana Seguel +56956330192</t>
  </si>
  <si>
    <t>Nutricionista</t>
  </si>
  <si>
    <t>AlvaroTole</t>
  </si>
  <si>
    <t>https://drive.google.com/open?id=19Zsq_cOJfzq-SrR8plPTGgr5m6qlA2L0</t>
  </si>
  <si>
    <t>21765475-0</t>
  </si>
  <si>
    <t>camilafgt.cg@gmail.com</t>
  </si>
  <si>
    <t>Camila Francisca Guala Troncoso</t>
  </si>
  <si>
    <t>libertad 149 casa 8</t>
  </si>
  <si>
    <t>+56981509663</t>
  </si>
  <si>
    <t>2 -3 meses</t>
  </si>
  <si>
    <t>Ignacio Guala +56 9 5627 7663</t>
  </si>
  <si>
    <t>Trabajo de un año y hasta la fecha en voluntario de psicología</t>
  </si>
  <si>
    <t>Cami Guala</t>
  </si>
  <si>
    <t>https://drive.google.com/open?id=1xdBbNftznU4glK8grEaeN-67vj68E8_K</t>
  </si>
  <si>
    <t>21254120-6</t>
  </si>
  <si>
    <t>c.rodriguezvargas2@uandresbello.edu</t>
  </si>
  <si>
    <t>Camila Andrea Rodriguez Vargas</t>
  </si>
  <si>
    <t>Marques de aviles 164</t>
  </si>
  <si>
    <t>+56933499983</t>
  </si>
  <si>
    <t>1 año y 6 meses</t>
  </si>
  <si>
    <t>Anemia ferropenica. Hiperlordosis lumbar.</t>
  </si>
  <si>
    <t>Faviana Vargas +56968692036</t>
  </si>
  <si>
    <t>8 años aprox</t>
  </si>
  <si>
    <t>Neta</t>
  </si>
  <si>
    <t>https://drive.google.com/open?id=19a1GKki_navatnr-h7qpgH7Tj5jYRVc8</t>
  </si>
  <si>
    <t>21951620-7</t>
  </si>
  <si>
    <t>santiagoconstenla2003@gmail.com</t>
  </si>
  <si>
    <t>Santiago Khalil Constenla Arias</t>
  </si>
  <si>
    <t>Pasaje 1 #1389, Villa Los Magnolios, Concepción</t>
  </si>
  <si>
    <t>+56933855952</t>
  </si>
  <si>
    <t>1 semestre y medio</t>
  </si>
  <si>
    <t>Virginia Arias +56979969754</t>
  </si>
  <si>
    <t>Santi</t>
  </si>
  <si>
    <t>https://drive.google.com/open?id=1u1kfEgcJU8FdB4wpPPpswZH49bLSaHPA</t>
  </si>
  <si>
    <t>17206911-8</t>
  </si>
  <si>
    <t>birlita2425@gmail.com</t>
  </si>
  <si>
    <t>Berlangue Carolaine Weisser Caniumil</t>
  </si>
  <si>
    <t>Población porvenir pasaje 21 casa 2916 chiguayante</t>
  </si>
  <si>
    <t>Asitente de unidad</t>
  </si>
  <si>
    <t>Ronald , 934324705</t>
  </si>
  <si>
    <t>Pglr19</t>
  </si>
  <si>
    <t>Kia</t>
  </si>
  <si>
    <t>Sportage</t>
  </si>
  <si>
    <t>Tecnico parvulo</t>
  </si>
  <si>
    <t>No fui beneficiaria</t>
  </si>
  <si>
    <t>8 años fundacion integra, rucapeñihue lobatos  4 meses</t>
  </si>
  <si>
    <t>Berlan</t>
  </si>
  <si>
    <t>https://drive.google.com/open?id=11aZ-_U-6QnY_YuJfgUS3C2RhGl64XUsJ</t>
  </si>
  <si>
    <t>diego.henriquez.valenzuela@gmail.com</t>
  </si>
  <si>
    <t>Diego Henríquez Valenzuela</t>
  </si>
  <si>
    <t>Chacabuco 882</t>
  </si>
  <si>
    <t>+56978893177</t>
  </si>
  <si>
    <t>Representante de Unidad</t>
  </si>
  <si>
    <t>Marcela Valenzuela, +56982348332</t>
  </si>
  <si>
    <t>Ingeniería civil informática</t>
  </si>
  <si>
    <t>5 años y medio</t>
  </si>
  <si>
    <t>Diego</t>
  </si>
  <si>
    <t>https://drive.google.com/open?id=1vKksIdNliZPULlya4FmfDh6fmlsyOAZ3</t>
  </si>
  <si>
    <t>21698615-6</t>
  </si>
  <si>
    <t>kathyaf2004@gmail.com</t>
  </si>
  <si>
    <t>Katherine Jahel Acuña Farias</t>
  </si>
  <si>
    <t>Calle 6 4408</t>
  </si>
  <si>
    <t>+56920403606</t>
  </si>
  <si>
    <t>Santa Bárbara</t>
  </si>
  <si>
    <t>Exequiel Acuña +56953974086</t>
  </si>
  <si>
    <t>Kathy</t>
  </si>
  <si>
    <t>https://drive.google.com/open?id=1KjtWP-_ZNkJvCu0KSie9hU6VRP7ETTaO</t>
  </si>
  <si>
    <t>21006509-1</t>
  </si>
  <si>
    <t>catalinatorresmunoz@gmail.com</t>
  </si>
  <si>
    <t>Catalina Torres Muñoz</t>
  </si>
  <si>
    <t>Los castaños 356, chiguayante</t>
  </si>
  <si>
    <t>+56990901635</t>
  </si>
  <si>
    <t>Damián torres +56952242094</t>
  </si>
  <si>
    <t>https://drive.google.com/open?id=1G7vMmbBdZ6jm6xvHIDPV_e7XinGrK_1X</t>
  </si>
  <si>
    <t>16139761-K</t>
  </si>
  <si>
    <t>paulina86.fuentealba@gmail.com</t>
  </si>
  <si>
    <t>Paulina Andrea Fuentealba Gutiérrez</t>
  </si>
  <si>
    <t>Felipe cubillos #737 villa el rosario 2</t>
  </si>
  <si>
    <t>+56977088145</t>
  </si>
  <si>
    <t>Patricio Garrido Contreras</t>
  </si>
  <si>
    <t>FYHH98</t>
  </si>
  <si>
    <t>CAMIONETA D MAX</t>
  </si>
  <si>
    <t>profesora</t>
  </si>
  <si>
    <t>Evangelica</t>
  </si>
  <si>
    <t>Pauly</t>
  </si>
  <si>
    <t>https://drive.google.com/open?id=1iP9IVreAmK8UTr8MNcLx5BAGxuOVLTlM</t>
  </si>
  <si>
    <t>20195612-9</t>
  </si>
  <si>
    <t>tio0kta721@gmail.com</t>
  </si>
  <si>
    <t>Octavio Antonio Cortés Lara</t>
  </si>
  <si>
    <t>Pasaje Veintiuno casa 163 Villa cap</t>
  </si>
  <si>
    <t>+56944222693</t>
  </si>
  <si>
    <t>+ de 1 año</t>
  </si>
  <si>
    <t>Carolina Lara +56965964389</t>
  </si>
  <si>
    <t>Estudiante universitario</t>
  </si>
  <si>
    <t>+10 años</t>
  </si>
  <si>
    <t>+ 1 año</t>
  </si>
  <si>
    <t>Okta</t>
  </si>
  <si>
    <t>https://drive.google.com/open?id=1pndqZazLC8srjSK2jIOvEbpo-zr6zqzK</t>
  </si>
  <si>
    <t>20921553-5</t>
  </si>
  <si>
    <t>antu06rodriguez@gmail.com</t>
  </si>
  <si>
    <t>Antonia Belén Rodriguez Garay</t>
  </si>
  <si>
    <t>yerbas buenas 035 El Carmen</t>
  </si>
  <si>
    <t>+56991291269</t>
  </si>
  <si>
    <t>karen garay +56954645944</t>
  </si>
  <si>
    <t>https://drive.google.com/open?id=1tifaEyk-gUg3jVhLW3_cTX2y4s-YAaA-</t>
  </si>
  <si>
    <t>19425691-4</t>
  </si>
  <si>
    <t>ferni.2102@gmail.com</t>
  </si>
  <si>
    <t>Fernanda Nicol Lagos González</t>
  </si>
  <si>
    <t>Carrera pinto 54</t>
  </si>
  <si>
    <t>+56958015932</t>
  </si>
  <si>
    <t>Espíritu Santo</t>
  </si>
  <si>
    <t>Responsable de unidad lobato</t>
  </si>
  <si>
    <t>Patricia González 989911386</t>
  </si>
  <si>
    <t>Técnico en enfermería y estudiando ingeniería en administración de empresas</t>
  </si>
  <si>
    <t>Feña</t>
  </si>
  <si>
    <t>https://drive.google.com/open?id=1Wx8VJlghjLPyg3p2N-XFGzHp9QIqfNS_</t>
  </si>
  <si>
    <t>19715480-2</t>
  </si>
  <si>
    <t>nleivavillalobos@gmail.com</t>
  </si>
  <si>
    <t>Nicole Belén Leiva Villalobos</t>
  </si>
  <si>
    <t>Los Mayas 1857</t>
  </si>
  <si>
    <t>+56975867205</t>
  </si>
  <si>
    <t>Desde Marzo 2025</t>
  </si>
  <si>
    <t>Sergio Leiva Pacheco +5678652504</t>
  </si>
  <si>
    <t>Profesora de Educación Diferencial</t>
  </si>
  <si>
    <t>Nicole</t>
  </si>
  <si>
    <t>https://drive.google.com/open?id=1MPxm8cbEzeoiWJuOIQ41y-_B0igdJyAa</t>
  </si>
  <si>
    <t>21875658-1</t>
  </si>
  <si>
    <t>ignaciabelmar.m@gmail.com</t>
  </si>
  <si>
    <t>Mariaignacia Paulina Belmar Manríquez</t>
  </si>
  <si>
    <t>camino a navidad km 3</t>
  </si>
  <si>
    <t>+56972887651</t>
  </si>
  <si>
    <t>Sustente de unidad</t>
  </si>
  <si>
    <t>Paulina Manríquez  +56972153495</t>
  </si>
  <si>
    <t>Nachita</t>
  </si>
  <si>
    <t>https://drive.google.com/open?id=1NObHQUR0muo6Gs62B2J1szH90FR_BSrI</t>
  </si>
  <si>
    <t>21239488-2</t>
  </si>
  <si>
    <t>utreras.rocio@gmail.com</t>
  </si>
  <si>
    <t>Rocío Andrea Utreras Troncoso</t>
  </si>
  <si>
    <t>Pasaje Guillermo Cox Lira 31f Lorenzo Arenas</t>
  </si>
  <si>
    <t>+56944373252</t>
  </si>
  <si>
    <t>Responsable de unidad y coordinadora distrital rama golondrinas</t>
  </si>
  <si>
    <t>1 año y 2 meses</t>
  </si>
  <si>
    <t>Claudia Troncoso (mamá) 9 9396 1301</t>
  </si>
  <si>
    <t>FR GW 41</t>
  </si>
  <si>
    <t>Nissan</t>
  </si>
  <si>
    <t>March</t>
  </si>
  <si>
    <t>Marzo 2011 a enero 2024</t>
  </si>
  <si>
    <t>1 año 2 meses</t>
  </si>
  <si>
    <t>CHIO ♪(๑ᴖ◡ᴖ๑)♪</t>
  </si>
  <si>
    <t>https://drive.google.com/open?id=1Bozge3s3bh2UnlxVaMNR8W_bi_FhwVkbSZ1WD-CGtS0</t>
  </si>
  <si>
    <t>21591571-9</t>
  </si>
  <si>
    <t>carlandreacn@gmail.com</t>
  </si>
  <si>
    <t>Carla Andrea Contreras Novoa</t>
  </si>
  <si>
    <t>colo colo 210</t>
  </si>
  <si>
    <t>+56964778314</t>
  </si>
  <si>
    <t>Asistente de compañía</t>
  </si>
  <si>
    <t>Soledad Novoa +56949258108</t>
  </si>
  <si>
    <t>aprox 8-9 años</t>
  </si>
  <si>
    <t>aprox un año y medio</t>
  </si>
  <si>
    <t>https://drive.google.com/open?id=1BDGYlJ9PUp8C25K1917W2GafP6QLKgAG</t>
  </si>
  <si>
    <t>21448774-8</t>
  </si>
  <si>
    <t>italovergara2003@gmail.com</t>
  </si>
  <si>
    <t>Italo Gustavo Vergara Pacheco</t>
  </si>
  <si>
    <t>Sevilla 0536</t>
  </si>
  <si>
    <t>Italo vergara +56988394580</t>
  </si>
  <si>
    <t>Alrededor de 2 años</t>
  </si>
  <si>
    <t>Italo</t>
  </si>
  <si>
    <t>https://drive.google.com/open?id=1BWpQS5u8jtSKviRCwaeFwBjPAVOyvVf0</t>
  </si>
  <si>
    <t>18828110-9</t>
  </si>
  <si>
    <t>gabriela.cabrera.cortez25@gmail.com</t>
  </si>
  <si>
    <t>Gabriela Solange Cabrera Cortez</t>
  </si>
  <si>
    <t>Merino Jarpa 341</t>
  </si>
  <si>
    <t>+56971623617</t>
  </si>
  <si>
    <t>Comenzando</t>
  </si>
  <si>
    <t>Matías Mora +56941126596</t>
  </si>
  <si>
    <t>Cosmetóloga</t>
  </si>
  <si>
    <t>Nunca</t>
  </si>
  <si>
    <t>Gaby</t>
  </si>
  <si>
    <t>https://drive.google.com/open?id=1z0RW1T2U4Vjoj3nKjzJXZsfw6VtdrJlO</t>
  </si>
  <si>
    <t>21099023-2</t>
  </si>
  <si>
    <t>milovan283@gmail.com</t>
  </si>
  <si>
    <t>Milovan Christopher Jesús San Martín Manríquez</t>
  </si>
  <si>
    <t>Las violetas 2924</t>
  </si>
  <si>
    <t>+56949327487</t>
  </si>
  <si>
    <t>Dos años</t>
  </si>
  <si>
    <t>Mariano San Martín +56978507141</t>
  </si>
  <si>
    <t>Diez años</t>
  </si>
  <si>
    <t>Si, he trabajo con NNAJ como dirigente Scout durante 2 años</t>
  </si>
  <si>
    <t>Miloo</t>
  </si>
  <si>
    <t>https://drive.google.com/open?id=1-swV4syp1LeOILmICRUAH3bJdEzByYVC</t>
  </si>
  <si>
    <t>21338943-2</t>
  </si>
  <si>
    <t>erikjesusantonio@gmail.com</t>
  </si>
  <si>
    <t>Erik Jesus Antonio Mariqueo Rodriguez</t>
  </si>
  <si>
    <t>Villa La Esperanza, Calle 1 #488.</t>
  </si>
  <si>
    <t>+56957461773</t>
  </si>
  <si>
    <t>Yolanda Rodríguez Ruiz - 9 99160825</t>
  </si>
  <si>
    <t>Gastronomo</t>
  </si>
  <si>
    <t>Eriii</t>
  </si>
  <si>
    <t>https://drive.google.com/open?id=1qwR6vnd4HVZmeJUM_7xnAVeHHsaQbXGL</t>
  </si>
  <si>
    <t>21609731-9</t>
  </si>
  <si>
    <t>martinqnt05@gmail.com</t>
  </si>
  <si>
    <t>Martin Nicolas Quintana Bravo</t>
  </si>
  <si>
    <t>Callejon San Juan, camino a Pinto</t>
  </si>
  <si>
    <t>Lorena 9 86232588</t>
  </si>
  <si>
    <t>Martín</t>
  </si>
  <si>
    <t>https://drive.google.com/open?id=12raDTrqR1RjiK-AytP4XkAC10kscHq1L</t>
  </si>
  <si>
    <t>21218725-9</t>
  </si>
  <si>
    <t>rafafitamedel7@gmail.com</t>
  </si>
  <si>
    <t>Rafaela Medel Bustamante</t>
  </si>
  <si>
    <t>Ríos 2323 #9 villa Barcelona</t>
  </si>
  <si>
    <t>+56944773131</t>
  </si>
  <si>
    <t>2 años aprox</t>
  </si>
  <si>
    <t>Carmen Gloria Bustamante +56998171763</t>
  </si>
  <si>
    <t>Educadora de parvulos</t>
  </si>
  <si>
    <t>Rafa</t>
  </si>
  <si>
    <t>https://drive.google.com/open?id=1dQr4GKE5OqhGwqdOLb1AlgPzSxPRn3Ky</t>
  </si>
  <si>
    <t>21721885-3</t>
  </si>
  <si>
    <t>nicofigueroa2k04@gmail.com</t>
  </si>
  <si>
    <t>Nicolás Andrés Figueroa Orellana</t>
  </si>
  <si>
    <t>Los Angeles 264</t>
  </si>
  <si>
    <t>+56957143597</t>
  </si>
  <si>
    <t>Asistente de Tropa</t>
  </si>
  <si>
    <t>Lorena Orellana - +56997426872</t>
  </si>
  <si>
    <t>Estudiante de Psicología</t>
  </si>
  <si>
    <t>https://drive.google.com/open?id=1NF9GVVXR0nQdeoVt5MALgzTYp0BpLr_D</t>
  </si>
  <si>
    <t>21412999-K</t>
  </si>
  <si>
    <t>sebabravo1810@gmail.com</t>
  </si>
  <si>
    <t>Sebastián Alejandro Bravo García</t>
  </si>
  <si>
    <t>Psje Radium 861</t>
  </si>
  <si>
    <t>+56993960099</t>
  </si>
  <si>
    <t>Responsable de grupo</t>
  </si>
  <si>
    <t>Huevo frito, huevo revuelto, huevo pochado</t>
  </si>
  <si>
    <t>Viviana García +56976809698</t>
  </si>
  <si>
    <t>Bachiller en Comunicación</t>
  </si>
  <si>
    <t>https://drive.google.com/open?id=108aSDgry3C_hhtqBxheda9mlG-Sq5ADw</t>
  </si>
  <si>
    <t>20618777-8</t>
  </si>
  <si>
    <t>tomasespinozamunz@gmail.com</t>
  </si>
  <si>
    <t>Tomas Alberto Espinoza Muñoz</t>
  </si>
  <si>
    <t>Marsella 2200 villa Francia</t>
  </si>
  <si>
    <t>+56995536960</t>
  </si>
  <si>
    <t>Carlos Espinoza 991520272</t>
  </si>
  <si>
    <t>Fvlt36</t>
  </si>
  <si>
    <t>Ford</t>
  </si>
  <si>
    <t>Ranger</t>
  </si>
  <si>
    <t>Administrador en ecoturismo</t>
  </si>
  <si>
    <t>.</t>
  </si>
  <si>
    <t>Tomás</t>
  </si>
  <si>
    <t>https://drive.google.com/open?id=1wkGkIAaztx8Nfsv_brRFG4I85PZzS8ni</t>
  </si>
  <si>
    <t>21540865-5</t>
  </si>
  <si>
    <t>valentinavrgs17@gmail.com</t>
  </si>
  <si>
    <t>Valentina Scarleth Vargas Rios</t>
  </si>
  <si>
    <t>general cruz 1051</t>
  </si>
  <si>
    <t>+56934109286</t>
  </si>
  <si>
    <t>1 año y 3 meses</t>
  </si>
  <si>
    <t>alergia al diclofenaco</t>
  </si>
  <si>
    <t>Carlos Vargas +56989458501</t>
  </si>
  <si>
    <t>SZDX50</t>
  </si>
  <si>
    <t>Jetour</t>
  </si>
  <si>
    <t>Dashing</t>
  </si>
  <si>
    <t>Vale</t>
  </si>
  <si>
    <t>https://drive.google.com/open?id=1fcSp7g2Sxu6n1Jkn1Q3YfN6i91sXJJsv</t>
  </si>
  <si>
    <t>15206532-9</t>
  </si>
  <si>
    <t>ysandovalm@gmail.com</t>
  </si>
  <si>
    <t>Yertty Karina Sandoval Muñoz</t>
  </si>
  <si>
    <t>Lote 1A Hijuela san sebastian camino santa barbara km 12,8</t>
  </si>
  <si>
    <t>+56954687949</t>
  </si>
  <si>
    <t>El Latex y metales</t>
  </si>
  <si>
    <t>Benjamín Troncoso  +56935029883</t>
  </si>
  <si>
    <t>BR-VL 64</t>
  </si>
  <si>
    <t>Santa Fe</t>
  </si>
  <si>
    <t>Artesana</t>
  </si>
  <si>
    <t>Kary</t>
  </si>
  <si>
    <t>https://drive.google.com/open?id=1YnyYjXNVmBqD5FBZdphjZB4yJ5e7KyFx</t>
  </si>
  <si>
    <t>21437691-1</t>
  </si>
  <si>
    <t>alfredo.soto.perez@gmail.com</t>
  </si>
  <si>
    <t>Alfredo Osvaldo Soto Perez</t>
  </si>
  <si>
    <t>Las trancas 173 Lomas de san sebastian</t>
  </si>
  <si>
    <t>Teresa Perez. 954189053</t>
  </si>
  <si>
    <t>estudiante de ingeniería comercial</t>
  </si>
  <si>
    <t>Alfredo</t>
  </si>
  <si>
    <t>https://drive.google.com/open?id=1wkSuowAVt-NviWjWcppHd8NyXLJ14WEE</t>
  </si>
  <si>
    <t>20000855-3</t>
  </si>
  <si>
    <t>alainsebastian.c.v@gmail.com</t>
  </si>
  <si>
    <t>Alain Sebastian Cereceda Venegas</t>
  </si>
  <si>
    <t>cuatro poniente 825</t>
  </si>
  <si>
    <t>+56937824627</t>
  </si>
  <si>
    <t>San Francisco</t>
  </si>
  <si>
    <t>marcia venegas 977278192</t>
  </si>
  <si>
    <t>ingeniero en finanzas-tesorero</t>
  </si>
  <si>
    <t>3.5 años</t>
  </si>
  <si>
    <t>Alain</t>
  </si>
  <si>
    <t>https://drive.google.com/open?id=1hfSWJrMjM-0WdIzj0DyNwgcZtDX-oR-e</t>
  </si>
  <si>
    <t>21089732-1</t>
  </si>
  <si>
    <t>psobreviav@gmail.com</t>
  </si>
  <si>
    <t>Paula Constanza Antonia Sobrevía Valenzuela</t>
  </si>
  <si>
    <t>Pasaje doce 5854</t>
  </si>
  <si>
    <t>Eduardo Sobrevía +56990995954</t>
  </si>
  <si>
    <t>2 años 2meses</t>
  </si>
  <si>
    <t>Paula</t>
  </si>
  <si>
    <t>https://drive.google.com/open?id=1-ldxBumd6MEEFHjLkPUVoOgiSxZ957ee</t>
  </si>
  <si>
    <t>16009047-2</t>
  </si>
  <si>
    <t>daniburguz1630@gmail.com</t>
  </si>
  <si>
    <t>Daniela Monserrat Burgos Guzmán</t>
  </si>
  <si>
    <t>Los cerezos 4105</t>
  </si>
  <si>
    <t>+56994922124</t>
  </si>
  <si>
    <t>Epilepsia</t>
  </si>
  <si>
    <t>Francisco Hidalgo +56 9 6537 6045</t>
  </si>
  <si>
    <t>Técnico en Educación Especial</t>
  </si>
  <si>
    <t>Trabaje uña año en Bandada y dos en Manada</t>
  </si>
  <si>
    <t>Yeye</t>
  </si>
  <si>
    <t>https://drive.google.com/open?id=1SFeQSk_FVbdHCoU0xOGsg4moHq6GADF9</t>
  </si>
  <si>
    <t>18947308-7</t>
  </si>
  <si>
    <t>mg.thalia.f@gmail.com</t>
  </si>
  <si>
    <t>Thalía Scarlett Fernández Sierra</t>
  </si>
  <si>
    <t>Valle hermoso</t>
  </si>
  <si>
    <t>Los Álamos</t>
  </si>
  <si>
    <t>+56941568452</t>
  </si>
  <si>
    <t>Responsable de unidad de Lobatos</t>
  </si>
  <si>
    <t>6 meses</t>
  </si>
  <si>
    <t>Leocadio Bastías, +56989350459</t>
  </si>
  <si>
    <t>T.U AGROPECUARIA</t>
  </si>
  <si>
    <t>No fui beneficiario</t>
  </si>
  <si>
    <t>Taly</t>
  </si>
  <si>
    <t>https://drive.google.com/open?id=12txDRHQ2UrXvEG595rWNtJYZVMdWUYB-</t>
  </si>
  <si>
    <t>karina.martinez.navarro@gmail.com</t>
  </si>
  <si>
    <t>Karina Belen Antonella Martinez Navarro</t>
  </si>
  <si>
    <t>Seminario 112</t>
  </si>
  <si>
    <t>Ana navarro 997273745</t>
  </si>
  <si>
    <t>Estudiante de obstetricia</t>
  </si>
  <si>
    <t>Kari</t>
  </si>
  <si>
    <t>https://drive.google.com/open?id=1a10kQAh0hBbkRwZE0DPGtyl6LqfIrunf</t>
  </si>
  <si>
    <t>21125989-2</t>
  </si>
  <si>
    <t>jocefinaloyola@gmail.com</t>
  </si>
  <si>
    <t>Jocefina Loyola</t>
  </si>
  <si>
    <t>San Francisco 1295</t>
  </si>
  <si>
    <t>+56975908017</t>
  </si>
  <si>
    <t>Alergia a los productos del mar, excepto pescados</t>
  </si>
  <si>
    <t>990521472</t>
  </si>
  <si>
    <t>Estudiante de Terapia Ocupacional</t>
  </si>
  <si>
    <t>Jocee</t>
  </si>
  <si>
    <t>https://drive.google.com/open?id=14H1ZhokNpf8DEe5LYX8Ou5xQGaO0frWx</t>
  </si>
  <si>
    <t>15687768-9</t>
  </si>
  <si>
    <t>wprambs@gmail.com</t>
  </si>
  <si>
    <t>Waleska Elizabeth Prambs Levín</t>
  </si>
  <si>
    <t>Martinez de Rosas 137</t>
  </si>
  <si>
    <t>+56994861311</t>
  </si>
  <si>
    <t>San Mateo Osorno</t>
  </si>
  <si>
    <t>Asistente de Golondrinas</t>
  </si>
  <si>
    <t>Magdalena Carrasco +56942184138</t>
  </si>
  <si>
    <t>QODIAK</t>
  </si>
  <si>
    <t>Waleska</t>
  </si>
  <si>
    <t>https://drive.google.com/open?id=1PHmpNamQeRdMP63N3qo2uEEpcyMO4_6C</t>
  </si>
  <si>
    <t>16774006-5</t>
  </si>
  <si>
    <t>stephany.concha@virginiogomez.cl</t>
  </si>
  <si>
    <t>Stephany Alejandra Concha Zapata</t>
  </si>
  <si>
    <t>Pasaje tres, 865 salinas talcahuano</t>
  </si>
  <si>
    <t>+56947608082</t>
  </si>
  <si>
    <t>Guiadora</t>
  </si>
  <si>
    <t>Pablo Marín +56926339785</t>
  </si>
  <si>
    <t>Prevencionista de riesgos</t>
  </si>
  <si>
    <t>4</t>
  </si>
  <si>
    <t>Stefy</t>
  </si>
  <si>
    <t>https://drive.google.com/open?id=18hh0XoJq1pTMFkOP_3sogBchbwCgWNsZ</t>
  </si>
  <si>
    <t>San Pedro De La Paz</t>
  </si>
  <si>
    <t>17199463-2</t>
  </si>
  <si>
    <t>20852142-K</t>
  </si>
  <si>
    <t>20648561-2</t>
  </si>
  <si>
    <t>19725767-9</t>
  </si>
  <si>
    <t>20019984-7</t>
  </si>
  <si>
    <t>22098684-5</t>
  </si>
  <si>
    <t>+56956656604</t>
  </si>
  <si>
    <t>+56964856859</t>
  </si>
  <si>
    <t>+56982309761</t>
  </si>
  <si>
    <t>+56973953441</t>
  </si>
  <si>
    <t>+56984087831</t>
  </si>
  <si>
    <t>+56934467257</t>
  </si>
  <si>
    <t>+56967020262</t>
  </si>
  <si>
    <t>+56954189051</t>
  </si>
  <si>
    <t>+56957002094</t>
  </si>
  <si>
    <t>+56996814332</t>
  </si>
  <si>
    <t>@gmail.com</t>
  </si>
  <si>
    <t>@uandresbello.edu</t>
  </si>
  <si>
    <t>@virginiogomez.cl</t>
  </si>
  <si>
    <t>Total Biobío</t>
  </si>
  <si>
    <t>Total Zona Ñuble</t>
  </si>
  <si>
    <t>Total Concepción</t>
  </si>
  <si>
    <t>Total Nahuelbuta</t>
  </si>
  <si>
    <t>Total Rio Andalién</t>
  </si>
  <si>
    <t>Total Sagrada Familia</t>
  </si>
  <si>
    <t>Total Mahuidanche</t>
  </si>
  <si>
    <t>Total Rañileufu</t>
  </si>
  <si>
    <t>Total Rucapeñihue</t>
  </si>
  <si>
    <t>Total Sagrados Corazones</t>
  </si>
  <si>
    <t>Total San Ignacio de Loyola</t>
  </si>
  <si>
    <t>Total Huilliche</t>
  </si>
  <si>
    <t>Total Namuncura</t>
  </si>
  <si>
    <t>Total Santa Bárbara</t>
  </si>
  <si>
    <t>Total Salesianos Concepción</t>
  </si>
  <si>
    <t>Total Alfa Cruz</t>
  </si>
  <si>
    <t>Total Espíritu Santo</t>
  </si>
  <si>
    <t>Total Helen Keller</t>
  </si>
  <si>
    <t>Total Santa Cecilia</t>
  </si>
  <si>
    <t>Total Nuestra señora del pilar</t>
  </si>
  <si>
    <t>Total Aliwen kimün</t>
  </si>
  <si>
    <t>Total San Francisco</t>
  </si>
  <si>
    <t>Total La Montaña</t>
  </si>
  <si>
    <t>Total San Bartolomé</t>
  </si>
  <si>
    <t>SI - Anulado</t>
  </si>
  <si>
    <t>SI - En Espera</t>
  </si>
  <si>
    <t>Total Lobatos</t>
  </si>
  <si>
    <t>Total Pioneros</t>
  </si>
  <si>
    <t>Total Scouts</t>
  </si>
  <si>
    <t>19736352-5</t>
  </si>
  <si>
    <t>thiareazapata@gmail.com</t>
  </si>
  <si>
    <t>Thiare Aylin Aguilera Zapata</t>
  </si>
  <si>
    <t>av octavio jara wolff 2080 casa 44</t>
  </si>
  <si>
    <t>+56968146979</t>
  </si>
  <si>
    <t>989071365 (Eugenia zapata)</t>
  </si>
  <si>
    <t>Ing en biotecnologia vegetal</t>
  </si>
  <si>
    <t>Thiare</t>
  </si>
  <si>
    <t>https://drive.google.com/open?id=1_2qswd7ztXBBKxMoQm1riGMbRwLnfbMA</t>
  </si>
  <si>
    <t>20623385-0</t>
  </si>
  <si>
    <t>ralarconn3@gmail.com</t>
  </si>
  <si>
    <t>Renata Valentina Alarcón Muñoz</t>
  </si>
  <si>
    <t>Pasaje 12 casa 916 Villa Huascar</t>
  </si>
  <si>
    <t>+56990138737</t>
  </si>
  <si>
    <t>Hector Alarcón +56994120784</t>
  </si>
  <si>
    <t>No consumo lactosa</t>
  </si>
  <si>
    <t>Reno</t>
  </si>
  <si>
    <t>https://drive.google.com/open?id=1vNA_wBq1KFmmoH8oGCvWuC0Ku-zNQTQ_</t>
  </si>
  <si>
    <t>21065520-4</t>
  </si>
  <si>
    <t>constanza.mora.r16@gmail.com</t>
  </si>
  <si>
    <t>Constanza Muriel Mora Robles</t>
  </si>
  <si>
    <t>Luz Alcazar 769 villa los profesores</t>
  </si>
  <si>
    <t>+56988947281</t>
  </si>
  <si>
    <t>Nancy robles y 997789939</t>
  </si>
  <si>
    <t>Coni mora</t>
  </si>
  <si>
    <t>https://drive.google.com/open?id=1okOSesvkEXVG5O8RemgE-ZiVeD9CjNr-ARWW6whavoI</t>
  </si>
  <si>
    <t>16139416-5</t>
  </si>
  <si>
    <t>pablo.marin.05@gmail.com</t>
  </si>
  <si>
    <t>Pablo Andres Marin Mansilla</t>
  </si>
  <si>
    <t>calle biobio, pasaje 2 casa 1625</t>
  </si>
  <si>
    <t>+56926339785</t>
  </si>
  <si>
    <t>desde el 2024</t>
  </si>
  <si>
    <t>victor Marin 978792562</t>
  </si>
  <si>
    <t>lkxd-13</t>
  </si>
  <si>
    <t>changan</t>
  </si>
  <si>
    <t>cx70</t>
  </si>
  <si>
    <t>ninguna</t>
  </si>
  <si>
    <t>no lo fui</t>
  </si>
  <si>
    <t>Pablo</t>
  </si>
  <si>
    <t>https://drive.google.com/open?id=18yZhnbb7GAo6sQc-oa9L28tByIe4w4Pz</t>
  </si>
  <si>
    <t>19598321-6</t>
  </si>
  <si>
    <t>hermosillasebastian8@gmail.com</t>
  </si>
  <si>
    <t>Sebastián Gilberto Hermosilla Miño</t>
  </si>
  <si>
    <t>Jaime Repullo 1315</t>
  </si>
  <si>
    <t>+56967391936</t>
  </si>
  <si>
    <t>Asistente de Clan/Responsable de Grupo</t>
  </si>
  <si>
    <t>10529</t>
  </si>
  <si>
    <t>Gilberto Hermosilla +56957785426</t>
  </si>
  <si>
    <t>LY FL 50</t>
  </si>
  <si>
    <t>Qashqai</t>
  </si>
  <si>
    <t>Ingeniero de Ejecución en Mecánica</t>
  </si>
  <si>
    <t>https://drive.google.com/open?id=1TIZk6L0-rtdlIFZccajKWRtdx9V-R4Hy</t>
  </si>
  <si>
    <t>31</t>
  </si>
  <si>
    <t>24</t>
  </si>
  <si>
    <t>23</t>
  </si>
  <si>
    <t>25</t>
  </si>
  <si>
    <t>35</t>
  </si>
  <si>
    <t>22</t>
  </si>
  <si>
    <t>19</t>
  </si>
  <si>
    <t>40</t>
  </si>
  <si>
    <t>20</t>
  </si>
  <si>
    <t>45</t>
  </si>
  <si>
    <t>34</t>
  </si>
  <si>
    <t>21</t>
  </si>
  <si>
    <t>30</t>
  </si>
  <si>
    <t>38</t>
  </si>
  <si>
    <t>29</t>
  </si>
  <si>
    <t>26</t>
  </si>
  <si>
    <t>27</t>
  </si>
  <si>
    <t>36</t>
  </si>
  <si>
    <t>39</t>
  </si>
  <si>
    <t>28</t>
  </si>
  <si>
    <t>42</t>
  </si>
  <si>
    <t>37</t>
  </si>
  <si>
    <t>Total Inmaculada Concepción de Talcahuano</t>
  </si>
  <si>
    <t>PARTICIPANTES POR DISTRITO</t>
  </si>
  <si>
    <t>Etiquetas de fila</t>
  </si>
  <si>
    <t>N° Parti.</t>
  </si>
  <si>
    <t>Sebastián Hormazábal Madrid</t>
  </si>
  <si>
    <t>Camino a Reposo S/N, Km 0780</t>
  </si>
  <si>
    <t>Responsable de Unidad // Director de Distrito</t>
  </si>
  <si>
    <t>7</t>
  </si>
  <si>
    <t>Scarleth Jara //+56 9 9142 9448</t>
  </si>
  <si>
    <t>Ingeniero Ambiental</t>
  </si>
  <si>
    <t>6</t>
  </si>
  <si>
    <t>9</t>
  </si>
  <si>
    <t>https://drive.google.com/open?id=1ONfmyM3ZbOiI-iikMpP9fw_bjPhec9nt</t>
  </si>
  <si>
    <t>Pato</t>
  </si>
  <si>
    <t>aldo.arevalo.rodriguez@gmail.com</t>
  </si>
  <si>
    <t>24 años</t>
  </si>
  <si>
    <t>Carolina Sepúlveda  - +56987329470</t>
  </si>
  <si>
    <t>BFDH62</t>
  </si>
  <si>
    <t>Mitsubishi</t>
  </si>
  <si>
    <t>Lancer</t>
  </si>
  <si>
    <t>Ingeniero en Computación e Informática</t>
  </si>
  <si>
    <t>Aldo</t>
  </si>
  <si>
    <t>https://drive.google.com/open?id=1totP1UkP_cXVtSXUxnPWcNZMI23NMxgI</t>
  </si>
  <si>
    <t>Quinchamalí 9322 Parque Biobío</t>
  </si>
  <si>
    <t>Coordinador Distrital Rama Pioneros</t>
  </si>
  <si>
    <t>Victor Chavez +56992721014</t>
  </si>
  <si>
    <t>RSFP-38</t>
  </si>
  <si>
    <t>Chery</t>
  </si>
  <si>
    <t>Tiggo 2</t>
  </si>
  <si>
    <t>Ingeniero Civil Industrial</t>
  </si>
  <si>
    <t>5</t>
  </si>
  <si>
    <t>Cris</t>
  </si>
  <si>
    <t>https://drive.google.com/open?id=1r0WuaHydDZ0276D-L2M7KOprXg3Hy1a8</t>
  </si>
  <si>
    <t>17400182-0</t>
  </si>
  <si>
    <t>Los Cristales 316</t>
  </si>
  <si>
    <t>Responsable Unidad - CDV</t>
  </si>
  <si>
    <t>Ana Pajarito 969171548</t>
  </si>
  <si>
    <t>JGHR52</t>
  </si>
  <si>
    <t>Ingeniero Geomático</t>
  </si>
  <si>
    <t>Ivo B.</t>
  </si>
  <si>
    <t>https://drive.google.com/open?id=1TRr1XCtHPS7GYLvDLNY19i_QSSuIeGyb</t>
  </si>
  <si>
    <t>Total Salesiano</t>
  </si>
  <si>
    <t>Zona La Frontera</t>
  </si>
  <si>
    <t>Zona Los Lagos</t>
  </si>
  <si>
    <t>20778093-6</t>
  </si>
  <si>
    <t>alonsovillablancaf@gmail.com</t>
  </si>
  <si>
    <t>Alonso Javier Villablanca Figueroa</t>
  </si>
  <si>
    <t>Pedro Aguirre Cerda 1699 Dpto H.</t>
  </si>
  <si>
    <t>+56966862742</t>
  </si>
  <si>
    <t>10978</t>
  </si>
  <si>
    <t>Marcia figueroa +56993515385</t>
  </si>
  <si>
    <t>Alonsetee</t>
  </si>
  <si>
    <t>https://drive.google.com/open?id=1n3fdLYQPIPZbi-J8Nn3Yu5n4L1FzVOGR</t>
  </si>
  <si>
    <t>Carlos Gerardo Hormazábal Saez</t>
  </si>
  <si>
    <t>Villa Cayucupil 696. Km12. Cañete</t>
  </si>
  <si>
    <t>Responsable de Unidad - Coordinador DIstrital de Voluntariado - Coordinador Zonal de Rama - Coordinador Nacional de Cursos Institucionales</t>
  </si>
  <si>
    <t>Diabetes - Hipertensión - Colesterol Alto</t>
  </si>
  <si>
    <t>Anita Madrid 993598234</t>
  </si>
  <si>
    <t>Psicólogo</t>
  </si>
  <si>
    <t>ninguno</t>
  </si>
  <si>
    <t>Católico</t>
  </si>
  <si>
    <t>Carlos</t>
  </si>
  <si>
    <t>https://drive.google.com/open?id=1T9uEXqPh8Nwzq-6i4dnjq9P1PoWG1Yg6</t>
  </si>
  <si>
    <t>52</t>
  </si>
  <si>
    <t>Total Zona Los Lagos</t>
  </si>
  <si>
    <t>Total Zona La Frontera</t>
  </si>
  <si>
    <t>@guiasyscoutschile.cl</t>
  </si>
  <si>
    <t>Total Monte Kenya</t>
  </si>
  <si>
    <t>Apoyo a Formadores</t>
  </si>
  <si>
    <t>12700415-3</t>
  </si>
  <si>
    <t>cristianurratrabajo@gmail.com</t>
  </si>
  <si>
    <t>Cristian Julian Ernesto Urra Parra</t>
  </si>
  <si>
    <t>CAMINO LOS QUILLAYES KM 2.5 INTERIOR TOMÉ</t>
  </si>
  <si>
    <t>Tome</t>
  </si>
  <si>
    <t>Responsable Manada y Asistente Grupo</t>
  </si>
  <si>
    <t>Esteban Celis 977707916</t>
  </si>
  <si>
    <t>Enfermero</t>
  </si>
  <si>
    <t>0 años</t>
  </si>
  <si>
    <t>25 años</t>
  </si>
  <si>
    <t>Cristian</t>
  </si>
  <si>
    <t>https://drive.google.com/open?id=1VqOERYaL2Wsnm07IZEzF7tCoCwjBG2r9</t>
  </si>
  <si>
    <t>51</t>
  </si>
  <si>
    <t>16490600-0</t>
  </si>
  <si>
    <t>luisalfredoburgoscontreras@gmail.com</t>
  </si>
  <si>
    <t>Luis Alfredo Burgos Contreras</t>
  </si>
  <si>
    <t>servia 3127 poblacion el solar</t>
  </si>
  <si>
    <t>+56977008466</t>
  </si>
  <si>
    <t>alejandra luna +56979775151</t>
  </si>
  <si>
    <t>klhp32</t>
  </si>
  <si>
    <t>creta</t>
  </si>
  <si>
    <t>tengo dos hijos pequeños y tendre que dejarlos encargados y en ncaso de emergencia me podrian llamar</t>
  </si>
  <si>
    <t>tecnico en construccion</t>
  </si>
  <si>
    <t>de los 7 en lobatos hasta la ruta 19 años</t>
  </si>
  <si>
    <t>luis, lucho</t>
  </si>
  <si>
    <t>https://drive.google.com/open?id=1nEFCK7QcaiRvi6KJc9Jyi7Rzc6OhmtkE</t>
  </si>
  <si>
    <t>20823656-3</t>
  </si>
  <si>
    <t>cami.parra.lillo@gmail.com</t>
  </si>
  <si>
    <t>Camila Parra Lillo</t>
  </si>
  <si>
    <t>Ainavillo 1955</t>
  </si>
  <si>
    <t>+56956731068</t>
  </si>
  <si>
    <t>Rosa Lillo +56956731068</t>
  </si>
  <si>
    <t>Estudiante en trabajo social</t>
  </si>
  <si>
    <t>Cami</t>
  </si>
  <si>
    <t>https://drive.google.com/open?id=1z-WzkyCnYgeYt_QpFgIMpr7LjZBhtBsf</t>
  </si>
  <si>
    <t>21305751-0</t>
  </si>
  <si>
    <t>aabrantepe@gmail.com</t>
  </si>
  <si>
    <t>Antonia Alejandra Brante Peña</t>
  </si>
  <si>
    <t>Las Rosas 1636</t>
  </si>
  <si>
    <t>+56942943701</t>
  </si>
  <si>
    <t>Andrés Brante +56 9 6236 1316</t>
  </si>
  <si>
    <t>Antonia</t>
  </si>
  <si>
    <t>https://drive.google.com/open?id=1eMo8xfYxiHy-kfY4ct9Yw8JiLrcXMqp7</t>
  </si>
  <si>
    <t>19765737-5</t>
  </si>
  <si>
    <t>brunobastian.herrera@gmail.com</t>
  </si>
  <si>
    <t>Bruno Bastian Herrera Sobarzo</t>
  </si>
  <si>
    <t>Maipu 1430</t>
  </si>
  <si>
    <t>+56965835382</t>
  </si>
  <si>
    <t>Natalia: +56 9 3197 4612</t>
  </si>
  <si>
    <t>_</t>
  </si>
  <si>
    <t>Geofisico</t>
  </si>
  <si>
    <t>Kazé(br1)</t>
  </si>
  <si>
    <t>https://drive.google.com/open?id=1bZrjpwnKQR803VBdNNZSsBKbhMM8qGWI</t>
  </si>
  <si>
    <t>13387134-9</t>
  </si>
  <si>
    <t>rivera583@gmail.com</t>
  </si>
  <si>
    <t>Solange Andrea Ruiz Rivera</t>
  </si>
  <si>
    <t>Condell 480</t>
  </si>
  <si>
    <t>+56952054822</t>
  </si>
  <si>
    <t>Nicolás +56952054822</t>
  </si>
  <si>
    <t>Sole</t>
  </si>
  <si>
    <t>https://drive.google.com/open?id=1ObNCJM4k0x7RYWPoVIa3cJZCIzRLvwSP</t>
  </si>
  <si>
    <t>46</t>
  </si>
  <si>
    <t>20973166-5</t>
  </si>
  <si>
    <t>francine.smith.martinez@gmail.com</t>
  </si>
  <si>
    <t>Francine Anaís Smith Martínez</t>
  </si>
  <si>
    <t>psje, Juana Ross de Edwards 649, Conjunto residencial las palmeras, Collao</t>
  </si>
  <si>
    <t>+56940174341</t>
  </si>
  <si>
    <t>Mabel Martínez +56976481960</t>
  </si>
  <si>
    <t>Estudiante de arquitectura</t>
  </si>
  <si>
    <t>Francine</t>
  </si>
  <si>
    <t>https://drive.google.com/open?id=1E3j7U2Q6kuX9D_hd2JnEawsfKAYCO0QP</t>
  </si>
  <si>
    <t>San Eulogio 416</t>
  </si>
  <si>
    <t>Aida Muñoz, madre +5667777454</t>
  </si>
  <si>
    <t>HDDF-12</t>
  </si>
  <si>
    <t>Suzuki</t>
  </si>
  <si>
    <t>Grand Nomade</t>
  </si>
  <si>
    <t>Ori</t>
  </si>
  <si>
    <t>https://drive.google.com/open?id=1bbhfQVbjzIFcPKWsXYwLkwVTImpv6xsxMwufXBgA3DY</t>
  </si>
  <si>
    <t>Avenida Los Copihues 286</t>
  </si>
  <si>
    <t>Coordinadora Zonal de Rama Pioneros y Pioneras</t>
  </si>
  <si>
    <t>Guias, Pioneros</t>
  </si>
  <si>
    <t>Morrón/Pimentón</t>
  </si>
  <si>
    <t>Raúl Alarcón, 974909538</t>
  </si>
  <si>
    <t>GRWX47</t>
  </si>
  <si>
    <t>Morning</t>
  </si>
  <si>
    <t>Liseet</t>
  </si>
  <si>
    <t>https://drive.google.com/open?id=1PlPQhl9tUGlMI1sGT-qRa_CxWkOvIwK2</t>
  </si>
  <si>
    <t>treycer_c@hotmail.com</t>
  </si>
  <si>
    <t>Treycer Nivor Castillo Rojas</t>
  </si>
  <si>
    <t>Minero Pedro Huerta Riquelme 2270 la peña coronel</t>
  </si>
  <si>
    <t>+56992368169</t>
  </si>
  <si>
    <t>8066</t>
  </si>
  <si>
    <t>Amanda 949936315</t>
  </si>
  <si>
    <t>Titi</t>
  </si>
  <si>
    <t>https://drive.google.com/open?id=1-D5DpxyCJuiDZ98KbR0IgR1JqzM1Db2x</t>
  </si>
  <si>
    <t>Ana Carolina Madrid  Canivilo</t>
  </si>
  <si>
    <t>+56993509234</t>
  </si>
  <si>
    <t>Comisionada Nacional de Administración  Y Asistente de Bandada</t>
  </si>
  <si>
    <t>8667</t>
  </si>
  <si>
    <t>Carlos Hormazábal  Saez</t>
  </si>
  <si>
    <t>SZ SH 12</t>
  </si>
  <si>
    <t>Camioneta Montana</t>
  </si>
  <si>
    <t>Psicóloga - Tecnico en Adm de Empresas</t>
  </si>
  <si>
    <t>30 añoa</t>
  </si>
  <si>
    <t>https://drive.google.com/open?id=1ghiVKp1Gv7gelWXMftUezBju0fN1ek6n</t>
  </si>
  <si>
    <t>Colón 8185 depto 208 b parque Ligure hualpen</t>
  </si>
  <si>
    <t>Comisión rama golondrina</t>
  </si>
  <si>
    <t>Miembro comisión golondrinas</t>
  </si>
  <si>
    <t>Matías villarroel Vera  +56 9 7510 2463</t>
  </si>
  <si>
    <t>Educadora de párvulos</t>
  </si>
  <si>
    <t>Romi</t>
  </si>
  <si>
    <t>https://drive.google.com/open?id=1CXaJ3owPhP0TKnYglUh8tDdGxMUOFh5d</t>
  </si>
  <si>
    <t>camino san luis parcela 4</t>
  </si>
  <si>
    <t>+56987889287</t>
  </si>
  <si>
    <t>Coordinador zonal rama golondrinas</t>
  </si>
  <si>
    <t>Albina Espinoza - 984256625</t>
  </si>
  <si>
    <t>-</t>
  </si>
  <si>
    <t>Ismael</t>
  </si>
  <si>
    <t>https://drive.google.com/open?id=1pRsw0aQ56I5UhK3KZ2XqDYD2WKkH4Mo5</t>
  </si>
  <si>
    <t>brojas@guiasyscoutschile.cl</t>
  </si>
  <si>
    <t>Avenida Santa María 7550. Depto 404 Torre B. Condominio Los Triunfadores, Valle Santa María.</t>
  </si>
  <si>
    <t>Equipo Nacional</t>
  </si>
  <si>
    <t>Formador</t>
  </si>
  <si>
    <t>11 años.</t>
  </si>
  <si>
    <t>Laury Salas / +56966463641</t>
  </si>
  <si>
    <t>KV7682</t>
  </si>
  <si>
    <t>Peugeot</t>
  </si>
  <si>
    <t>309 GTR</t>
  </si>
  <si>
    <t>Licenciado en Ciencias Forestales</t>
  </si>
  <si>
    <t>Braulio</t>
  </si>
  <si>
    <t>https://drive.google.com/open?id=1fn3i5jXTDHoDMJB25Lcnp9rQ44SsD4I8</t>
  </si>
  <si>
    <t>Eric Edison Eduardo Muñoz Beltran</t>
  </si>
  <si>
    <t>Pio Baroja 1541</t>
  </si>
  <si>
    <t>Pedro Muñoz, 94320599</t>
  </si>
  <si>
    <t>Ingeniero Civil Electrónico</t>
  </si>
  <si>
    <t>Eric</t>
  </si>
  <si>
    <t>https://drive.google.com/open?id=1i5nWGimh6gLFc95G0J_O32HtznOCTqeI</t>
  </si>
  <si>
    <t>+56977809683</t>
  </si>
  <si>
    <t>16765815-6</t>
  </si>
  <si>
    <t>@hotmail.com</t>
  </si>
  <si>
    <t>Total Buen Pastor</t>
  </si>
  <si>
    <t>Total Comisión rama golondrina</t>
  </si>
  <si>
    <t>Total Equipo Zonal</t>
  </si>
  <si>
    <t>Total Equipo Nacional</t>
  </si>
  <si>
    <t>Total Golondrinas</t>
  </si>
  <si>
    <t>Talcahuano - Hualpén</t>
  </si>
  <si>
    <t>20680877-2</t>
  </si>
  <si>
    <t>bvillasolar@gmail.com</t>
  </si>
  <si>
    <t>Benjamin Alejandro Villa Solar</t>
  </si>
  <si>
    <t>2 oriente 61 poblacion esmeralda</t>
  </si>
  <si>
    <t>+56957767911</t>
  </si>
  <si>
    <t>Nadia solar +56997566570</t>
  </si>
  <si>
    <t>Kinesiologo</t>
  </si>
  <si>
    <t>Benllamon</t>
  </si>
  <si>
    <t>https://drive.google.com/open?id=1T0X__lc4vi9oHfMcip1m9E3KrP33JPZl</t>
  </si>
  <si>
    <t>16898721-8</t>
  </si>
  <si>
    <t>alejandraaluna@gmail.com</t>
  </si>
  <si>
    <t>Alejandra Andrea Luna Gallardo</t>
  </si>
  <si>
    <t>Serbia 3127 sector el solar, block 4 depto 502</t>
  </si>
  <si>
    <t>+56979775151</t>
  </si>
  <si>
    <t>Luis Burgos Contreras +56977008466</t>
  </si>
  <si>
    <t>Luna</t>
  </si>
  <si>
    <t>https://drive.google.com/open?id=1aHBHrS-nWwh4-FmnXYwqettD1CHAYMts</t>
  </si>
  <si>
    <t>20020612-6</t>
  </si>
  <si>
    <t>rocamila98@gmail.com</t>
  </si>
  <si>
    <t>Camila Alejandra Roca Carvajal</t>
  </si>
  <si>
    <t>Cochrane 815</t>
  </si>
  <si>
    <t>Arauco</t>
  </si>
  <si>
    <t>+56958573099</t>
  </si>
  <si>
    <t>Pehuen</t>
  </si>
  <si>
    <t>Asistente de rama</t>
  </si>
  <si>
    <t>Miel</t>
  </si>
  <si>
    <t>Gonsalo Rivas +56957631673</t>
  </si>
  <si>
    <t>Tvzk55</t>
  </si>
  <si>
    <t>2008</t>
  </si>
  <si>
    <t>Soy administradora de una panadería y mi contrato se rige por el artículo 22</t>
  </si>
  <si>
    <t>Ingeniera en Administración</t>
  </si>
  <si>
    <t>https://drive.google.com/open?id=1PDh3AvRik-1L8DZg4qxPiLllaWJnaIYi</t>
  </si>
  <si>
    <t>18807829-K</t>
  </si>
  <si>
    <t>macarena.manutara@gmail.com</t>
  </si>
  <si>
    <t>Macarena Andrea Rodriguez Vidal</t>
  </si>
  <si>
    <t>JORDÁN VALDIVIESO 240, BLOCK 15  DEPTO 22</t>
  </si>
  <si>
    <t>+56977422201</t>
  </si>
  <si>
    <t>Manutara</t>
  </si>
  <si>
    <t>RESPONASABLE DE UNIDAD</t>
  </si>
  <si>
    <t>MIGRAÑA CRONICA</t>
  </si>
  <si>
    <t>JORGE RODRÍGUEZ SEPÚLVEDA +56974977434</t>
  </si>
  <si>
    <t>GHXV-76</t>
  </si>
  <si>
    <t>TOYOTA</t>
  </si>
  <si>
    <t>YARIS GL</t>
  </si>
  <si>
    <t>NO PUEDO QUEDARME A PERNOCTAR.</t>
  </si>
  <si>
    <t>INGENIERO COMERCIAL - INGENIERO DE EJECUCIÓN EN ADMINISTRACIÓN DE EMPRESAS</t>
  </si>
  <si>
    <t>SI, 14 AÑOS</t>
  </si>
  <si>
    <t>BANDADA 6 MESES, COMPAÑÍA 6 MESES, MANADA 1 AÑO Y MEDIO, CLAN 1 AÑO</t>
  </si>
  <si>
    <t>METODISTA</t>
  </si>
  <si>
    <t>MACA</t>
  </si>
  <si>
    <t>https://drive.google.com/open?id=1onPPqhNmKbDyGU8nByRExM37xwxxdepo</t>
  </si>
  <si>
    <t>19615529-5</t>
  </si>
  <si>
    <t>scarletoyarzundiaz@gmail.com</t>
  </si>
  <si>
    <t>Scarlet Denisse Oyarzun Diaz</t>
  </si>
  <si>
    <t>principal 166, cerro zaror</t>
  </si>
  <si>
    <t>+56978458127</t>
  </si>
  <si>
    <t>encargada de unidad</t>
  </si>
  <si>
    <t>sulfa</t>
  </si>
  <si>
    <t>Denisse Diaz 954254276</t>
  </si>
  <si>
    <t>cosmetologa</t>
  </si>
  <si>
    <t>Calee</t>
  </si>
  <si>
    <t>https://drive.google.com/open?id=1BPk900m9TCuaCdr2NtEo60HJz47dyRxE</t>
  </si>
  <si>
    <t>21483687-4</t>
  </si>
  <si>
    <t>barramonserrat101@gmail.com</t>
  </si>
  <si>
    <t>Monserrat Milena Barra Hernández</t>
  </si>
  <si>
    <t>Eduardo Parra 336</t>
  </si>
  <si>
    <t>+56956699258</t>
  </si>
  <si>
    <t>Asistente de bandada</t>
  </si>
  <si>
    <t>Yessica Hernández +56993912547</t>
  </si>
  <si>
    <t>Estudiante de Medicina Veterinaria</t>
  </si>
  <si>
    <t>Monse</t>
  </si>
  <si>
    <t>https://drive.google.com/open?id=1UhVFN0_ZmmeedMI4pAuJFrYr-h0sKIM-</t>
  </si>
  <si>
    <t>16738221-5</t>
  </si>
  <si>
    <t>rominaandrea.de@gmail.com</t>
  </si>
  <si>
    <t>Romina Andrea Daza Espinoza</t>
  </si>
  <si>
    <t>Gibraltar 2718</t>
  </si>
  <si>
    <t>+56990602354</t>
  </si>
  <si>
    <t>Alergia a los mariscos y asma</t>
  </si>
  <si>
    <t>Nancy Espinoza +56 9 5638 5203</t>
  </si>
  <si>
    <t>Estudiante de Kinesiología</t>
  </si>
  <si>
    <t>https://drive.google.com/open?id=1E1zZjxMwqEIA1_63X0hzW6QiRxW90smmC7g-kUyXDDo</t>
  </si>
  <si>
    <t>Equipo distrital biobio</t>
  </si>
  <si>
    <t>Equipo de voluntariado</t>
  </si>
  <si>
    <t>6882</t>
  </si>
  <si>
    <t>Eloy Bascur +56999309709</t>
  </si>
  <si>
    <t>GCRR87</t>
  </si>
  <si>
    <t>No como embutidos</t>
  </si>
  <si>
    <t>Bioquímico</t>
  </si>
  <si>
    <t>Daniela Bascur</t>
  </si>
  <si>
    <t>https://drive.google.com/open?id=1xs5BONbdDRm3YZhNfODaCYuK6-fpJGXy</t>
  </si>
  <si>
    <t>cobes.r10729@gmail.com</t>
  </si>
  <si>
    <t>Santa Clara 2930 condominio subsole, edificio Sta Laura , depto 407</t>
  </si>
  <si>
    <t>Programas internacionales y especiales</t>
  </si>
  <si>
    <t>Coordinadora de desafíos en equipo vida sana , PIE</t>
  </si>
  <si>
    <t>Pablo Correa +56 9 5284 6149</t>
  </si>
  <si>
    <t>Nutricionista Clínica</t>
  </si>
  <si>
    <t>Aprox 16 años</t>
  </si>
  <si>
    <t>Cote</t>
  </si>
  <si>
    <t>https://drive.google.com/open?id=1LLS_0j9c5M99wRTbsF60FqPJoMICBfAY</t>
  </si>
  <si>
    <t>19797172-K</t>
  </si>
  <si>
    <t>moni.aranguiz.v@gmail.com</t>
  </si>
  <si>
    <t>Mónica Scarlett Aránguiz Venegas</t>
  </si>
  <si>
    <t>Centenario #116 Pobl. Balmaceda</t>
  </si>
  <si>
    <t>+56990350961</t>
  </si>
  <si>
    <t>Directora Zona Unidistrital Ñuble - Asistente de Compañía</t>
  </si>
  <si>
    <t>7 años como guiadora de compañía</t>
  </si>
  <si>
    <t>10536</t>
  </si>
  <si>
    <t>Mónica Venegas Mardones - 985006839</t>
  </si>
  <si>
    <t>Ingeniero Constructor</t>
  </si>
  <si>
    <t>Moni</t>
  </si>
  <si>
    <t>https://drive.google.com/open?id=1lwfDrVLmoCJxBYszK-0c9aBpZChusPLj</t>
  </si>
  <si>
    <t>Chaiten 8024 Depto E201</t>
  </si>
  <si>
    <t>Coordinador Distrital de Voluntarios Distrito Talcahuano Hualpén - Asistente de Unidad Avanzada</t>
  </si>
  <si>
    <t>Asulfa</t>
  </si>
  <si>
    <t>Profesor de Educación Media en Matemática</t>
  </si>
  <si>
    <t>Seba Rojas</t>
  </si>
  <si>
    <t>https://drive.google.com/open?id=1gQe_eo3ee_1XpYVftv2MhdCCZQOqTlKT</t>
  </si>
  <si>
    <t>Total Talcahuano - Hualpén</t>
  </si>
  <si>
    <t>Total Caminantes</t>
  </si>
  <si>
    <t>Total Guias</t>
  </si>
  <si>
    <t>Total Equipo distrital biobio</t>
  </si>
  <si>
    <t>Total Programas internacionales y especiales</t>
  </si>
  <si>
    <t>Total Pehuen</t>
  </si>
  <si>
    <t>Total La Asunción</t>
  </si>
  <si>
    <t>Total Manutara</t>
  </si>
  <si>
    <t>01_02_03</t>
  </si>
  <si>
    <t>07-01-1998</t>
  </si>
  <si>
    <t>19835330-2</t>
  </si>
  <si>
    <t>erickrivas.macaya@gmail.com</t>
  </si>
  <si>
    <t>Erick Alexis Rivas Macaya</t>
  </si>
  <si>
    <t>Jordan Valdivieso 451</t>
  </si>
  <si>
    <t>+56997735872</t>
  </si>
  <si>
    <t>Isis Arriagada +56973899697</t>
  </si>
  <si>
    <t>Guardia de seguridad</t>
  </si>
  <si>
    <t>https://drive.google.com/open?id=1XMXx-5xrunUJgZLw3vjzLTqwX52gXPW8</t>
  </si>
  <si>
    <t>(Varios elementos)</t>
  </si>
  <si>
    <t>Falta</t>
  </si>
  <si>
    <t>Por Confirmar</t>
  </si>
  <si>
    <t>Si</t>
  </si>
  <si>
    <t>LIMITACIONES</t>
  </si>
  <si>
    <t>VEHICULO (Ma/Mo/Pa)</t>
  </si>
  <si>
    <t>ALIMENTACION DEL CURSO</t>
  </si>
  <si>
    <t>Alimentación</t>
  </si>
  <si>
    <t>Chorrillos 436</t>
  </si>
  <si>
    <t>Liceo Alemán del Verbo Divino</t>
  </si>
  <si>
    <t>Asistente de unidad / Equipo Nacional</t>
  </si>
  <si>
    <t>Vivo solo</t>
  </si>
  <si>
    <t>GJKL 81</t>
  </si>
  <si>
    <t>Camioneta</t>
  </si>
  <si>
    <t>Ing. Experto Prevencion de Riesgos</t>
  </si>
  <si>
    <t>8</t>
  </si>
  <si>
    <t>Alexis</t>
  </si>
  <si>
    <t>https://drive.google.com/open?id=1qdVGZNb5imOiGcrrrTpD7j4eQeMU5hEw</t>
  </si>
  <si>
    <t>El Arrayán 310, Villa Los Aromos</t>
  </si>
  <si>
    <t>CZ Programas Internacionales. Asistente de Manada</t>
  </si>
  <si>
    <t>Movilidad poco limitada, Artrosis, ruptura de meniscos, discopatía</t>
  </si>
  <si>
    <t>Nilton Pompeu +56982172589</t>
  </si>
  <si>
    <t>Mg en Actividad física y deporte adaptado, profesora de Educación Física</t>
  </si>
  <si>
    <t>34 años</t>
  </si>
  <si>
    <t>Chivi</t>
  </si>
  <si>
    <t>https://drive.google.com/open?id=1XGdtlVz7Wd8PhGjBLmSWfLhhFpGnif4K</t>
  </si>
  <si>
    <t>Total Liceo Alemán del Verbo Divino</t>
  </si>
  <si>
    <t>Total San Vicente</t>
  </si>
  <si>
    <t>19835395-7</t>
  </si>
  <si>
    <t>ang.michellod@gmail.com</t>
  </si>
  <si>
    <t>Andrés Nicolás González Michellod</t>
  </si>
  <si>
    <t>Vinicio 465</t>
  </si>
  <si>
    <t>+56957612676</t>
  </si>
  <si>
    <t>Lorenzo González 996764508</t>
  </si>
  <si>
    <t>Andrés</t>
  </si>
  <si>
    <t>https://drive.google.com/open?id=1BBfKD2z7SIUZhdvwvnoqsoziKQQqJu3S</t>
  </si>
  <si>
    <t>19834316-1</t>
  </si>
  <si>
    <t>donoso.ce@gmail.com</t>
  </si>
  <si>
    <t>Constanza Belén Donoso González</t>
  </si>
  <si>
    <t>Toulose 968</t>
  </si>
  <si>
    <t>+56995041101</t>
  </si>
  <si>
    <t>Responnsable de unidad</t>
  </si>
  <si>
    <t>1 año y 1 mes</t>
  </si>
  <si>
    <t>Alejandra González 982726091</t>
  </si>
  <si>
    <t>CDTT43</t>
  </si>
  <si>
    <t>Spark</t>
  </si>
  <si>
    <t>no.</t>
  </si>
  <si>
    <t>Profesora de Historia y Geografía</t>
  </si>
  <si>
    <t>3 años y medio</t>
  </si>
  <si>
    <t>Conita Donoso</t>
  </si>
  <si>
    <t>https://drive.google.com/open?id=1opVyi37dL2Ex7qAOskLzGbVU68VqaRXQ</t>
  </si>
  <si>
    <t>20949468-K</t>
  </si>
  <si>
    <t>patricio1642@hotmail.com</t>
  </si>
  <si>
    <t>Patricio Javier Esparza Espinoza</t>
  </si>
  <si>
    <t>Calle Transporte lamar #1642</t>
  </si>
  <si>
    <t>+56962003621</t>
  </si>
  <si>
    <t>Coordinador de la rama scout zona Ñuble</t>
  </si>
  <si>
    <t>Luis Esparza +56978736805</t>
  </si>
  <si>
    <t>Estudiante de Geología</t>
  </si>
  <si>
    <t>1 Años y 3 meses</t>
  </si>
  <si>
    <t>https://drive.google.com/open?id=1R_PgOgz3gX7n2439wjF47ssoVhSHy-8p</t>
  </si>
  <si>
    <t>21572281-3</t>
  </si>
  <si>
    <t>javiera.abril3@gmail.com</t>
  </si>
  <si>
    <t>Javiera Abril Bastías Muñoz</t>
  </si>
  <si>
    <t>Colicheo #15</t>
  </si>
  <si>
    <t>+56964967222</t>
  </si>
  <si>
    <t>Yolanda Muñoz Riveros 955848807</t>
  </si>
  <si>
    <t>Javi</t>
  </si>
  <si>
    <t>https://drive.google.com/open?id=1ZdD096k7UEBUskuSM4n4DugqfpQcnPUR</t>
  </si>
  <si>
    <t>21313286-5</t>
  </si>
  <si>
    <t>clauandreasilvestremaldonado@gmail.com</t>
  </si>
  <si>
    <t>Claudia Andrea Silvestre Maldonado</t>
  </si>
  <si>
    <t>O'higgins 61</t>
  </si>
  <si>
    <t>Yumbel</t>
  </si>
  <si>
    <t>+56961368501</t>
  </si>
  <si>
    <t>San Sebastian</t>
  </si>
  <si>
    <t>Tattiana Maldonado +56993760901</t>
  </si>
  <si>
    <t>Estudiante de nutrición y dietética</t>
  </si>
  <si>
    <t>Cloudy</t>
  </si>
  <si>
    <t>https://drive.google.com/open?id=1wyuw_0jjUNL2W4fV4W2Xn4c6io66PEwy</t>
  </si>
  <si>
    <t>21252064-0</t>
  </si>
  <si>
    <t>gabrirose25@gmail.com</t>
  </si>
  <si>
    <t>Gabriel Alberto Faúndez Vera</t>
  </si>
  <si>
    <t>El arroyo 1198</t>
  </si>
  <si>
    <t>+56949483106</t>
  </si>
  <si>
    <t>+56 9 4408 5154</t>
  </si>
  <si>
    <t>Gabris</t>
  </si>
  <si>
    <t>https://drive.google.com/open?id=1XTaiGgSW1pedP8qtI6cXxnvSPni7Zdto</t>
  </si>
  <si>
    <t>14028528-5</t>
  </si>
  <si>
    <t>caritoandreabarcelona@gmail.com</t>
  </si>
  <si>
    <t>Carolina Andrea Vega Contreras</t>
  </si>
  <si>
    <t>Alcazar 2378 villa Barcelona</t>
  </si>
  <si>
    <t>+56956030526</t>
  </si>
  <si>
    <t>Hipertensa , alérgica a la penicilina y al picante (ají )</t>
  </si>
  <si>
    <t>Marcos Fernandez gallardo 956005748</t>
  </si>
  <si>
    <t>Tens y podóloga</t>
  </si>
  <si>
    <t xml:space="preserve"> No fui beneficiario</t>
  </si>
  <si>
    <t>Cristiana evangélica</t>
  </si>
  <si>
    <t>Carito</t>
  </si>
  <si>
    <t>https://drive.google.com/open?id=1kc30bNpDPq-bNO98nQ8kNWe-gLu8Bo32</t>
  </si>
  <si>
    <t>43</t>
  </si>
  <si>
    <t>12073270-6</t>
  </si>
  <si>
    <t>aolavezagal@gmail.com</t>
  </si>
  <si>
    <t>Angela Alejandra Olave Zagal</t>
  </si>
  <si>
    <t>Francisco Pizarro 1875 Lagunillas Norte</t>
  </si>
  <si>
    <t>+56981567659</t>
  </si>
  <si>
    <t>Tricolor Chileno</t>
  </si>
  <si>
    <t>Ácido clavulánico</t>
  </si>
  <si>
    <t>Nora Zagal +56 9 9820 1717</t>
  </si>
  <si>
    <t>BYHZ49</t>
  </si>
  <si>
    <t>Accent</t>
  </si>
  <si>
    <t>Químico</t>
  </si>
  <si>
    <t>10años</t>
  </si>
  <si>
    <t>3años</t>
  </si>
  <si>
    <t>https://drive.google.com/open?id=1lMZp--DpauktScMVtHRSNzBQauCVkk56</t>
  </si>
  <si>
    <t>16764087-7</t>
  </si>
  <si>
    <t>vivirodriguez.vidal@gmail.com</t>
  </si>
  <si>
    <t>Viviana Alejandra Rodríguez Vidal</t>
  </si>
  <si>
    <t>Claudio gay oriente 3949</t>
  </si>
  <si>
    <t>+56996444971</t>
  </si>
  <si>
    <t>7378</t>
  </si>
  <si>
    <t>Jonathan Álvarez Santander+56985123295</t>
  </si>
  <si>
    <t>FFCC25</t>
  </si>
  <si>
    <t>De bandada a ruta</t>
  </si>
  <si>
    <t>Vivi</t>
  </si>
  <si>
    <t>https://drive.google.com/open?id=1W3OhReslimba6AqacR25jPy4jKdm2vXR</t>
  </si>
  <si>
    <t>19947418-9</t>
  </si>
  <si>
    <t>pedrerosszk@gmail.com</t>
  </si>
  <si>
    <t>Rodrigo Felipe Pedreros Reyes</t>
  </si>
  <si>
    <t>Villa emannuel, Pasaje Santa Magdalena #1669.</t>
  </si>
  <si>
    <t>+56995886415</t>
  </si>
  <si>
    <t>Actualmente Responsable de Unidad y Coordinador Zonal de administracion</t>
  </si>
  <si>
    <t>10696</t>
  </si>
  <si>
    <t>Javiera Cordova +56 9 8620 7151</t>
  </si>
  <si>
    <t>RodrigoFelipe</t>
  </si>
  <si>
    <t>https://drive.google.com/open?id=15nYUBGAXdgeFn9USV2eIBKjdzU-GR2NR</t>
  </si>
  <si>
    <t>Total San Sebastian</t>
  </si>
  <si>
    <t>Total Tricolor Chileno</t>
  </si>
  <si>
    <t>RUT</t>
  </si>
  <si>
    <t>EMail</t>
  </si>
  <si>
    <t>Nombre_Completo</t>
  </si>
  <si>
    <t>Comuna</t>
  </si>
  <si>
    <t>Cuota N° 1</t>
  </si>
  <si>
    <t>Cuota N° 2</t>
  </si>
  <si>
    <t>Cuota N° 3</t>
  </si>
  <si>
    <t>22-03-1999</t>
  </si>
  <si>
    <t>Zoña Ñuble</t>
  </si>
  <si>
    <t>Río ñuble 13</t>
  </si>
  <si>
    <t>Asistente unidad bandada</t>
  </si>
  <si>
    <t>Maritza Pedreros +569 85356970</t>
  </si>
  <si>
    <t>Danii</t>
  </si>
  <si>
    <t>https://drive.google.com/open?id=1crMaS3XGrrAB_jyE9_P1qVkXf42A4ThX</t>
  </si>
  <si>
    <t>20827682-4</t>
  </si>
  <si>
    <t>barbararebolledogonzalez@gmail.com</t>
  </si>
  <si>
    <t>Bárbara Nicole Rebolledo González</t>
  </si>
  <si>
    <t>Brasilia 444, Hualpén</t>
  </si>
  <si>
    <t>+56973073235</t>
  </si>
  <si>
    <t>Alberto Rebolledo +56992194516</t>
  </si>
  <si>
    <t>FD CW 60</t>
  </si>
  <si>
    <t>Pathfinder</t>
  </si>
  <si>
    <t>Estudiante de ingeniería civil industrial</t>
  </si>
  <si>
    <t>Barbi</t>
  </si>
  <si>
    <t>https://drive.google.com/open?id=1rkxgv-vkA7K_HoDLoRqaj2CBNKVSkeEH</t>
  </si>
  <si>
    <t>21388383-6</t>
  </si>
  <si>
    <t>joseantonio17092003@gmail.com</t>
  </si>
  <si>
    <t>José Antonio Poza Pérez</t>
  </si>
  <si>
    <t>Eugenio Brito 73</t>
  </si>
  <si>
    <t>+56961559967</t>
  </si>
  <si>
    <t>Guisela Perez 94007236</t>
  </si>
  <si>
    <t>José Antonio</t>
  </si>
  <si>
    <t>https://drive.google.com/open?id=1FlJVrHKFADAlhdKOJ69ObpW_61nGh_0G</t>
  </si>
  <si>
    <t>20911665-0</t>
  </si>
  <si>
    <t>mancilla.stgo@gmail.com</t>
  </si>
  <si>
    <t>Matías Santiago Mancilla Ríos</t>
  </si>
  <si>
    <t>pasaje san agustín 411</t>
  </si>
  <si>
    <t>+56953951030</t>
  </si>
  <si>
    <t>+56989207116</t>
  </si>
  <si>
    <t>https://drive.google.com/open?id=1jZiiNDddyrO2a6JIBTt53jW7cB3uoOg1</t>
  </si>
  <si>
    <t>21179860-2</t>
  </si>
  <si>
    <t>fsalas067@gmail.com</t>
  </si>
  <si>
    <t>Fernanda Isidora Salas Perez</t>
  </si>
  <si>
    <t>Marco del pont 9514</t>
  </si>
  <si>
    <t>+56945300995</t>
  </si>
  <si>
    <t>Sandra Perez 923921089</t>
  </si>
  <si>
    <t>https://drive.google.com/open?id=16j6JKOXlYxYPF2o4BxbQnJr_pSLz3rn1</t>
  </si>
  <si>
    <t>21616122-K</t>
  </si>
  <si>
    <t>tamiponss@gmail.com</t>
  </si>
  <si>
    <t>Tamara Patricia Ponss Riffo</t>
  </si>
  <si>
    <t>Las dalias 4947</t>
  </si>
  <si>
    <t>+56939046628</t>
  </si>
  <si>
    <t>Patricia Riffo +56973710006</t>
  </si>
  <si>
    <t>Tami ♥</t>
  </si>
  <si>
    <t>https://drive.google.com/open?id=1E8WEw3jToQ2re5SPmQo1nIfBOskn95DM</t>
  </si>
  <si>
    <t>20913656-2</t>
  </si>
  <si>
    <t>ignacio.olivaresh@gmail.com</t>
  </si>
  <si>
    <t>Ignacio Andrés Olivares Hernández</t>
  </si>
  <si>
    <t>Lago Riñihue 156</t>
  </si>
  <si>
    <t>+56940658180</t>
  </si>
  <si>
    <t>Antonieta Hernández +56989759683</t>
  </si>
  <si>
    <t>Ignacio</t>
  </si>
  <si>
    <t>https://drive.google.com/open?id=1_DeVOc_F1cMgu0WcnPjlDRULCGHSODGm</t>
  </si>
  <si>
    <t>20917350-6</t>
  </si>
  <si>
    <t>martina.araa@gmail.com</t>
  </si>
  <si>
    <t>Martina Aravena Rivas</t>
  </si>
  <si>
    <t>Balmaceda 36 Villa Cap</t>
  </si>
  <si>
    <t>+56969065236</t>
  </si>
  <si>
    <t>3 años contando este</t>
  </si>
  <si>
    <t>Lorena Rivas 977667284 (mamá)</t>
  </si>
  <si>
    <t>no tengo</t>
  </si>
  <si>
    <t>Martu</t>
  </si>
  <si>
    <t>https://drive.google.com/open?id=1pweULJandtbKWUyHK6bnba4IUx78wnus</t>
  </si>
  <si>
    <t>16037886-7</t>
  </si>
  <si>
    <t>manuel.borquez29@gmail.com</t>
  </si>
  <si>
    <t>Manuel Alejandro Borquez Maluenda</t>
  </si>
  <si>
    <t>Pasaje pedro aguirre cerda #20</t>
  </si>
  <si>
    <t>+56982295437</t>
  </si>
  <si>
    <t>Encargado de unidad</t>
  </si>
  <si>
    <t>Evelyn lema #962117917</t>
  </si>
  <si>
    <t>Hspj23</t>
  </si>
  <si>
    <t>Tecnico mecanicoen mantencion industrial</t>
  </si>
  <si>
    <t>Manu</t>
  </si>
  <si>
    <t>https://drive.google.com/open?id=1vRag8QK2kx63WsB7fZRISyKIdpLcyBj4</t>
  </si>
  <si>
    <t>21149119-1</t>
  </si>
  <si>
    <t>isidorajara1910@gmail.com</t>
  </si>
  <si>
    <t>Isidora Ignacia Jara Ceballos</t>
  </si>
  <si>
    <t>c cinco 428 Los Fresnos</t>
  </si>
  <si>
    <t>+56998999503</t>
  </si>
  <si>
    <t>Macarena Ceballos +56976623868</t>
  </si>
  <si>
    <t>No tengo todavía, soy estudiante</t>
  </si>
  <si>
    <t>10 años fui beneficiaria</t>
  </si>
  <si>
    <t>Sólo he trabajo en scout con niños y ha sido por 3 años</t>
  </si>
  <si>
    <t>https://drive.google.com/open?id=1vNgRy_EkdhLHQV1kPgvW8ne-QCLE2iYT</t>
  </si>
  <si>
    <t>21467393-2</t>
  </si>
  <si>
    <t>danielyn10@gmail.com</t>
  </si>
  <si>
    <t>Daniel Alonso Sandoval Villanueva</t>
  </si>
  <si>
    <t>camilo henriquez 329</t>
  </si>
  <si>
    <t>+56944550102</t>
  </si>
  <si>
    <t>maritza villanueva +56975649423</t>
  </si>
  <si>
    <t>16 años</t>
  </si>
  <si>
    <t>dani sandoval</t>
  </si>
  <si>
    <t>https://drive.google.com/open?id=1Gatbrr7FQLiiUK-npe6l7dxciwav0V6f</t>
  </si>
  <si>
    <t>21130967-9</t>
  </si>
  <si>
    <t>coniimu@gmail.com</t>
  </si>
  <si>
    <t>Constanza Javiera Muñoz Bello</t>
  </si>
  <si>
    <t>los queules 8956</t>
  </si>
  <si>
    <t>+56965963744</t>
  </si>
  <si>
    <t>asistente de unidad (scout-tropa)</t>
  </si>
  <si>
    <t>marianela bello +56 9 7666 0530</t>
  </si>
  <si>
    <t>SFHF78</t>
  </si>
  <si>
    <t>chery tiggo 3</t>
  </si>
  <si>
    <t>estudiate</t>
  </si>
  <si>
    <t>los meses que llevo siendo guiadora, tres veces por semana</t>
  </si>
  <si>
    <t>coni</t>
  </si>
  <si>
    <t>https://drive.google.com/open?id=10uTdfTus2oknkRVbwP9gNUN-LszSQhx5</t>
  </si>
  <si>
    <t>16395741-8</t>
  </si>
  <si>
    <t>jaimesanhueza249@gmail.com</t>
  </si>
  <si>
    <t>Jaime Antonio Sanhueza Orostica</t>
  </si>
  <si>
    <t>bajin monte cea 585</t>
  </si>
  <si>
    <t>+56952186469</t>
  </si>
  <si>
    <t>942780290 carlos sanhueza</t>
  </si>
  <si>
    <t>conductor de municipalidad</t>
  </si>
  <si>
    <t>antonio</t>
  </si>
  <si>
    <t>https://drive.google.com/open?id=1zchAuoIhDw_tQiOAa9qPAYrHLKCm1MJV</t>
  </si>
  <si>
    <t>16229438-5</t>
  </si>
  <si>
    <t>glorita_021@hotmail.com</t>
  </si>
  <si>
    <t>Gloria Stephanie Olave Zagal</t>
  </si>
  <si>
    <t>MINERO JOSE SANTO BELLO 1115 LA PEÑA 2</t>
  </si>
  <si>
    <t>+56975756741</t>
  </si>
  <si>
    <t>NORA ZAGAL +56998201717</t>
  </si>
  <si>
    <t>TEC. EN ENFERMERIA</t>
  </si>
  <si>
    <t>GLORIA</t>
  </si>
  <si>
    <t>https://drive.google.com/open?id=1pYZB2QOEeGxynhIH3_k7fMDv3b6ffrsi</t>
  </si>
  <si>
    <t>nadiavarela79@gmail.com</t>
  </si>
  <si>
    <t>Nadia Sofía Varela Meza</t>
  </si>
  <si>
    <t>Prieto 144</t>
  </si>
  <si>
    <t>+56974975657</t>
  </si>
  <si>
    <t>Rodrigo Fuentes +56975873478</t>
  </si>
  <si>
    <t>Profesora de Ingles</t>
  </si>
  <si>
    <t>22 años</t>
  </si>
  <si>
    <t>Nadia</t>
  </si>
  <si>
    <t>https://drive.google.com/open?id=1-jrUGZo0JUM8IL9Pfz_s1qzajZN_N6Cx</t>
  </si>
  <si>
    <t>14545408-5</t>
  </si>
  <si>
    <t>datroncoso1@gmail.com</t>
  </si>
  <si>
    <t>Daniel Elias Troncoso Riquelme</t>
  </si>
  <si>
    <t>Hijuela san sebastian lote 1a sector coreo camino santa barbara km12.8</t>
  </si>
  <si>
    <t>±56976866115</t>
  </si>
  <si>
    <t>Asistente  de  manada</t>
  </si>
  <si>
    <t>Benjamin troncoso ±56959132913 /francisco troncoso±56956658142</t>
  </si>
  <si>
    <t>Vrbl64</t>
  </si>
  <si>
    <t>Hyunday</t>
  </si>
  <si>
    <t>Electricista</t>
  </si>
  <si>
    <t>3 a 4 años</t>
  </si>
  <si>
    <t>4 años y 3 meses</t>
  </si>
  <si>
    <t>Dany</t>
  </si>
  <si>
    <t>https://drive.google.com/open?id=10GDWgT2Rhp7AiuAGaBUTw4QD9BgdalQi</t>
  </si>
  <si>
    <t>44</t>
  </si>
  <si>
    <t>20983670-K</t>
  </si>
  <si>
    <t>trinity.pfg@gmail.com</t>
  </si>
  <si>
    <t>Trinidad Ferrada González</t>
  </si>
  <si>
    <t>Chacabuco 1140 dpto 1804, Concepción</t>
  </si>
  <si>
    <t>+56962470347</t>
  </si>
  <si>
    <t>Asistente de Clan</t>
  </si>
  <si>
    <t>Cristian Toledo +569 5473 9415</t>
  </si>
  <si>
    <t>Como colaciones seguido, a veces me descompenso. Si ya me siento mareada, algo salado baja el malestar.</t>
  </si>
  <si>
    <t>Estudiante arquitectura</t>
  </si>
  <si>
    <t>5 años (otras act fuera del movimiento)</t>
  </si>
  <si>
    <t>Trini</t>
  </si>
  <si>
    <t>https://drive.google.com/open?id=11HzF0Tjzt7EoA4_veWsxmsife6o-oOea1ozqbsQQQj8</t>
  </si>
  <si>
    <t>21129923-1</t>
  </si>
  <si>
    <t>josefarebolledogonzalez@gmail.com</t>
  </si>
  <si>
    <t>Josefa Catalina Rebolledo González</t>
  </si>
  <si>
    <t>Brasilia 444,Hualpen</t>
  </si>
  <si>
    <t>+56973073309</t>
  </si>
  <si>
    <t>Responsable de unidad, manada</t>
  </si>
  <si>
    <t>Intolerante a la lactosa</t>
  </si>
  <si>
    <t>Alberto Rebolledo Gatica (papá) +569 92194516</t>
  </si>
  <si>
    <t>CG XG 98</t>
  </si>
  <si>
    <t>Explorer</t>
  </si>
  <si>
    <t>Chichi</t>
  </si>
  <si>
    <t>https://drive.google.com/open?id=138H8U7g4mNy_WPcfgf25JZ48DQAzFR5J</t>
  </si>
  <si>
    <t>21613232-7</t>
  </si>
  <si>
    <t>Lucas Alfredo Fernández Vega</t>
  </si>
  <si>
    <t>Alcazar 2378, Villa Barcelona, Chillán</t>
  </si>
  <si>
    <t>+56933979124</t>
  </si>
  <si>
    <t>9 meses</t>
  </si>
  <si>
    <t>Alergia Al pasto</t>
  </si>
  <si>
    <t>Carolina Vega +56 9 5603 0526</t>
  </si>
  <si>
    <t>Lucas</t>
  </si>
  <si>
    <t>https://drive.google.com/open?id=1zhh4UDM_Ud_M2pLOK-2MfMrb6W-ueJ-b</t>
  </si>
  <si>
    <t>17869632-7</t>
  </si>
  <si>
    <t>jarileivam.24@gmail.com</t>
  </si>
  <si>
    <t>Jari Lorena Leiva Mardones</t>
  </si>
  <si>
    <t>José Miguel infante 419</t>
  </si>
  <si>
    <t>+56982795248</t>
  </si>
  <si>
    <t>Responde de unidad</t>
  </si>
  <si>
    <t>Primer semestre</t>
  </si>
  <si>
    <t>Alérgica a la penicilina</t>
  </si>
  <si>
    <t>Paula acuña 9 9926 3213</t>
  </si>
  <si>
    <t>Podologa</t>
  </si>
  <si>
    <t>12años</t>
  </si>
  <si>
    <t>Jari</t>
  </si>
  <si>
    <t>https://drive.google.com/open?id=15_hOZiUdrJGzAaIndiVsTz_1D3J8HBQ-</t>
  </si>
  <si>
    <t>33</t>
  </si>
  <si>
    <t>20114528-7</t>
  </si>
  <si>
    <t>sgtefhi@gmail.com</t>
  </si>
  <si>
    <t>Estephanie Ninette Salamanca Gutiérrez</t>
  </si>
  <si>
    <t>Maipu 1746</t>
  </si>
  <si>
    <t>+56945755832</t>
  </si>
  <si>
    <t>Responsable de Tropa</t>
  </si>
  <si>
    <t>ambiental, polvo, gatos</t>
  </si>
  <si>
    <t>Wilma Gutiérrez +56945895756</t>
  </si>
  <si>
    <t>Ingeniera en Biotecnología</t>
  </si>
  <si>
    <t>Tefi</t>
  </si>
  <si>
    <t>https://drive.google.com/open?id=1d4X0jiXbyaAuAOa731y9KtudX7UK0H4L</t>
  </si>
  <si>
    <t>20346662-5</t>
  </si>
  <si>
    <t>ayannisvenegas@gmail.com</t>
  </si>
  <si>
    <t>Ayannís Mara Venegas Vargas</t>
  </si>
  <si>
    <t>Calle Raimapu #089</t>
  </si>
  <si>
    <t>Valdivia</t>
  </si>
  <si>
    <t>+56926324484</t>
  </si>
  <si>
    <t>GRUPO PADRE ISMAEL CRUZ</t>
  </si>
  <si>
    <t>ZONA DE LOS RIOS</t>
  </si>
  <si>
    <t>Cotrimoxazol y amoxicilina</t>
  </si>
  <si>
    <t>ELIZABETH VARGAS, +56957216068</t>
  </si>
  <si>
    <t>Tec. en educación parvularia y primer ciclo de enseñanza básica</t>
  </si>
  <si>
    <t>Ayannís</t>
  </si>
  <si>
    <t>https://drive.google.com/open?id=1BAI77qcmO8wuSiQeO5pzd8rhnJRSpZEV</t>
  </si>
  <si>
    <t>Total Peulla</t>
  </si>
  <si>
    <t>En Espera</t>
  </si>
  <si>
    <t>PARTICIPANTES EN ESPERA</t>
  </si>
  <si>
    <t>Por Rama</t>
  </si>
  <si>
    <t>21262310-5</t>
  </si>
  <si>
    <t>matiasessmann@gmail.com</t>
  </si>
  <si>
    <t>Matías Alejandro Castro Essmann</t>
  </si>
  <si>
    <t>Collao 1571</t>
  </si>
  <si>
    <t>+56944723273</t>
  </si>
  <si>
    <t>Tomate crudo</t>
  </si>
  <si>
    <t>Francisco Cruz +56999970414</t>
  </si>
  <si>
    <t>LZLB59</t>
  </si>
  <si>
    <t>1año y 6 meses</t>
  </si>
  <si>
    <t>Matías</t>
  </si>
  <si>
    <t>https://drive.google.com/open?id=1IWNhPg83lnVH1MmdNCy61vkjskWzJWb8</t>
  </si>
  <si>
    <t>21044758-K</t>
  </si>
  <si>
    <t>renata.belen.ramirez@gmail.com</t>
  </si>
  <si>
    <t>Renata Belen Ramirez Merino</t>
  </si>
  <si>
    <t>Calle F 910 casa 15</t>
  </si>
  <si>
    <t>+56971088769</t>
  </si>
  <si>
    <t>Karem merino 982340290</t>
  </si>
  <si>
    <t>Rena</t>
  </si>
  <si>
    <t>https://drive.google.com/open?id=106-BPbpA4mU_YkhNzQDYXWCWOctyqDSp</t>
  </si>
  <si>
    <t>21236548-3</t>
  </si>
  <si>
    <t>broarojas@gmail.com</t>
  </si>
  <si>
    <t>Benjamín Andrés Roa Rojas</t>
  </si>
  <si>
    <t>Enrique moya 178</t>
  </si>
  <si>
    <t>Responsable Unidad Actualmente.</t>
  </si>
  <si>
    <t>997397134</t>
  </si>
  <si>
    <t>ZY505</t>
  </si>
  <si>
    <t>Dodge</t>
  </si>
  <si>
    <t>Dodge DurangoS</t>
  </si>
  <si>
    <t>Estudiante Psicologia</t>
  </si>
  <si>
    <t>11 años aproximadamente.</t>
  </si>
  <si>
    <t xml:space="preserve"> 2 años siendo dirigente, y durante mi formacion universitaria.</t>
  </si>
  <si>
    <t>Benja.</t>
  </si>
  <si>
    <t>https://drive.google.com/open?id=1Pc5RBHaKRlqnHh78xnLMdTWkLYLuyjfI</t>
  </si>
  <si>
    <t>22060019-K</t>
  </si>
  <si>
    <t>vichofuentest@gmail.com</t>
  </si>
  <si>
    <t>Vicente Matias Fuentes Torres</t>
  </si>
  <si>
    <t>Excequiel Plaza 1034</t>
  </si>
  <si>
    <t>+56999065330</t>
  </si>
  <si>
    <t>Pionero</t>
  </si>
  <si>
    <t>Paola Torres +59996394681</t>
  </si>
  <si>
    <t>Vicente</t>
  </si>
  <si>
    <t>https://drive.google.com/open?id=1opQC2_-Q_0s_2yUPjf-zqy8m9l6noasw</t>
  </si>
  <si>
    <t>19596163-8</t>
  </si>
  <si>
    <t>javier.dauros@gmail.com</t>
  </si>
  <si>
    <t>Javier Andres Dauros Hormazabal</t>
  </si>
  <si>
    <t>Laguna Logalindo 883</t>
  </si>
  <si>
    <t>+56998047156</t>
  </si>
  <si>
    <t>Asistente de Unidad / Asistente de Grupo</t>
  </si>
  <si>
    <t>Camila Diaz +56967783337</t>
  </si>
  <si>
    <t>JVSX-81</t>
  </si>
  <si>
    <t>MAZDA</t>
  </si>
  <si>
    <t>CX-5</t>
  </si>
  <si>
    <t>Quizás no pueda pernoctar en el lugar del curso, debido a las responsabilidades con mi hija</t>
  </si>
  <si>
    <t>Dauros</t>
  </si>
  <si>
    <t>https://drive.google.com/open?id=1tlWf6VDk8BXrsuDaekiXc2qT376n3lNs</t>
  </si>
  <si>
    <t>21198146-6</t>
  </si>
  <si>
    <t>chifuuuxc@gmail.com</t>
  </si>
  <si>
    <t>Catalina Ignacia Pérez Ramos</t>
  </si>
  <si>
    <t>General Hernán Merino Correa 497, salinas</t>
  </si>
  <si>
    <t>+56973834520</t>
  </si>
  <si>
    <t>La Ascensión</t>
  </si>
  <si>
    <t>Asistente de Unidad Manada</t>
  </si>
  <si>
    <t>Desde inicios del 2024 como guiadora ( 1 año y 2 meses aprox)</t>
  </si>
  <si>
    <t>Hipotiroidismo</t>
  </si>
  <si>
    <t>Bruno Pérez (Papá) +56966818633</t>
  </si>
  <si>
    <t>Profesora en formación de educación diferencial</t>
  </si>
  <si>
    <t>Catita P.</t>
  </si>
  <si>
    <t>https://drive.google.com/open?id=1dTmxF9whA20880iTtf5TOcmlkKWvhYAr</t>
  </si>
  <si>
    <t>21219951-6</t>
  </si>
  <si>
    <t>tw.lozanopp@gmail.com</t>
  </si>
  <si>
    <t>Ignacio Andrés Lozano Urra</t>
  </si>
  <si>
    <t>Carlos Dittborn 3678, Villa San Martin, Talcahuano</t>
  </si>
  <si>
    <t>Carolina Urra (Madre) +56 9 7578 5107</t>
  </si>
  <si>
    <t>Administrador Gastronomico</t>
  </si>
  <si>
    <t>1 año y 2 mesea</t>
  </si>
  <si>
    <t>https://drive.google.com/open?id=1IHVXceatXSmBW3883maHquDjCrbqF7GM</t>
  </si>
  <si>
    <t>19808577-4</t>
  </si>
  <si>
    <t>liz.fernanda.6811@gmail.com</t>
  </si>
  <si>
    <t>Liz Fernanda Bolomey Reske</t>
  </si>
  <si>
    <t>Bombero Fuentes 45</t>
  </si>
  <si>
    <t>+56957939592</t>
  </si>
  <si>
    <t>Este es mi segundo año</t>
  </si>
  <si>
    <t>Jacqueline Reske +56978779023</t>
  </si>
  <si>
    <t>Profesora de matemática</t>
  </si>
  <si>
    <t>Liz</t>
  </si>
  <si>
    <t>https://drive.google.com/open?id=1QIP_Kr1lDnGB0OsjRlmNAV5tv5aX3LkE</t>
  </si>
  <si>
    <t>17040813-6</t>
  </si>
  <si>
    <t>felipeinostrozaloaiza@gmail.com</t>
  </si>
  <si>
    <t>Felipe Adrian Inostroza Loaiza</t>
  </si>
  <si>
    <t>Los Condores 471</t>
  </si>
  <si>
    <t>+56966537314</t>
  </si>
  <si>
    <t>Miriam Loaiza +56 9 6738 0301</t>
  </si>
  <si>
    <t>CRJC</t>
  </si>
  <si>
    <t>Alto</t>
  </si>
  <si>
    <t>Ingeniero informático</t>
  </si>
  <si>
    <t>Felipe</t>
  </si>
  <si>
    <t>https://drive.google.com/open?id=1x6Em_-gFTbAgTL0KYdu8Xf58N4PtAY4d</t>
  </si>
  <si>
    <t>21789622-3</t>
  </si>
  <si>
    <t>m.hunter.u05@gmail.com</t>
  </si>
  <si>
    <t>Matías Antonio Hunter Urrutia</t>
  </si>
  <si>
    <t>H Vallejos 1497</t>
  </si>
  <si>
    <t>+56949173132</t>
  </si>
  <si>
    <t>Pasto, polvo</t>
  </si>
  <si>
    <t>Daniela Urrutia +56990782716</t>
  </si>
  <si>
    <t>1 semestre</t>
  </si>
  <si>
    <t>MatiHU</t>
  </si>
  <si>
    <t>https://drive.google.com/open?id=1YKKooNu-FPxaiT1mI5Qoy1cWacgo0JZz</t>
  </si>
  <si>
    <t>21931418-3</t>
  </si>
  <si>
    <t>mgdavinson@gmail.com</t>
  </si>
  <si>
    <t>Miguel Alfonso Gutierrez Davinson</t>
  </si>
  <si>
    <t>diagonal bio bio #180 Candelaria</t>
  </si>
  <si>
    <t>+56935807934</t>
  </si>
  <si>
    <t>alergia a los mariscos</t>
  </si>
  <si>
    <t>Elba Rosa Manriquez Lema, +56941025036</t>
  </si>
  <si>
    <t>Remi</t>
  </si>
  <si>
    <t>https://drive.google.com/open?id=1gOU7d0MeFfq2JfhwugbSpA8b69ftKvai</t>
  </si>
  <si>
    <t>19336099-8</t>
  </si>
  <si>
    <t>franciscaalveara@gmail.com</t>
  </si>
  <si>
    <t>Francisca Ivelice Alvear Aguilar</t>
  </si>
  <si>
    <t>Lago llanquihue 172</t>
  </si>
  <si>
    <t>+56977546707</t>
  </si>
  <si>
    <t>Celia Aguilar +56956984763</t>
  </si>
  <si>
    <t>Ingeniera Ambiental</t>
  </si>
  <si>
    <t>Fran</t>
  </si>
  <si>
    <t>https://drive.google.com/open?id=1Ezryy94Ad7fDIcywqCVlAtkE57bwFXgB</t>
  </si>
  <si>
    <t>20977871-8</t>
  </si>
  <si>
    <t>ibarraherrera28@gmail.com</t>
  </si>
  <si>
    <t>Ignacio Vicente Iñaki Ibarra Herrera</t>
  </si>
  <si>
    <t>Siete norte N15 poblacion esmeralda</t>
  </si>
  <si>
    <t>+56941686052</t>
  </si>
  <si>
    <t>Lorraine Herrera+56986029827</t>
  </si>
  <si>
    <t>Chef</t>
  </si>
  <si>
    <t>https://drive.google.com/open?id=1rlfhEs5aBdSN0c2H6ariwWJ3UyMTFAyy</t>
  </si>
  <si>
    <t>fmoragaescobar@gmail.com</t>
  </si>
  <si>
    <t>Fernanda Valeria Moraga Escobar</t>
  </si>
  <si>
    <t>Collao 1485 Casa 23</t>
  </si>
  <si>
    <t>+56978217655</t>
  </si>
  <si>
    <t>Un semestre</t>
  </si>
  <si>
    <t>Margarita Escobar  +56998476743</t>
  </si>
  <si>
    <t>KLTH34</t>
  </si>
  <si>
    <t>Ford Ranger</t>
  </si>
  <si>
    <t>Rulis</t>
  </si>
  <si>
    <t>https://drive.google.com/open?id=1a_7LAqdcwxLWRFcWT6qaQypPkSouJkD6</t>
  </si>
  <si>
    <t>21216333-3</t>
  </si>
  <si>
    <t>tobar3daniel@gmail.com</t>
  </si>
  <si>
    <t>Daniel Octavio Tobar Henríquez</t>
  </si>
  <si>
    <t>Valladolid 9381</t>
  </si>
  <si>
    <t>+56964515907</t>
  </si>
  <si>
    <t>Responsable de unidad de bandada</t>
  </si>
  <si>
    <t>Betty Henríquez +56942433135</t>
  </si>
  <si>
    <t>Desempleado</t>
  </si>
  <si>
    <t>10 años como beneficiario</t>
  </si>
  <si>
    <t>Tobar</t>
  </si>
  <si>
    <t>https://drive.google.com/open?id=1HBQ6EmSU8J2YPt0GNBWF-vyNLxf7tGy0</t>
  </si>
  <si>
    <t>20992153-7</t>
  </si>
  <si>
    <t>aylinfierrovera@gmail.com</t>
  </si>
  <si>
    <t>Aylin Isadora Fierro Vera</t>
  </si>
  <si>
    <t>Maipu 1339, depto 207</t>
  </si>
  <si>
    <t>+56986440986</t>
  </si>
  <si>
    <t>San Francisco De Chillán</t>
  </si>
  <si>
    <t>Paola Vera +56976741332</t>
  </si>
  <si>
    <t>Estudiante de Ingeniería Civil</t>
  </si>
  <si>
    <t>Aylin</t>
  </si>
  <si>
    <t>https://drive.google.com/open?id=1oy5Xc4aqL3ZiMYpZtxs8EQyijIkz0tky</t>
  </si>
  <si>
    <t>20375255-5</t>
  </si>
  <si>
    <t>valentina.arre2@gmail.com</t>
  </si>
  <si>
    <t>Valentina Andrea Arredondo Gutierrez</t>
  </si>
  <si>
    <t>San francisco de asis 1510, Chillán</t>
  </si>
  <si>
    <t>+56920298323</t>
  </si>
  <si>
    <t>Ithol Gutierrez +56995105891</t>
  </si>
  <si>
    <t>Terapeuta Ocupacional</t>
  </si>
  <si>
    <t>https://drive.google.com/open?id=1cRbk_1fCpaRKFL5V3CnHj2t5F9TTud3-</t>
  </si>
  <si>
    <t>21073153-9</t>
  </si>
  <si>
    <t>bruno.isaac.medel.parra@gmail.com</t>
  </si>
  <si>
    <t>Bruno Isaac Medel Parra</t>
  </si>
  <si>
    <t>Laguna lo Méndez 783</t>
  </si>
  <si>
    <t>+56934876772</t>
  </si>
  <si>
    <t>AA</t>
  </si>
  <si>
    <t>Adriana Parra 9 7757 4497</t>
  </si>
  <si>
    <t>Bruno</t>
  </si>
  <si>
    <t>https://drive.google.com/open?id=1MQEfsY5T8H7QqYrEuD8Pdgrb3U_iY2hs</t>
  </si>
  <si>
    <t>19595070-9</t>
  </si>
  <si>
    <t>a.penailillo10@gmail.com</t>
  </si>
  <si>
    <t>Álvaro Antonio Peñailillo Castillo</t>
  </si>
  <si>
    <t>Pedro Prado 8740, Villa Acero</t>
  </si>
  <si>
    <t>+56971599609</t>
  </si>
  <si>
    <t>Erna Castillo, +56977676554</t>
  </si>
  <si>
    <t>DTYK60</t>
  </si>
  <si>
    <t>Escape</t>
  </si>
  <si>
    <t>Profesor de Matemática</t>
  </si>
  <si>
    <t>0 años.</t>
  </si>
  <si>
    <t>10 años.</t>
  </si>
  <si>
    <t>Penta</t>
  </si>
  <si>
    <t>https://drive.google.com/open?id=1C-6sScRCYxZUm5UGmUTF-IyXkt4PVJwC</t>
  </si>
  <si>
    <t>14417326-0</t>
  </si>
  <si>
    <t>coca32729@gmail.com</t>
  </si>
  <si>
    <t>Macarena Vanessa Lavanderos Alarcon</t>
  </si>
  <si>
    <t>Manuel Bayon 3429</t>
  </si>
  <si>
    <t>+56998425807</t>
  </si>
  <si>
    <t>Asistente Unidad</t>
  </si>
  <si>
    <t>Bernardo Ruiz +56976952713</t>
  </si>
  <si>
    <t>GTXR33</t>
  </si>
  <si>
    <t>Tiggo</t>
  </si>
  <si>
    <t>Sociologa</t>
  </si>
  <si>
    <t>10 años en catequesis</t>
  </si>
  <si>
    <t>Coca</t>
  </si>
  <si>
    <t>https://drive.google.com/open?id=1UNtFgwMaP9O3Qxsr3QU26lc5Nqrc3xEc</t>
  </si>
  <si>
    <t>55</t>
  </si>
  <si>
    <t>12303496-1</t>
  </si>
  <si>
    <t>pilotobizama@gmail.com</t>
  </si>
  <si>
    <t>Lorenzo Rodrigo Bizama Muñoz</t>
  </si>
  <si>
    <t>Santiago Steel 71-B</t>
  </si>
  <si>
    <t>Asistente de Grupo</t>
  </si>
  <si>
    <t>1 años y medio</t>
  </si>
  <si>
    <t>Alejandra Paredes +56 9 5374 4582</t>
  </si>
  <si>
    <t>Gwjb25</t>
  </si>
  <si>
    <t>Land Rover</t>
  </si>
  <si>
    <t>Evoque</t>
  </si>
  <si>
    <t>Piloto de Marina Mercante</t>
  </si>
  <si>
    <t>Lorenzo</t>
  </si>
  <si>
    <t>https://drive.google.com/open?id=1dozaQzrxD-9IlCgXMIcKkDvYVA6NImXv</t>
  </si>
  <si>
    <t>20489410-8</t>
  </si>
  <si>
    <t>fran.aguima@gmail.com</t>
  </si>
  <si>
    <t>Francisca Antonia Aguilera Maldonado</t>
  </si>
  <si>
    <t>las violetas 1652</t>
  </si>
  <si>
    <t>+56976704907</t>
  </si>
  <si>
    <t>Resposable de Unidad</t>
  </si>
  <si>
    <t>Rose Marie Maldonado +56939619555</t>
  </si>
  <si>
    <t>los sabados</t>
  </si>
  <si>
    <t>https://drive.google.com/open?id=1zS7eJEnRvvP-lSpt1pAcpXhsbXd_lucd</t>
  </si>
  <si>
    <t>16396404-K</t>
  </si>
  <si>
    <t>raulbv777@gmail.com</t>
  </si>
  <si>
    <t>Raul Andrés Benavides Videla</t>
  </si>
  <si>
    <t>Lago conguillio 1819</t>
  </si>
  <si>
    <t>+56942198380</t>
  </si>
  <si>
    <t>Miembro colaborador</t>
  </si>
  <si>
    <t>Síndrome de kartagener</t>
  </si>
  <si>
    <t>Carolina Chávez romero 934389363</t>
  </si>
  <si>
    <t>Independiente</t>
  </si>
  <si>
    <t>Evangelico</t>
  </si>
  <si>
    <t>Tío ponchito</t>
  </si>
  <si>
    <t>https://drive.google.com/open?id=1BQ5z19N5Z7nel5I1rkRa6gUzyU9WwSc9</t>
  </si>
  <si>
    <t>18800211-0</t>
  </si>
  <si>
    <t>marquezbarbara2018@gmail.com</t>
  </si>
  <si>
    <t>Bárbara Catalina Márquez Rivas</t>
  </si>
  <si>
    <t>Catirai 161</t>
  </si>
  <si>
    <t>+56933969452</t>
  </si>
  <si>
    <t>Asistente de unidad, suplente de responsable de unidad que está con receso</t>
  </si>
  <si>
    <t>10845</t>
  </si>
  <si>
    <t>Natacha Márquez +56977065940</t>
  </si>
  <si>
    <t>Ingresé en 2006, no recuerdo hasta cuando</t>
  </si>
  <si>
    <t>Tuve años que trabajé intermitente (no recuerdo años ni periodos) regresé de vuelta de pandemia en 2022</t>
  </si>
  <si>
    <t>Babi</t>
  </si>
  <si>
    <t>https://drive.google.com/open?id=1IahMy16pqVZ1HqOemGuy6Ol07aojIb3h</t>
  </si>
  <si>
    <t>20515958-4</t>
  </si>
  <si>
    <t>d11reamy@gmail.com</t>
  </si>
  <si>
    <t>Katherine Ayllen Castro Leiva</t>
  </si>
  <si>
    <t>Pasaje los avellanos, 41
Cerro la cruz, Lebu</t>
  </si>
  <si>
    <t>Lebu</t>
  </si>
  <si>
    <t>+56976643685</t>
  </si>
  <si>
    <t>Fresia Müller Ruiz</t>
  </si>
  <si>
    <t>No comprendo</t>
  </si>
  <si>
    <t>Fresia Leiva +56 9 3889 2185</t>
  </si>
  <si>
    <t>2 años aproximadamente</t>
  </si>
  <si>
    <t>Mas de un año</t>
  </si>
  <si>
    <t>https://drive.google.com/open?id=1VXpAoY8mFyTPB6KRGDcJKOx0kvYs61oH</t>
  </si>
  <si>
    <t>javieracsv21@gmail.com</t>
  </si>
  <si>
    <t>gobernador juan henríquez #820</t>
  </si>
  <si>
    <t>Alcatipay</t>
  </si>
  <si>
    <t>1</t>
  </si>
  <si>
    <t>Mónica Vega +56974645434</t>
  </si>
  <si>
    <t>Profesora de Artes Visuales</t>
  </si>
  <si>
    <t>Pagana</t>
  </si>
  <si>
    <t>https://drive.google.com/open?id=1Nb3QRDh30HxlthHSrrcDhXJjHkkNqF7w</t>
  </si>
  <si>
    <t>19580739-6</t>
  </si>
  <si>
    <t>f.lehuey97@gmail.com</t>
  </si>
  <si>
    <t>Felipe Andrés Lehuey Cuevas</t>
  </si>
  <si>
    <t>Paseo del sol 0690, Labranza, Temuco</t>
  </si>
  <si>
    <t>Temuco</t>
  </si>
  <si>
    <t>+56974188677</t>
  </si>
  <si>
    <t>Repudauken</t>
  </si>
  <si>
    <t>10035</t>
  </si>
  <si>
    <t>Arturo Lehuey - +56950960719</t>
  </si>
  <si>
    <t>Ingeniero en recursos naturales</t>
  </si>
  <si>
    <t>https://drive.google.com/open?id=1C9fDj8Dmnv5aGSnU38OMUhX6ljzY0I1e</t>
  </si>
  <si>
    <t>Barbara Jullieth Meza Benavides</t>
  </si>
  <si>
    <t>Calle 7 #3789 San Marcos 2000</t>
  </si>
  <si>
    <t>+56981528180</t>
  </si>
  <si>
    <t>Coordinadora Distrital Rama Guías</t>
  </si>
  <si>
    <t>10461</t>
  </si>
  <si>
    <t>Resistencia a la Insulina</t>
  </si>
  <si>
    <t>Paola Benavides +56994375616</t>
  </si>
  <si>
    <t>PCJD92</t>
  </si>
  <si>
    <t>https://drive.google.com/open?id=13zASy7q5Gjcs_Leo5hUMnqn-Yn_7_vdk</t>
  </si>
  <si>
    <t>13670458-3</t>
  </si>
  <si>
    <t>ffuentes@guiasyscoutschile.cl</t>
  </si>
  <si>
    <t>Fernando Antonio Fuentes Riveros</t>
  </si>
  <si>
    <t>Los Hualles s/n , Chancoyan, Valdivia</t>
  </si>
  <si>
    <t>+56978096807</t>
  </si>
  <si>
    <t>Dr. Clemente Holzapfel</t>
  </si>
  <si>
    <t>Comisionado nacional de caminantes</t>
  </si>
  <si>
    <t>Los Rios</t>
  </si>
  <si>
    <t>9528</t>
  </si>
  <si>
    <t>Guias, Caminantes</t>
  </si>
  <si>
    <t>Fabiola Letelier+56963413456</t>
  </si>
  <si>
    <t>PYLW89</t>
  </si>
  <si>
    <t>Hunter</t>
  </si>
  <si>
    <t>ingeniero en Maderas</t>
  </si>
  <si>
    <t>12</t>
  </si>
  <si>
    <t>https://drive.google.com/open?id=1-vM3FFeW8ihCeY3l0T8zuNJhb02-rJIF</t>
  </si>
  <si>
    <t>18214617-K</t>
  </si>
  <si>
    <t>francisca.reyesgomez@gmail.com</t>
  </si>
  <si>
    <t>Francisca Nicole Reyes Gómez</t>
  </si>
  <si>
    <t>Pasaje seis #236, Villa El nevado, Chillán</t>
  </si>
  <si>
    <t>+56999164403</t>
  </si>
  <si>
    <t>Terranova</t>
  </si>
  <si>
    <t>7541</t>
  </si>
  <si>
    <t>ácaros, pastos</t>
  </si>
  <si>
    <t>Paola Gómez +56 9 9774 8987</t>
  </si>
  <si>
    <t>Fonoaudióloga</t>
  </si>
  <si>
    <t>https://drive.google.com/open?id=1vPbUy8UdM4pDCCiav3KFunB0MS-2Uvj3</t>
  </si>
  <si>
    <t>+56996378248</t>
  </si>
  <si>
    <t>+56973309179</t>
  </si>
  <si>
    <t>20727528-K</t>
  </si>
  <si>
    <t>+56953737037</t>
  </si>
  <si>
    <t>Total Fresia Müller Ruiz</t>
  </si>
  <si>
    <t>Total Dr. Clemente Holzapfel</t>
  </si>
  <si>
    <t>Total Los Rios</t>
  </si>
  <si>
    <t>Total Terranova</t>
  </si>
  <si>
    <t>Total Repudauken</t>
  </si>
  <si>
    <t>Total Alcatipay</t>
  </si>
  <si>
    <t>Total Halcones Negros</t>
  </si>
  <si>
    <t>cristiano</t>
  </si>
  <si>
    <t>16734885-8</t>
  </si>
  <si>
    <t>paulaacastillotorres@gmail.com</t>
  </si>
  <si>
    <t>Paula Andrea Castillo Torres</t>
  </si>
  <si>
    <t>Los cóndores 471, Altos del Este</t>
  </si>
  <si>
    <t>+56951394372</t>
  </si>
  <si>
    <t>Apoderado</t>
  </si>
  <si>
    <t>Felipe Inostroza num 966537314</t>
  </si>
  <si>
    <t>Ing.de Ejecución en Administración</t>
  </si>
  <si>
    <t>Pau</t>
  </si>
  <si>
    <t>https://drive.google.com/open?id=1ePRJmgUJgpKqM6Fdaekb8Y6MtPve51_M</t>
  </si>
  <si>
    <t>20999968-4</t>
  </si>
  <si>
    <t>coni.beltranfe@gmail.com</t>
  </si>
  <si>
    <t>Constanza Elizabeth Beltran Fuentes</t>
  </si>
  <si>
    <t>las quintas 578</t>
  </si>
  <si>
    <t>+56945936163</t>
  </si>
  <si>
    <t>elizabeth fuentes 983848123</t>
  </si>
  <si>
    <t>estudiantes universitario</t>
  </si>
  <si>
    <t>coni be</t>
  </si>
  <si>
    <t>https://drive.google.com/open?id=1H0n2W3AMAom1yWhjleV2shVE0omyNGS8</t>
  </si>
  <si>
    <t>12078390-4</t>
  </si>
  <si>
    <t>jaimesep68@gmail.com</t>
  </si>
  <si>
    <t>Jaime Alejandro Sepulveda Sepulveda</t>
  </si>
  <si>
    <t>Pasaje rio cau cau 931 villa alcalde navas chillan</t>
  </si>
  <si>
    <t>+56940714170</t>
  </si>
  <si>
    <t>Responsable de Manada y asistente de grupo</t>
  </si>
  <si>
    <t>Movilidad poco limitada, Rotura Masiva del manguito rotador</t>
  </si>
  <si>
    <t>Enzo Rubilar   +56 9 7241 5470</t>
  </si>
  <si>
    <t>constructor</t>
  </si>
  <si>
    <t>20 años</t>
  </si>
  <si>
    <t>Jaimito</t>
  </si>
  <si>
    <t>https://drive.google.com/open?id=1wjzkG7j0bL49WaVD0C9a2Spk1c4Dn65i</t>
  </si>
  <si>
    <t>57</t>
  </si>
  <si>
    <t>20988214-0</t>
  </si>
  <si>
    <t>pedrogonzalezirribarra@gmail.com</t>
  </si>
  <si>
    <t>Pedro Ignacio González Irribarra</t>
  </si>
  <si>
    <t>Parque Cabeceros 208</t>
  </si>
  <si>
    <t>+56989183192</t>
  </si>
  <si>
    <t>Santa María</t>
  </si>
  <si>
    <t>Alejandra Irribarra +56964352577</t>
  </si>
  <si>
    <t>Sin profesión</t>
  </si>
  <si>
    <t>Pedro</t>
  </si>
  <si>
    <t>https://drive.google.com/open?id=1VGVzFDSMMuQ01idjkTbspHKlX072FgA5</t>
  </si>
  <si>
    <t>Total Santa María</t>
  </si>
  <si>
    <t>Item</t>
  </si>
  <si>
    <t>Base Participantes</t>
  </si>
  <si>
    <t>Base Formadores</t>
  </si>
  <si>
    <t>MOVILIZACION FORMADORES</t>
  </si>
  <si>
    <t>CREDENCIALES</t>
  </si>
  <si>
    <t>MATERIALES OFICINA ADMINISTRACION</t>
  </si>
  <si>
    <t>MOVILIZACION TRASLADO VARIOS DURANTE EL CURSO</t>
  </si>
  <si>
    <t>MOVILIZACION COMPRA ANTES DEL CURSO</t>
  </si>
  <si>
    <t>MATERIALES POR RAMA</t>
  </si>
  <si>
    <t>DULCES PARA EQUIPO</t>
  </si>
  <si>
    <t>DULCES APORTE A LA SESION POR RAMA</t>
  </si>
  <si>
    <t>MATERIALES DE ASEO</t>
  </si>
  <si>
    <t>MATERIALES PARA HABILITACION BAÑOS</t>
  </si>
  <si>
    <t>MATERIALES PARA DESAYUNO, ALMUERZO, BREAKS, ONCE</t>
  </si>
  <si>
    <t>ALIMENTACION DESAYUNO</t>
  </si>
  <si>
    <t>ALIMENTACION BREAKS</t>
  </si>
  <si>
    <t>ALIMENTACION ALMUERZO (1 por dia = 3)</t>
  </si>
  <si>
    <t>SALUD</t>
  </si>
  <si>
    <t>APORTE A LA INSTITUCION QUE APOYA EL CURSO</t>
  </si>
  <si>
    <t>IMPREVISTOS</t>
  </si>
  <si>
    <t>(Organizadores, Servicio, Cocina)</t>
  </si>
  <si>
    <t>ITEM</t>
  </si>
  <si>
    <t>VALOR UNIDAD</t>
  </si>
  <si>
    <t>TOTAL UNIDADES</t>
  </si>
  <si>
    <t>TOTAL ITEM</t>
  </si>
  <si>
    <t>APORTE CURSANTE</t>
  </si>
  <si>
    <t>Pernoctan</t>
  </si>
  <si>
    <t>TOTAL PRESUPUESTADO CURSO</t>
  </si>
  <si>
    <t>TOTAL CUOTA CURSANTE</t>
  </si>
  <si>
    <t>ALIMENTACION CENA (Viernes y Sábado)</t>
  </si>
  <si>
    <t>(Participantes Vigentes)</t>
  </si>
  <si>
    <t>(Formadores Inscritos)</t>
  </si>
  <si>
    <t>(Todos los que se hayan inscrito)</t>
  </si>
  <si>
    <t>MOVILIZACION EQUIPO SERVICIO Y OTROS</t>
  </si>
  <si>
    <t>Zona de los Rios</t>
  </si>
  <si>
    <t>20881296-3</t>
  </si>
  <si>
    <t>crriffopuentes@gmail.com</t>
  </si>
  <si>
    <t>Cristóbal Celso Riffo Puentes</t>
  </si>
  <si>
    <t>Av. Circunvalación 180</t>
  </si>
  <si>
    <t>+56957345251</t>
  </si>
  <si>
    <t>Dirigente de la avanzada y asistente de grupo</t>
  </si>
  <si>
    <t>Celso Riffo +56974038144 (Padre)</t>
  </si>
  <si>
    <t>Estudiante educación superior</t>
  </si>
  <si>
    <t>Riffo</t>
  </si>
  <si>
    <t>https://drive.google.com/open?id=1nF83C1uqkxTHe2VJHpwufSqCKLrULdST</t>
  </si>
  <si>
    <t>21382811-8</t>
  </si>
  <si>
    <t>pinilla.belen.m@gmail.com</t>
  </si>
  <si>
    <t>Catalina Belén Mardones Pinilla</t>
  </si>
  <si>
    <t>Toscania #2835 armando alarcon del canto</t>
  </si>
  <si>
    <t>+56920047215</t>
  </si>
  <si>
    <t>Enrique Valdebenito</t>
  </si>
  <si>
    <t>Karen Pinilla (997649862)</t>
  </si>
  <si>
    <t>Estudiante de psicopedagogia</t>
  </si>
  <si>
    <t>Catalina</t>
  </si>
  <si>
    <t>https://drive.google.com/open?id=1csO35cTD62oTPv-r7gJzGwO8bisBgnyP</t>
  </si>
  <si>
    <t>21218527-2</t>
  </si>
  <si>
    <t>sebarc2015@gmail.com</t>
  </si>
  <si>
    <t>Sebastián Ignacio Romero Coo</t>
  </si>
  <si>
    <t>Los Fresnos Pasaje 15, 368. Concepción</t>
  </si>
  <si>
    <t>+56990129371</t>
  </si>
  <si>
    <t>Claudia Coo Suazo +56997084028</t>
  </si>
  <si>
    <t>Estudiante Bioquímica</t>
  </si>
  <si>
    <t>Nina</t>
  </si>
  <si>
    <t>https://drive.google.com/open?id=1Z1Mb94YSIG5D4SNSxSb2Nd1Fav-WuXY2</t>
  </si>
  <si>
    <t>21482816-2</t>
  </si>
  <si>
    <t>clauditaderide@gmail.com</t>
  </si>
  <si>
    <t>Claudia Fernanda Deride Alegría</t>
  </si>
  <si>
    <t>Avenida los cisnes 765, San pedro de la Paz</t>
  </si>
  <si>
    <t>+56987300867</t>
  </si>
  <si>
    <t>Macarena Deride +56962347967</t>
  </si>
  <si>
    <t>Clau</t>
  </si>
  <si>
    <t>https://drive.google.com/open?id=1AuRT7oS5VP-Vy7dwueS3rFnBE-Bj6E-r</t>
  </si>
  <si>
    <t>17857920-7</t>
  </si>
  <si>
    <t>mavillanueva@guiasyscoutschile.cl</t>
  </si>
  <si>
    <t>Miguel Angel Villanueva Cuevas</t>
  </si>
  <si>
    <t>Bayona 2050 Dpto B301</t>
  </si>
  <si>
    <t>+56951585457</t>
  </si>
  <si>
    <t>8244</t>
  </si>
  <si>
    <t>Lobatos, Caminantes</t>
  </si>
  <si>
    <t>Miguel Villanueva Ahumada 990854229</t>
  </si>
  <si>
    <t>TBWD70</t>
  </si>
  <si>
    <t>Seltos</t>
  </si>
  <si>
    <t>Ingeniero Civil Químico</t>
  </si>
  <si>
    <t>Miguel</t>
  </si>
  <si>
    <t>https://drive.google.com/open?id=1R2XO413HldQxSJZzqm5xXtvDJjg4Iflm</t>
  </si>
  <si>
    <t>Total Zona de los Rios</t>
  </si>
  <si>
    <t>Total Enrique Valdebenito</t>
  </si>
  <si>
    <t>FECHA_HORA_INSCRITO</t>
  </si>
  <si>
    <t>texiasl@gmail.com (NO VA)</t>
  </si>
  <si>
    <t>18771058-8</t>
  </si>
  <si>
    <t>fabiansep11@gmail.com</t>
  </si>
  <si>
    <t>Fabián Alejandro Sepúlveda Aguilera</t>
  </si>
  <si>
    <t>villa alcalde Navas psj cau-cau 931</t>
  </si>
  <si>
    <t>+56948539347</t>
  </si>
  <si>
    <t>1 mes y 1/2</t>
  </si>
  <si>
    <t>Jaime - +56940714170</t>
  </si>
  <si>
    <t>mueblista</t>
  </si>
  <si>
    <t>Fabián</t>
  </si>
  <si>
    <t>https://drive.google.com/open?id=1OciRevPa-K6uY9ZN9bYHLNg3qreci5NT</t>
  </si>
  <si>
    <t>17343653-K</t>
  </si>
  <si>
    <t>a.lizana.meza@gmail.com</t>
  </si>
  <si>
    <t>Alejandro Esteban Lizana Meza</t>
  </si>
  <si>
    <t>XXXXXX</t>
  </si>
  <si>
    <t>Xxxxxx</t>
  </si>
  <si>
    <t>+56926375827</t>
  </si>
  <si>
    <t>Andalien</t>
  </si>
  <si>
    <t>ofernandezv@gmail.com</t>
  </si>
  <si>
    <t>Orlando Ernesto Fernández Vásquez</t>
  </si>
  <si>
    <t>7836094-1</t>
  </si>
  <si>
    <t>fredesa.ricardo@gmail.com</t>
  </si>
  <si>
    <t>José Ricardo Fredes Arrepol</t>
  </si>
  <si>
    <t>+56995078893</t>
  </si>
  <si>
    <t>czvdelbiobio@guiasyscoutschile.cl</t>
  </si>
  <si>
    <t>Eduardo Pereira Figueroa / +56966090996</t>
  </si>
  <si>
    <t>49</t>
  </si>
  <si>
    <t>17208784-1</t>
  </si>
  <si>
    <t>czadelbiobio@guiasyscoutschile.cl</t>
  </si>
  <si>
    <t>Rodrigo Bustos Estrada</t>
  </si>
  <si>
    <t>+56992178581</t>
  </si>
  <si>
    <t>Graciela Estrada / +56987415811</t>
  </si>
  <si>
    <t>20720516-8</t>
  </si>
  <si>
    <t>k.mellaescobar@gmail.com</t>
  </si>
  <si>
    <t>Krishna Alexandra Mella Escobar</t>
  </si>
  <si>
    <t>applegath 549</t>
  </si>
  <si>
    <t>+56996908157</t>
  </si>
  <si>
    <t>11110</t>
  </si>
  <si>
    <t>Manuel +59695158572</t>
  </si>
  <si>
    <t>Tecnóloga Médica</t>
  </si>
  <si>
    <t>Kishi</t>
  </si>
  <si>
    <t>https://drive.google.com/open?id=1JDhDDmW7SEtOZf0fXRl3OrlfI1QzdHEF</t>
  </si>
  <si>
    <t>Pamela Inostroza Ulloa</t>
  </si>
  <si>
    <t>Crisantemos 57 villa perales</t>
  </si>
  <si>
    <t>Coordinador zonal rama Golondrina</t>
  </si>
  <si>
    <t>Patricio Alveal +56952197283</t>
  </si>
  <si>
    <t>Ingeniera Informática</t>
  </si>
  <si>
    <t>https://drive.google.com/open?id=175gssUYZfDHhiyRbePuTQEO74SQGJhEs</t>
  </si>
  <si>
    <t>47</t>
  </si>
  <si>
    <t>16246556-2</t>
  </si>
  <si>
    <t>fletelier@guiasyscoutschile.cl</t>
  </si>
  <si>
    <t>Fabiola Letelier Álvarez</t>
  </si>
  <si>
    <t>Los Hualles S/N, Chancoyan</t>
  </si>
  <si>
    <t>+56963413456</t>
  </si>
  <si>
    <t>Asistente de Unidad - Miembro comisión Caminante - Coordinación de Formación (DV)</t>
  </si>
  <si>
    <t>en esta Unidad 2 años</t>
  </si>
  <si>
    <t>9529</t>
  </si>
  <si>
    <t>Sin Lactosa</t>
  </si>
  <si>
    <t>Fernando Fuentes 978096807</t>
  </si>
  <si>
    <t>Hunter 4x4</t>
  </si>
  <si>
    <t>Contador Auditor</t>
  </si>
  <si>
    <t>17 años</t>
  </si>
  <si>
    <t>Faby</t>
  </si>
  <si>
    <t>https://drive.google.com/open?id=1CeN4esPggpbco0zeq5Mf_3T1VEaj7YUo</t>
  </si>
  <si>
    <t>Total Andalien</t>
  </si>
  <si>
    <t>Cuotas Pagadas</t>
  </si>
  <si>
    <t>Falta Pago</t>
  </si>
  <si>
    <t>Nombre Participante</t>
  </si>
  <si>
    <t>Cuota N°1</t>
  </si>
  <si>
    <t>Cuota N°2</t>
  </si>
  <si>
    <t>Cuota N°3</t>
  </si>
  <si>
    <t>ALIMENTACION ONCE MEJORADA (CENA)</t>
  </si>
  <si>
    <t>Sobrecupo</t>
  </si>
  <si>
    <t>SERVICIO MANO DE OBRA ALIMENTACION</t>
  </si>
  <si>
    <t>18413346-6</t>
  </si>
  <si>
    <t>21040156-3</t>
  </si>
  <si>
    <t>sagnerantonio1312@gmail.com</t>
  </si>
  <si>
    <t>Antonio Felipe Sagner Puschmann</t>
  </si>
  <si>
    <t>Las Violetas 1756</t>
  </si>
  <si>
    <t>+56921751597</t>
  </si>
  <si>
    <t>Sonia Puschman 997923810</t>
  </si>
  <si>
    <t>4 hrs los sabados</t>
  </si>
  <si>
    <t>Sagner</t>
  </si>
  <si>
    <t>https://drive.google.com/open?id=19arpsOd4EiFWcqD8oijed1lCfkupQD3v</t>
  </si>
  <si>
    <t>21813696-4</t>
  </si>
  <si>
    <t>belenpinovives1@gmail.com</t>
  </si>
  <si>
    <t>Belén Antonella Pino Vives</t>
  </si>
  <si>
    <t>+56933510891</t>
  </si>
  <si>
    <t>Equipo de Salud</t>
  </si>
  <si>
    <t>Coordinadora de salud del distrito Río Andalien</t>
  </si>
  <si>
    <t>Daniel Pino, +56962262374</t>
  </si>
  <si>
    <t>Odontología</t>
  </si>
  <si>
    <t>Belén Pino</t>
  </si>
  <si>
    <t>https://drive.google.com/open?id=1yhj2p2QNurKF7P522dkB_T9IXVGPjHHC</t>
  </si>
  <si>
    <t>16723098-9</t>
  </si>
  <si>
    <t>mayra.amigo@gmail.com</t>
  </si>
  <si>
    <t>Mayra Amigo Cortez</t>
  </si>
  <si>
    <t>+56954094654</t>
  </si>
  <si>
    <t>Equipo de Servicio</t>
  </si>
  <si>
    <t>8763</t>
  </si>
  <si>
    <t>Carmen Cortez 89112305</t>
  </si>
  <si>
    <t>SGSH-13</t>
  </si>
  <si>
    <t>Volkswaguen</t>
  </si>
  <si>
    <t>Gol</t>
  </si>
  <si>
    <t>Tratamiento saxenda, requiere refrigeración</t>
  </si>
  <si>
    <t>Mayra</t>
  </si>
  <si>
    <t>https://drive.google.com/open?id=1-rcv7vRoDx4UhBZmS_1ojYlb03qFeOLs</t>
  </si>
  <si>
    <t>Valencia 1061, Valle Escondido Paicavi</t>
  </si>
  <si>
    <t>20155115-3</t>
  </si>
  <si>
    <t>nicolgaticamartinez@gmail.com</t>
  </si>
  <si>
    <t>Catalina Gatica Martínez</t>
  </si>
  <si>
    <t>Avenida Santa María 7450, Depto A 301</t>
  </si>
  <si>
    <t>+56973698952</t>
  </si>
  <si>
    <t>Medio semestre</t>
  </si>
  <si>
    <t>Embarazo</t>
  </si>
  <si>
    <t>Cristóbal Muñoz Delgado, +56965500416</t>
  </si>
  <si>
    <t>FJPG60</t>
  </si>
  <si>
    <t>Volkswagen</t>
  </si>
  <si>
    <t>Amarok</t>
  </si>
  <si>
    <t>Como parte del movimiento 3 años, en otras actividades grupales, voluntariados, entre otros, desde los 15 años</t>
  </si>
  <si>
    <t>Cata G</t>
  </si>
  <si>
    <t>https://drive.google.com/open?id=1I_FjB17IgF14GiLGQ_ssHB7mOMEnJuEQ</t>
  </si>
  <si>
    <t>Camila Cabrera Menares</t>
  </si>
  <si>
    <t>Miembro de Comisión</t>
  </si>
  <si>
    <t>16</t>
  </si>
  <si>
    <t>María Eugenia Menares +56977682858</t>
  </si>
  <si>
    <t>15</t>
  </si>
  <si>
    <t>Cami Cabrera</t>
  </si>
  <si>
    <t>https://drive.google.com/open?id=1rwP7mPMZwnN5zNB0PpSEj3T2iaIvPqOj</t>
  </si>
  <si>
    <t>Benjamín Andrés Roa Rojas (NO VA)</t>
  </si>
  <si>
    <t>19837040-1</t>
  </si>
  <si>
    <t>vicentelara2@gmail.com</t>
  </si>
  <si>
    <t>Vicente Ignacio Lara Gutiérrez</t>
  </si>
  <si>
    <t>Bulgaria 1385</t>
  </si>
  <si>
    <t>+56937890998</t>
  </si>
  <si>
    <t>Jefe</t>
  </si>
  <si>
    <t>1mes</t>
  </si>
  <si>
    <t>Catalina 967130567</t>
  </si>
  <si>
    <t>Arquitecto</t>
  </si>
  <si>
    <t>Si, 1 año</t>
  </si>
  <si>
    <t>Vicho</t>
  </si>
  <si>
    <t>https://drive.google.com/open?id=1MZjBrfLWLDDosOo2c6qyAMNIBRvQbgQJ</t>
  </si>
  <si>
    <t xml:space="preserve">San Bartolomé </t>
  </si>
  <si>
    <t>Jocefina Laura Noemí Loyola Díaz</t>
  </si>
  <si>
    <t>16600798-4</t>
  </si>
  <si>
    <t>luciaqueveq@gmail.com</t>
  </si>
  <si>
    <t>Lucila Del Carmen Aqueveque Jara</t>
  </si>
  <si>
    <t>Bellavista 305</t>
  </si>
  <si>
    <t>+56977509011</t>
  </si>
  <si>
    <t>Al diclofenaco y ketoprofeno</t>
  </si>
  <si>
    <t>Hector collilef  +56975219133</t>
  </si>
  <si>
    <t>KCKR70</t>
  </si>
  <si>
    <t>Voy a realizar el curso con mi bebe de 4 meses ya que no tengo quien la cuide pero me interesa mucho realizar el curso y formarme</t>
  </si>
  <si>
    <t>Auxiliar</t>
  </si>
  <si>
    <t>1año</t>
  </si>
  <si>
    <t>Lucila</t>
  </si>
  <si>
    <t>https://drive.google.com/open?id=1Xf9gkIieZjmv7_2Ju1J08JRGIOPddcxj</t>
  </si>
  <si>
    <t>22331921-1</t>
  </si>
  <si>
    <t>sanhueza.ambar6@gmail.com</t>
  </si>
  <si>
    <t>Ámbar Camila Sanhueza Sanhueza</t>
  </si>
  <si>
    <t>+56933992361</t>
  </si>
  <si>
    <t>968456922 Omar ( papá)</t>
  </si>
  <si>
    <t>KPSB21</t>
  </si>
  <si>
    <t>Sportaje</t>
  </si>
  <si>
    <t>Ámbar</t>
  </si>
  <si>
    <t>https://drive.google.com/open?id=1l9jokT3eQAlF6cOWjdu2WewiVFvfMfPJ</t>
  </si>
  <si>
    <t>18</t>
  </si>
  <si>
    <t>Total Buena Aventura</t>
  </si>
  <si>
    <t>Pagado_Pasaje_Largo</t>
  </si>
  <si>
    <t>Pagado_Pasaje_Comuna</t>
  </si>
  <si>
    <t>lucasfernandez1314@gmail.com</t>
  </si>
  <si>
    <t>19909896-9</t>
  </si>
  <si>
    <t>vicente.jgonzalezs@gmail.com</t>
  </si>
  <si>
    <t>Vicente Javier González Silva</t>
  </si>
  <si>
    <t>Las Margaritas 1680 depto 207</t>
  </si>
  <si>
    <t>+56977760821</t>
  </si>
  <si>
    <t>Asistente Unidad / Coordinador Distrital Rama Pioneros</t>
  </si>
  <si>
    <t>3 años / 1 año</t>
  </si>
  <si>
    <t>10961</t>
  </si>
  <si>
    <t>Cecilia Silva Jiménez +56977743918</t>
  </si>
  <si>
    <t>Estudiante Geofísica</t>
  </si>
  <si>
    <t>https://drive.google.com/open?id=1llck8mh9qag9dsfA9WZUoA7MgGkM2x8x</t>
  </si>
  <si>
    <t>20439723-6</t>
  </si>
  <si>
    <t>ilpbustos@gmail.com</t>
  </si>
  <si>
    <t>Ignacio Andres Lopez Bustos</t>
  </si>
  <si>
    <t>Coveña 341 Higueras</t>
  </si>
  <si>
    <t>+56969030061</t>
  </si>
  <si>
    <t>Patricia Garrido / +56963537595</t>
  </si>
  <si>
    <t>Cato</t>
  </si>
  <si>
    <t>https://drive.google.com/open?id=1sLkI2W6kB_cZ-BmTFbIWwWmERTYRcWZG</t>
  </si>
  <si>
    <t>Base Servicio y Organización</t>
  </si>
  <si>
    <t>Zona Maule</t>
  </si>
  <si>
    <t>Total Zona Maule</t>
  </si>
  <si>
    <t>San Mateo</t>
  </si>
  <si>
    <t>PADRE ISMAEL CRUZ</t>
  </si>
  <si>
    <t>Total San Mateo</t>
  </si>
  <si>
    <t>Total PADRE ISMAEL CRUZ</t>
  </si>
  <si>
    <t>CANTIDAD_EXTRA</t>
  </si>
  <si>
    <t>TOTAL_CANTIDAD</t>
  </si>
  <si>
    <t>Pollo Asado (Trutro Entero) con Arroz</t>
  </si>
  <si>
    <t>Chapsuy de Verduras con Carne de Soya</t>
  </si>
  <si>
    <t>Lentejas con Chorizo</t>
  </si>
  <si>
    <t>Lentejas con Vienesa Vegana</t>
  </si>
  <si>
    <t>Espirales con Salsa Bolognesa carne de Soya</t>
  </si>
  <si>
    <t>Espirales con Salsa Bolognesa carne de Vacuno</t>
  </si>
  <si>
    <t>Tallarin sin gluten con Salsa Bolognesa carne de Vacuno</t>
  </si>
  <si>
    <t>Cant.</t>
  </si>
  <si>
    <t>Tipo de Alimentación</t>
  </si>
  <si>
    <t>Colación</t>
  </si>
  <si>
    <t>ALIMENTACION ALMUERZO</t>
  </si>
  <si>
    <t>Lista de Materiales General del Curso</t>
  </si>
  <si>
    <t>Tipo</t>
  </si>
  <si>
    <t>Descripción</t>
  </si>
  <si>
    <t>Cantidad</t>
  </si>
  <si>
    <t>Papelógrafos</t>
  </si>
  <si>
    <t>Pegotes / maskingtape /o como le llamen en conce</t>
  </si>
  <si>
    <t>plumones negros</t>
  </si>
  <si>
    <t>plumones verdes</t>
  </si>
  <si>
    <t>plumones azules</t>
  </si>
  <si>
    <t>Tijeras</t>
  </si>
  <si>
    <t>Pegamento en barra</t>
  </si>
  <si>
    <t>corchetera/corchetes</t>
  </si>
  <si>
    <t>hojas blancas</t>
  </si>
  <si>
    <t>plumones de pizarra azules</t>
  </si>
  <si>
    <t>plumones de pizarra negros</t>
  </si>
  <si>
    <t>plumones de pizarra rojos</t>
  </si>
  <si>
    <t>lápiz pasta</t>
  </si>
  <si>
    <t>Set notas adhesivas de 4 colores (post it u otra marca)</t>
  </si>
  <si>
    <t>sobres de cartulinas</t>
  </si>
  <si>
    <t>Sobre de papel entretenido</t>
  </si>
  <si>
    <t>set de plumones para pintar</t>
  </si>
  <si>
    <t>Dulces (Si es de 100 U, una bolsa por día) si es de menor cantidad 2 o 3 bolsas)</t>
  </si>
  <si>
    <t xml:space="preserve">CARTULINAS blancas grandes </t>
  </si>
  <si>
    <t>Cartulinas de color azul rey</t>
  </si>
  <si>
    <t xml:space="preserve">Paquete de goma eva de diferentes colores </t>
  </si>
  <si>
    <t>Bandera de Rama</t>
  </si>
  <si>
    <t>Piola (bandera)</t>
  </si>
  <si>
    <t>Carpetas de cartón azul rey</t>
  </si>
  <si>
    <t>Tijera</t>
  </si>
  <si>
    <t>Pegote</t>
  </si>
  <si>
    <t>Pegamento en Barra</t>
  </si>
  <si>
    <t>Corchetera y Corchetes</t>
  </si>
  <si>
    <t>Hoja Carta</t>
  </si>
  <si>
    <t>Plumón Permanente Negro</t>
  </si>
  <si>
    <t>Plumón Permanente Verde</t>
  </si>
  <si>
    <t>Plumón Permanente Azul</t>
  </si>
  <si>
    <t>Plumón Pizarra Azul</t>
  </si>
  <si>
    <t>Plumón Pizarra Negro</t>
  </si>
  <si>
    <t>Plumón Pizarra Rojo</t>
  </si>
  <si>
    <t>Lapiz Pasta</t>
  </si>
  <si>
    <t>Sobre Cartulina</t>
  </si>
  <si>
    <t>Sobre Papel Entretenido</t>
  </si>
  <si>
    <t>Set Plumón para Pintar</t>
  </si>
  <si>
    <t>Paquete Goma Eva Distinto Colores</t>
  </si>
  <si>
    <t>Bandera de Golondrinas</t>
  </si>
  <si>
    <t>Piola Bandera</t>
  </si>
  <si>
    <t>Carpeta de Carton Azul Rey</t>
  </si>
  <si>
    <t>Set Termoláminas</t>
  </si>
  <si>
    <t>Ya están compradas (Se rendirán)</t>
  </si>
  <si>
    <t xml:space="preserve">Dulces </t>
  </si>
  <si>
    <t xml:space="preserve">Set post it 5 colores </t>
  </si>
  <si>
    <t xml:space="preserve">Alargador múltiple </t>
  </si>
  <si>
    <t xml:space="preserve">Bandera de rama </t>
  </si>
  <si>
    <t xml:space="preserve">Tijeras </t>
  </si>
  <si>
    <t xml:space="preserve">Pegamento en barra </t>
  </si>
  <si>
    <t xml:space="preserve">Cartulina cyan </t>
  </si>
  <si>
    <t xml:space="preserve">Cartulina diversos colores </t>
  </si>
  <si>
    <t xml:space="preserve">Borrador de pizarra </t>
  </si>
  <si>
    <t xml:space="preserve">Perforadora </t>
  </si>
  <si>
    <t xml:space="preserve">Corchetera </t>
  </si>
  <si>
    <t xml:space="preserve">Pegote </t>
  </si>
  <si>
    <t xml:space="preserve">Parlante pequeño </t>
  </si>
  <si>
    <t xml:space="preserve">Hojas blancas </t>
  </si>
  <si>
    <t xml:space="preserve">Lápiz pasta </t>
  </si>
  <si>
    <t xml:space="preserve">Rollos Lana (cualquier color) </t>
  </si>
  <si>
    <t xml:space="preserve">Papel Craft </t>
  </si>
  <si>
    <t xml:space="preserve">Cajas de fósforo </t>
  </si>
  <si>
    <t xml:space="preserve">Pop Corn, marca Marco Polo, de 250 g </t>
  </si>
  <si>
    <t xml:space="preserve">Láminas de termolaminar de 170 micrones </t>
  </si>
  <si>
    <t>Post IT 5 colores</t>
  </si>
  <si>
    <t>Alargador Multiple</t>
  </si>
  <si>
    <t>Bandera de Guias</t>
  </si>
  <si>
    <t>Parlante Pequeño</t>
  </si>
  <si>
    <t>Pliego Cartulina Cyan</t>
  </si>
  <si>
    <t>Pliego Cartulina Blanca Grande</t>
  </si>
  <si>
    <t>Pliego Cartulina Color Azul Rey</t>
  </si>
  <si>
    <t>Pliego Cartulina</t>
  </si>
  <si>
    <t>Rollo Lana</t>
  </si>
  <si>
    <t>Pliego Papelógrafo</t>
  </si>
  <si>
    <t>Caja Fósforo</t>
  </si>
  <si>
    <t>Termoláminas 170 micrones</t>
  </si>
  <si>
    <t>Pote Pop Corn (Marco Polo - 250gr.)</t>
  </si>
  <si>
    <t>Consultar 5 grandes (250 gr.)</t>
  </si>
  <si>
    <t>Papel Kraft</t>
  </si>
  <si>
    <t>Pegotes</t>
  </si>
  <si>
    <t>Block de dibujo grande</t>
  </si>
  <si>
    <t>Tempera  sòlida de 6 colores</t>
  </si>
  <si>
    <t>Bolsas de dulces de diferentes tipos ( fruna)</t>
  </si>
  <si>
    <t>Sobres de cartulinas de colores</t>
  </si>
  <si>
    <t>pliego cartulina amarilla</t>
  </si>
  <si>
    <t>Hojas termolaminado</t>
  </si>
  <si>
    <t>Pelotas de Tenis</t>
  </si>
  <si>
    <t>tijeras</t>
  </si>
  <si>
    <t>Ovillos de Lana</t>
  </si>
  <si>
    <t>Cartonero</t>
  </si>
  <si>
    <t>tonner canon lbp6000 alternativo negro</t>
  </si>
  <si>
    <t>resma de papel carta</t>
  </si>
  <si>
    <t>pack post - it</t>
  </si>
  <si>
    <t>Plumón Permanente Rojo</t>
  </si>
  <si>
    <t>plumones de Permanente azules</t>
  </si>
  <si>
    <t>plumones de permanente verde</t>
  </si>
  <si>
    <t>plumones de permanente rojos</t>
  </si>
  <si>
    <t>Block Dibujo Grande</t>
  </si>
  <si>
    <t>Tempera Sólida 6 colores</t>
  </si>
  <si>
    <t>Sobre Cartulina de Colores</t>
  </si>
  <si>
    <t>Pliego Cartulina Amarilla</t>
  </si>
  <si>
    <t>Pelota de Tennis</t>
  </si>
  <si>
    <t>Set de Post-it</t>
  </si>
  <si>
    <t>Bolsa de pastillas</t>
  </si>
  <si>
    <t>Pegote o Masking tape</t>
  </si>
  <si>
    <t>Lapiz pasta</t>
  </si>
  <si>
    <t>sobre de cartulina</t>
  </si>
  <si>
    <t>Pelotas de tenis</t>
  </si>
  <si>
    <t>Lana</t>
  </si>
  <si>
    <t>Hojas Blancas</t>
  </si>
  <si>
    <t>clips</t>
  </si>
  <si>
    <t>Mini imanes</t>
  </si>
  <si>
    <t>Piola (cuerda)</t>
  </si>
  <si>
    <t>Pioner@s</t>
  </si>
  <si>
    <t>Clips</t>
  </si>
  <si>
    <t>Mini Imanes</t>
  </si>
  <si>
    <t>Cuerdas 1 a 2 metros</t>
  </si>
  <si>
    <t>Bandera de Pioneros</t>
  </si>
  <si>
    <t>Bandera de Lobatos</t>
  </si>
  <si>
    <t>bandera rama</t>
  </si>
  <si>
    <t>Bandera rama</t>
  </si>
  <si>
    <t>Globos</t>
  </si>
  <si>
    <t>Bandera de Scouts</t>
  </si>
  <si>
    <t>Cuerda 1 a 2 mts.</t>
  </si>
  <si>
    <t>Materiales e Insumos</t>
  </si>
  <si>
    <t>Dulces (100) Bolsa Grande</t>
  </si>
  <si>
    <t>Piola metros</t>
  </si>
  <si>
    <t>Termoláminas (COMPRADAS)</t>
  </si>
  <si>
    <t>Organizador</t>
  </si>
  <si>
    <t>Hojas Carta</t>
  </si>
  <si>
    <t>Tinta Botella Impresora</t>
  </si>
  <si>
    <t>1 de cada una</t>
  </si>
  <si>
    <t>Tonner Impresora Canon LBP6000</t>
  </si>
  <si>
    <t>Valor</t>
  </si>
  <si>
    <t>Total ($)</t>
  </si>
  <si>
    <t>3 paq.</t>
  </si>
  <si>
    <t>(2 por paquete)</t>
  </si>
  <si>
    <t>Ensalada (Apio, Lechuga, Repollo)</t>
  </si>
  <si>
    <t>Pan</t>
  </si>
  <si>
    <t>Porcion Almuerzo</t>
  </si>
  <si>
    <t>(1 por persona)</t>
  </si>
  <si>
    <t>(1 vaso por persona)</t>
  </si>
  <si>
    <t>Jugo (Comprar pulpa 15 litros)</t>
  </si>
  <si>
    <t>Hojas blancas</t>
  </si>
  <si>
    <t>Vasos plásticos</t>
  </si>
  <si>
    <t>Lápices</t>
  </si>
  <si>
    <t>Elásticos</t>
  </si>
  <si>
    <t>Masking tape</t>
  </si>
  <si>
    <t>Post it</t>
  </si>
  <si>
    <t>Cinta adhesiva</t>
  </si>
  <si>
    <t>Dulces</t>
  </si>
  <si>
    <t>Cuerda algodón 15 m</t>
  </si>
  <si>
    <t>Vasos Plásticos</t>
  </si>
  <si>
    <t>Cinta Adhesiva</t>
  </si>
  <si>
    <t>Paquete Elásticos</t>
  </si>
  <si>
    <t>Falleció Papá Hoy Jueves (Se baja) Se cambia por otra persona</t>
  </si>
  <si>
    <t>20550642-K</t>
  </si>
  <si>
    <t>gonsalorivas@gmail.com</t>
  </si>
  <si>
    <t>Gonsalo Fabriciano Junior Rivas Betancour</t>
  </si>
  <si>
    <t>+56957631673</t>
  </si>
  <si>
    <t>Camila Roca / +56958573099</t>
  </si>
  <si>
    <t>TVZK-55</t>
  </si>
  <si>
    <t>NEW 2008</t>
  </si>
  <si>
    <t>TÉCNICO EN ADMINISTRACIÓN</t>
  </si>
  <si>
    <t>Gonsalo</t>
  </si>
  <si>
    <t>https://drive.google.com/open?id=1bYiWmO1lyP1oshGGenFzMb2DM1h99wm9</t>
  </si>
  <si>
    <t>21631374-7</t>
  </si>
  <si>
    <t>REVISAR PAGO RIGO</t>
  </si>
  <si>
    <t>ESTA CON PROBLEMAS EN STGO. YA ESTA REGISTRADO POR SISTEMA</t>
  </si>
  <si>
    <t>Entregado</t>
  </si>
  <si>
    <t>FOLIO</t>
  </si>
  <si>
    <t>TEXTO_CUOTA</t>
  </si>
  <si>
    <t>000001</t>
  </si>
  <si>
    <t>000002</t>
  </si>
  <si>
    <t>000003</t>
  </si>
  <si>
    <t>000004</t>
  </si>
  <si>
    <t>000005</t>
  </si>
  <si>
    <t>000006</t>
  </si>
  <si>
    <t>000007</t>
  </si>
  <si>
    <t>000008</t>
  </si>
  <si>
    <t>000009</t>
  </si>
  <si>
    <t>000010</t>
  </si>
  <si>
    <t>000011</t>
  </si>
  <si>
    <t>000012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</si>
  <si>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</si>
  <si>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</si>
  <si>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</si>
  <si>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</si>
  <si>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</si>
  <si>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</si>
  <si>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</si>
  <si>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</si>
  <si>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</si>
  <si>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</si>
  <si>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</si>
  <si>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</si>
  <si>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</si>
  <si>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000026</t>
  </si>
  <si>
    <t>000027</t>
  </si>
  <si>
    <t>000028</t>
  </si>
  <si>
    <t>000029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</si>
  <si>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</si>
  <si>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</si>
  <si>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</si>
  <si>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</si>
  <si>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</si>
  <si>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</si>
  <si>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</si>
  <si>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</si>
  <si>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</si>
  <si>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</si>
  <si>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</si>
  <si>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</si>
  <si>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</si>
  <si>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</si>
  <si>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</si>
  <si>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</si>
  <si>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</si>
  <si>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</si>
  <si>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</si>
  <si>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</si>
  <si>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</si>
  <si>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</si>
  <si>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</si>
  <si>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</si>
  <si>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</si>
  <si>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</si>
  <si>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</si>
  <si>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</si>
  <si>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</si>
  <si>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</si>
  <si>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</si>
  <si>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</si>
  <si>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</si>
  <si>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</si>
  <si>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</si>
  <si>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</si>
  <si>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</si>
  <si>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</si>
  <si>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</si>
  <si>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</si>
  <si>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</si>
  <si>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</si>
  <si>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</si>
  <si>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</si>
  <si>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</si>
  <si>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</si>
  <si>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</si>
  <si>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</si>
  <si>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</si>
  <si>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</si>
  <si>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</si>
  <si>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</si>
  <si>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</si>
  <si>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</si>
  <si>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</si>
  <si>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</si>
  <si>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</si>
  <si>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</si>
  <si>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</si>
  <si>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</si>
  <si>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</si>
  <si>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</si>
  <si>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</si>
  <si>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</si>
  <si>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</si>
  <si>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</si>
  <si>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</si>
  <si>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</si>
  <si>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</si>
  <si>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</si>
  <si>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</si>
  <si>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</si>
  <si>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</si>
  <si>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</si>
  <si>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</si>
  <si>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</si>
  <si>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</si>
  <si>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</si>
  <si>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</si>
  <si>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</si>
  <si>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</si>
  <si>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</si>
  <si>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</si>
  <si>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</si>
  <si>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</si>
  <si>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</si>
  <si>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</si>
  <si>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</si>
  <si>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</si>
  <si>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</si>
  <si>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</si>
  <si>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</si>
  <si>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</si>
  <si>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000123</t>
  </si>
  <si>
    <t>000124</t>
  </si>
  <si>
    <t>000125</t>
  </si>
  <si>
    <t>000126</t>
  </si>
  <si>
    <t>000127</t>
  </si>
  <si>
    <t>000128</t>
  </si>
  <si>
    <t>000129</t>
  </si>
  <si>
    <t>000130</t>
  </si>
  <si>
    <t>000131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</si>
  <si>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</si>
  <si>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</si>
  <si>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</si>
  <si>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</si>
  <si>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</si>
  <si>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</si>
  <si>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</si>
  <si>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</si>
  <si>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</si>
  <si>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000141</t>
  </si>
  <si>
    <t>000142</t>
  </si>
  <si>
    <t>CONCEPTO</t>
  </si>
  <si>
    <t>Celebración de RAMA</t>
  </si>
  <si>
    <t>CAMA</t>
  </si>
  <si>
    <t>P. Unitario</t>
  </si>
  <si>
    <t>Tinta EcoTank</t>
  </si>
  <si>
    <t>Bencina Pablo y Rodrigo</t>
  </si>
  <si>
    <t>Bencina Rodrigo</t>
  </si>
  <si>
    <t>Total Pregasto</t>
  </si>
  <si>
    <t>Total Ingreso</t>
  </si>
  <si>
    <t>Saldo en Caja</t>
  </si>
  <si>
    <t>PRE-GASTOS</t>
  </si>
  <si>
    <t>CURSO_INSTITUCIONAL</t>
  </si>
  <si>
    <t>Online</t>
  </si>
  <si>
    <t>Presencial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</si>
</sst>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2" formatCode="_ &quot;$&quot;* #,##0_ ;_ &quot;$&quot;* \-#,##0_ ;_ &quot;$&quot;* &quot;-&quot;_ ;_ @_ "/>
    <numFmt numFmtId="164" formatCode="_ &quot;$&quot;\ * #,##0_ ;_ &quot;$&quot;\ * \-#,##0_ ;_ &quot;$&quot;\ * &quot;-&quot;_ ;_ @_ "/>
    <numFmt numFmtId="165" formatCode="&quot;$&quot;\ #,##0"/>
    <numFmt numFmtId="166" formatCode="General_)"/>
    <numFmt numFmtId="167" formatCode="&quot;$&quot;#,##0"/>
    <numFmt numFmtId="168" formatCode="dd/mm/yyyy\ hh:mm"/>
    <numFmt numFmtId="169" formatCode="_ &quot;$&quot;\ * #,##0_ ;[Red]_ &quot;$&quot;\ * \-#,##0_ ;[Red]_ &quot;$&quot;\ * &quot;-&quot;_ ;_ @_ 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rgb="FF008000"/>
      <name val="Tahoma"/>
      <family val="2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name val="Helv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166" fontId="18" fillId="0" borderId="0"/>
  </cellStyleXfs>
  <cellXfs count="1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4" fillId="0" borderId="0" xfId="0" applyFont="1" applyAlignment="1">
      <alignment horizontal="center"/>
    </xf>
    <xf numFmtId="0" fontId="14" fillId="6" borderId="5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15" fillId="0" borderId="0" xfId="0" applyFont="1" applyAlignment="1">
      <alignment horizontal="center"/>
    </xf>
    <xf numFmtId="0" fontId="15" fillId="6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vertical="center"/>
    </xf>
    <xf numFmtId="165" fontId="9" fillId="7" borderId="0" xfId="0" applyNumberFormat="1" applyFont="1" applyFill="1" applyAlignment="1">
      <alignment horizontal="right" vertical="center"/>
    </xf>
    <xf numFmtId="164" fontId="9" fillId="7" borderId="0" xfId="0" applyNumberFormat="1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1" fillId="0" borderId="6" xfId="0" applyFont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5" fillId="0" borderId="0" xfId="0" pivotButton="1" applyFont="1"/>
    <xf numFmtId="164" fontId="1" fillId="0" borderId="0" xfId="0" applyNumberFormat="1" applyFont="1" applyAlignment="1">
      <alignment horizontal="right"/>
    </xf>
    <xf numFmtId="3" fontId="0" fillId="0" borderId="0" xfId="0" applyNumberFormat="1"/>
    <xf numFmtId="0" fontId="15" fillId="0" borderId="0" xfId="0" applyFont="1"/>
    <xf numFmtId="164" fontId="16" fillId="8" borderId="0" xfId="0" applyNumberFormat="1" applyFont="1" applyFill="1"/>
    <xf numFmtId="0" fontId="15" fillId="0" borderId="0" xfId="0" pivotButton="1" applyFont="1" applyAlignment="1">
      <alignment horizontal="center"/>
    </xf>
    <xf numFmtId="14" fontId="0" fillId="0" borderId="0" xfId="0" pivotButton="1" applyNumberFormat="1"/>
    <xf numFmtId="164" fontId="0" fillId="0" borderId="0" xfId="1" applyFont="1"/>
    <xf numFmtId="0" fontId="16" fillId="10" borderId="9" xfId="0" applyFont="1" applyFill="1" applyBorder="1" applyAlignment="1">
      <alignment horizontal="center"/>
    </xf>
    <xf numFmtId="0" fontId="16" fillId="10" borderId="10" xfId="0" applyFont="1" applyFill="1" applyBorder="1" applyAlignment="1">
      <alignment horizontal="center"/>
    </xf>
    <xf numFmtId="164" fontId="16" fillId="10" borderId="10" xfId="0" applyNumberFormat="1" applyFont="1" applyFill="1" applyBorder="1" applyAlignment="1">
      <alignment horizontal="center"/>
    </xf>
    <xf numFmtId="164" fontId="16" fillId="10" borderId="0" xfId="0" applyNumberFormat="1" applyFont="1" applyFill="1" applyAlignment="1">
      <alignment horizontal="center"/>
    </xf>
    <xf numFmtId="0" fontId="16" fillId="10" borderId="0" xfId="0" applyFont="1" applyFill="1" applyAlignment="1">
      <alignment horizontal="center"/>
    </xf>
    <xf numFmtId="164" fontId="9" fillId="11" borderId="0" xfId="0" applyNumberFormat="1" applyFont="1" applyFill="1"/>
    <xf numFmtId="0" fontId="11" fillId="0" borderId="5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165" fontId="9" fillId="12" borderId="0" xfId="0" applyNumberFormat="1" applyFont="1" applyFill="1" applyAlignment="1">
      <alignment horizontal="right" vertical="center"/>
    </xf>
    <xf numFmtId="164" fontId="13" fillId="12" borderId="0" xfId="0" applyNumberFormat="1" applyFont="1" applyFill="1" applyAlignment="1">
      <alignment vertical="center"/>
    </xf>
    <xf numFmtId="1" fontId="13" fillId="12" borderId="0" xfId="0" applyNumberFormat="1" applyFont="1" applyFill="1" applyAlignment="1">
      <alignment vertical="center"/>
    </xf>
    <xf numFmtId="165" fontId="9" fillId="13" borderId="0" xfId="0" applyNumberFormat="1" applyFont="1" applyFill="1" applyAlignment="1">
      <alignment horizontal="right" vertical="center"/>
    </xf>
    <xf numFmtId="164" fontId="13" fillId="13" borderId="0" xfId="0" applyNumberFormat="1" applyFont="1" applyFill="1" applyAlignment="1">
      <alignment vertical="center"/>
    </xf>
    <xf numFmtId="1" fontId="13" fillId="13" borderId="0" xfId="0" applyNumberFormat="1" applyFont="1" applyFill="1" applyAlignment="1">
      <alignment vertical="center"/>
    </xf>
    <xf numFmtId="0" fontId="19" fillId="9" borderId="5" xfId="0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22" fontId="0" fillId="0" borderId="0" xfId="0" applyNumberFormat="1"/>
    <xf numFmtId="0" fontId="0" fillId="6" borderId="0" xfId="0" applyFill="1"/>
    <xf numFmtId="164" fontId="11" fillId="5" borderId="5" xfId="1" applyFont="1" applyFill="1" applyBorder="1" applyAlignment="1" applyProtection="1">
      <alignment horizontal="right" vertical="center"/>
    </xf>
    <xf numFmtId="164" fontId="7" fillId="5" borderId="5" xfId="1" applyFont="1" applyFill="1" applyBorder="1" applyAlignment="1" applyProtection="1">
      <alignment horizontal="right" vertical="center"/>
    </xf>
    <xf numFmtId="0" fontId="0" fillId="0" borderId="0" xfId="0" applyAlignment="1">
      <alignment horizontal="left" indent="2"/>
    </xf>
    <xf numFmtId="0" fontId="15" fillId="14" borderId="5" xfId="0" applyFont="1" applyFill="1" applyBorder="1" applyAlignment="1">
      <alignment horizontal="center" vertical="center"/>
    </xf>
    <xf numFmtId="0" fontId="15" fillId="14" borderId="5" xfId="0" applyFont="1" applyFill="1" applyBorder="1" applyAlignment="1">
      <alignment horizontal="center" vertical="center" wrapText="1"/>
    </xf>
    <xf numFmtId="1" fontId="15" fillId="14" borderId="5" xfId="0" applyNumberFormat="1" applyFont="1" applyFill="1" applyBorder="1" applyAlignment="1">
      <alignment horizontal="center" vertical="center" wrapText="1"/>
    </xf>
    <xf numFmtId="3" fontId="15" fillId="14" borderId="5" xfId="0" applyNumberFormat="1" applyFont="1" applyFill="1" applyBorder="1" applyAlignment="1">
      <alignment horizontal="center" vertical="center"/>
    </xf>
    <xf numFmtId="3" fontId="15" fillId="14" borderId="5" xfId="0" applyNumberFormat="1" applyFont="1" applyFill="1" applyBorder="1" applyAlignment="1">
      <alignment horizontal="center" vertical="center" wrapText="1"/>
    </xf>
    <xf numFmtId="0" fontId="0" fillId="0" borderId="5" xfId="0" applyBorder="1"/>
    <xf numFmtId="164" fontId="0" fillId="0" borderId="5" xfId="1" applyFont="1" applyBorder="1"/>
    <xf numFmtId="1" fontId="0" fillId="0" borderId="5" xfId="0" applyNumberFormat="1" applyBorder="1" applyAlignment="1">
      <alignment wrapText="1"/>
    </xf>
    <xf numFmtId="167" fontId="0" fillId="0" borderId="0" xfId="0" applyNumberFormat="1"/>
    <xf numFmtId="164" fontId="0" fillId="0" borderId="7" xfId="1" applyFont="1" applyBorder="1"/>
    <xf numFmtId="164" fontId="15" fillId="12" borderId="15" xfId="1" applyFont="1" applyFill="1" applyBorder="1"/>
    <xf numFmtId="0" fontId="0" fillId="0" borderId="5" xfId="0" applyBorder="1" applyAlignment="1">
      <alignment horizontal="center"/>
    </xf>
    <xf numFmtId="0" fontId="15" fillId="15" borderId="0" xfId="0" applyFont="1" applyFill="1" applyAlignment="1">
      <alignment horizontal="right" vertical="center"/>
    </xf>
    <xf numFmtId="0" fontId="9" fillId="15" borderId="0" xfId="0" applyFont="1" applyFill="1" applyAlignment="1">
      <alignment vertical="center"/>
    </xf>
    <xf numFmtId="168" fontId="1" fillId="0" borderId="0" xfId="0" applyNumberFormat="1" applyFont="1" applyAlignment="1">
      <alignment horizontal="center" vertical="center"/>
    </xf>
    <xf numFmtId="168" fontId="1" fillId="0" borderId="0" xfId="0" applyNumberFormat="1" applyFont="1"/>
    <xf numFmtId="164" fontId="0" fillId="0" borderId="0" xfId="1" applyFont="1" applyAlignment="1">
      <alignment horizontal="center"/>
    </xf>
    <xf numFmtId="42" fontId="0" fillId="0" borderId="0" xfId="0" applyNumberFormat="1"/>
    <xf numFmtId="1" fontId="0" fillId="0" borderId="0" xfId="0" applyNumberFormat="1"/>
    <xf numFmtId="0" fontId="0" fillId="0" borderId="0" xfId="0" quotePrefix="1"/>
    <xf numFmtId="3" fontId="15" fillId="12" borderId="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5" xfId="0" applyBorder="1" applyAlignment="1">
      <alignment horizontal="center" vertical="center"/>
    </xf>
    <xf numFmtId="164" fontId="0" fillId="0" borderId="5" xfId="1" applyFont="1" applyBorder="1" applyAlignment="1">
      <alignment horizontal="right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right" vertical="center"/>
    </xf>
    <xf numFmtId="0" fontId="11" fillId="0" borderId="5" xfId="0" applyFont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9" fillId="2" borderId="7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8" fillId="2" borderId="0" xfId="0" applyFont="1" applyFill="1" applyAlignment="1" applyProtection="1">
      <alignment horizontal="center" vertical="center"/>
      <protection locked="0"/>
    </xf>
    <xf numFmtId="0" fontId="10" fillId="3" borderId="5" xfId="0" applyFont="1" applyFill="1" applyBorder="1" applyAlignment="1">
      <alignment horizontal="center" vertical="center"/>
    </xf>
    <xf numFmtId="0" fontId="16" fillId="8" borderId="0" xfId="0" applyFont="1" applyFill="1" applyAlignment="1">
      <alignment horizontal="center"/>
    </xf>
    <xf numFmtId="0" fontId="16" fillId="8" borderId="0" xfId="0" applyFont="1" applyFill="1" applyAlignment="1">
      <alignment horizontal="left"/>
    </xf>
    <xf numFmtId="164" fontId="16" fillId="8" borderId="0" xfId="1" applyFont="1" applyFill="1" applyAlignment="1">
      <alignment horizontal="center"/>
    </xf>
    <xf numFmtId="164" fontId="9" fillId="7" borderId="0" xfId="0" applyNumberFormat="1" applyFont="1" applyFill="1" applyAlignment="1">
      <alignment horizontal="center" vertical="center"/>
    </xf>
    <xf numFmtId="164" fontId="9" fillId="9" borderId="5" xfId="0" applyNumberFormat="1" applyFont="1" applyFill="1" applyBorder="1" applyAlignment="1">
      <alignment horizontal="center" vertical="center"/>
    </xf>
    <xf numFmtId="164" fontId="13" fillId="13" borderId="0" xfId="0" applyNumberFormat="1" applyFont="1" applyFill="1" applyAlignment="1">
      <alignment horizontal="left" vertical="center"/>
    </xf>
    <xf numFmtId="164" fontId="13" fillId="12" borderId="0" xfId="0" applyNumberFormat="1" applyFont="1" applyFill="1" applyAlignment="1">
      <alignment horizontal="left" vertical="center"/>
    </xf>
    <xf numFmtId="164" fontId="9" fillId="7" borderId="0" xfId="0" applyNumberFormat="1" applyFont="1" applyFill="1" applyAlignment="1">
      <alignment vertical="center"/>
    </xf>
    <xf numFmtId="0" fontId="9" fillId="11" borderId="8" xfId="0" applyFont="1" applyFill="1" applyBorder="1" applyAlignment="1">
      <alignment horizontal="right"/>
    </xf>
    <xf numFmtId="1" fontId="15" fillId="14" borderId="0" xfId="0" applyNumberFormat="1" applyFont="1" applyFill="1" applyAlignment="1">
      <alignment horizontal="right" wrapText="1"/>
    </xf>
    <xf numFmtId="1" fontId="15" fillId="14" borderId="14" xfId="0" applyNumberFormat="1" applyFont="1" applyFill="1" applyBorder="1" applyAlignment="1">
      <alignment horizontal="right" wrapText="1"/>
    </xf>
    <xf numFmtId="0" fontId="15" fillId="15" borderId="0" xfId="0" applyFont="1" applyFill="1" applyAlignment="1">
      <alignment vertical="center"/>
    </xf>
    <xf numFmtId="0" fontId="15" fillId="15" borderId="0" xfId="0" applyFont="1" applyFill="1" applyAlignment="1">
      <alignment horizontal="left" vertical="center"/>
    </xf>
    <xf numFmtId="0" fontId="15" fillId="15" borderId="0" xfId="0" applyFont="1" applyFill="1" applyAlignment="1">
      <alignment horizontal="right" vertical="center"/>
    </xf>
    <xf numFmtId="0" fontId="21" fillId="18" borderId="0" xfId="0" applyFont="1" applyFill="1" applyAlignment="1">
      <alignment horizontal="center" vertical="center"/>
    </xf>
    <xf numFmtId="164" fontId="9" fillId="12" borderId="0" xfId="0" applyNumberFormat="1" applyFont="1" applyFill="1" applyAlignment="1">
      <alignment horizontal="right" vertical="center"/>
    </xf>
    <xf numFmtId="169" fontId="10" fillId="17" borderId="0" xfId="0" applyNumberFormat="1" applyFont="1" applyFill="1" applyAlignment="1">
      <alignment horizontal="right" vertical="center"/>
    </xf>
    <xf numFmtId="164" fontId="9" fillId="16" borderId="0" xfId="0" applyNumberFormat="1" applyFont="1" applyFill="1" applyAlignment="1">
      <alignment horizontal="center" vertical="center"/>
    </xf>
    <xf numFmtId="1" fontId="15" fillId="14" borderId="12" xfId="0" applyNumberFormat="1" applyFont="1" applyFill="1" applyBorder="1" applyAlignment="1">
      <alignment horizontal="right" wrapText="1"/>
    </xf>
    <xf numFmtId="1" fontId="15" fillId="14" borderId="13" xfId="0" applyNumberFormat="1" applyFont="1" applyFill="1" applyBorder="1" applyAlignment="1">
      <alignment horizontal="right" wrapText="1"/>
    </xf>
    <xf numFmtId="0" fontId="9" fillId="12" borderId="0" xfId="0" applyFont="1" applyFill="1" applyAlignment="1">
      <alignment horizontal="right" vertical="center"/>
    </xf>
    <xf numFmtId="0" fontId="9" fillId="16" borderId="0" xfId="0" applyFont="1" applyFill="1" applyAlignment="1">
      <alignment horizontal="right" vertical="center"/>
    </xf>
    <xf numFmtId="0" fontId="10" fillId="17" borderId="0" xfId="0" applyFont="1" applyFill="1" applyAlignment="1">
      <alignment horizontal="right" vertical="center"/>
    </xf>
    <xf numFmtId="0" fontId="12" fillId="6" borderId="0" xfId="0" applyFont="1" applyFill="1" applyAlignment="1">
      <alignment horizontal="center"/>
    </xf>
    <xf numFmtId="1" fontId="12" fillId="6" borderId="0" xfId="0" applyNumberFormat="1" applyFont="1" applyFill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</cellXfs>
  <cellStyles count="3">
    <cellStyle name="Moneda [0]" xfId="1" builtinId="7"/>
    <cellStyle name="Normal" xfId="0" builtinId="0"/>
    <cellStyle name="Normal 2" xfId="2" xr:uid="{43E0D0D4-E04A-4466-90AA-02602452A50F}"/>
  </cellStyles>
  <dxfs count="271">
    <dxf>
      <numFmt numFmtId="19" formatCode="dd/mm/yyyy"/>
    </dxf>
    <dxf>
      <numFmt numFmtId="27" formatCode="dd/mm/yyyy\ h:mm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32" formatCode="_ &quot;$&quot;* #,##0_ ;_ &quot;$&quot;* \-#,##0_ ;_ &quot;$&quot;* &quot;-&quot;_ ;_ @_ "/>
    </dxf>
    <dxf>
      <numFmt numFmtId="19" formatCode="dd/mm/yy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 &quot;$&quot;\ * #,##0_ ;_ &quot;$&quot;\ * \-#,##0_ ;_ &quot;$&quot;\ * &quot;-&quot;_ ;_ @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 &quot;$&quot;\ * #,##0_ ;_ &quot;$&quot;\ * \-#,##0_ ;_ &quot;$&quot;\ * &quot;-&quot;_ ;_ @_ 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 &quot;$&quot;\ * #,##0_ ;_ &quot;$&quot;\ * \-#,##0_ ;_ &quot;$&quot;\ * &quot;-&quot;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_ &quot;$&quot;\ * #,##0_ ;_ &quot;$&quot;\ * \-#,##0_ ;_ &quot;$&quot;\ * &quot;-&quot;_ ;_ @_ 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4" formatCode="_ &quot;$&quot;\ * #,##0_ ;_ &quot;$&quot;\ * \-#,##0_ ;_ &quot;$&quot;\ * &quot;-&quot;_ ;_ @_ "/>
    </dxf>
    <dxf>
      <numFmt numFmtId="164" formatCode="_ &quot;$&quot;\ * #,##0_ ;_ &quot;$&quot;\ * \-#,##0_ ;_ &quot;$&quot;\ * &quot;-&quot;_ ;_ @_ "/>
    </dxf>
    <dxf>
      <numFmt numFmtId="164" formatCode="_ &quot;$&quot;\ * #,##0_ ;_ &quot;$&quot;\ * \-#,##0_ ;_ &quot;$&quot;\ * &quot;-&quot;_ ;_ @_ "/>
    </dxf>
    <dxf>
      <numFmt numFmtId="164" formatCode="_ &quot;$&quot;\ * #,##0_ ;_ &quot;$&quot;\ * \-#,##0_ ;_ &quot;$&quot;\ * &quot;-&quot;_ ;_ @_ "/>
    </dxf>
    <dxf>
      <numFmt numFmtId="164" formatCode="_ &quot;$&quot;\ * #,##0_ ;_ &quot;$&quot;\ * \-#,##0_ ;_ &quot;$&quot;\ * &quot;-&quot;_ ;_ @_ "/>
    </dxf>
    <dxf>
      <numFmt numFmtId="164" formatCode="_ &quot;$&quot;\ * #,##0_ ;_ &quot;$&quot;\ * \-#,##0_ ;_ &quot;$&quot;\ * &quot;-&quot;_ ;_ @_ "/>
    </dxf>
    <dxf>
      <numFmt numFmtId="0" formatCode="General"/>
      <alignment horizontal="center" textRotation="0" wrapText="0" indent="0" justifyLastLine="0" shrinkToFit="0" readingOrder="0"/>
    </dxf>
    <dxf>
      <numFmt numFmtId="164" formatCode="_ &quot;$&quot;\ * #,##0_ ;_ &quot;$&quot;\ * \-#,##0_ ;_ &quot;$&quot;\ * &quot;-&quot;_ ;_ @_ "/>
      <fill>
        <patternFill patternType="none">
          <fgColor indexed="64"/>
          <bgColor auto="1"/>
        </patternFill>
      </fill>
    </dxf>
    <dxf>
      <numFmt numFmtId="164" formatCode="_ &quot;$&quot;\ * #,##0_ ;_ &quot;$&quot;\ * \-#,##0_ ;_ &quot;$&quot;\ * &quot;-&quot;_ ;_ @_ "/>
    </dxf>
    <dxf>
      <numFmt numFmtId="164" formatCode="_ &quot;$&quot;\ * #,##0_ ;_ &quot;$&quot;\ * \-#,##0_ ;_ &quot;$&quot;\ * &quot;-&quot;_ ;_ @_ "/>
    </dxf>
    <dxf>
      <numFmt numFmtId="164" formatCode="_ &quot;$&quot;\ * #,##0_ ;_ &quot;$&quot;\ * \-#,##0_ ;_ &quot;$&quot;\ * &quot;-&quot;_ ;_ @_ 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/>
        <i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_ &quot;$&quot;\ * #,##0_ ;_ &quot;$&quot;\ * \-#,##0_ ;_ &quot;$&quot;\ * &quot;-&quot;_ ;_ @_ "/>
      <alignment horizontal="righ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9" formatCode="dd/mm/yyyy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color theme="5"/>
      </font>
    </dxf>
    <dxf>
      <font>
        <b/>
        <i/>
        <color theme="7"/>
      </font>
    </dxf>
    <dxf>
      <font>
        <b/>
        <i/>
        <color rgb="FFFF000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_ &quot;$&quot;\ * #,##0_ ;_ &quot;$&quot;\ * \-#,##0_ ;_ &quot;$&quot;\ * &quot;-&quot;_ ;_ @_ "/>
    </dxf>
    <dxf>
      <alignment horizontal="center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C7D241D1-1DD2-4F95-8CDF-AAAEB42F490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63" Type="http://schemas.openxmlformats.org/officeDocument/2006/relationships/customXml" Target="../customXml/item20.xml"/><Relationship Id="rId68" Type="http://schemas.openxmlformats.org/officeDocument/2006/relationships/customXml" Target="../customXml/item25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openxmlformats.org/officeDocument/2006/relationships/customXml" Target="../customXml/item23.xml"/><Relationship Id="rId74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microsoft.com/office/2007/relationships/slicerCache" Target="slicerCaches/slicerCache3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69" Type="http://schemas.openxmlformats.org/officeDocument/2006/relationships/customXml" Target="../customXml/item26.xml"/><Relationship Id="rId77" Type="http://schemas.openxmlformats.org/officeDocument/2006/relationships/customXml" Target="../customXml/item34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72" Type="http://schemas.openxmlformats.org/officeDocument/2006/relationships/customXml" Target="../customXml/item2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1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67" Type="http://schemas.openxmlformats.org/officeDocument/2006/relationships/customXml" Target="../customXml/item24.xml"/><Relationship Id="rId20" Type="http://schemas.openxmlformats.org/officeDocument/2006/relationships/worksheet" Target="worksheets/sheet20.xml"/><Relationship Id="rId41" Type="http://schemas.openxmlformats.org/officeDocument/2006/relationships/sheetMetadata" Target="metadata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70" Type="http://schemas.openxmlformats.org/officeDocument/2006/relationships/customXml" Target="../customXml/item27.xml"/><Relationship Id="rId75" Type="http://schemas.openxmlformats.org/officeDocument/2006/relationships/customXml" Target="../customXml/item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36" Type="http://schemas.microsoft.com/office/2007/relationships/slicerCache" Target="slicerCaches/slicerCache4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5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73" Type="http://schemas.openxmlformats.org/officeDocument/2006/relationships/customXml" Target="../customXml/item30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styles" Target="styles.xml"/><Relationship Id="rId34" Type="http://schemas.microsoft.com/office/2007/relationships/slicerCache" Target="slicerCaches/slicerCache2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76" Type="http://schemas.openxmlformats.org/officeDocument/2006/relationships/customXml" Target="../customXml/item33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8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638175</xdr:colOff>
      <xdr:row>7</xdr:row>
      <xdr:rowOff>114300</xdr:rowOff>
    </xdr:from>
    <xdr:to>
      <xdr:col>8</xdr:col>
      <xdr:colOff>476250</xdr:colOff>
      <xdr:row>13</xdr:row>
      <xdr:rowOff>177981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0475" y="2476500"/>
          <a:ext cx="1362075" cy="1663881"/>
        </a:xfrm>
        <a:prstGeom prst="rect">
          <a:avLst/>
        </a:prstGeom>
      </xdr:spPr>
    </xdr:pic>
    <xdr:clientData/>
  </xdr:twoCellAnchor>
  <xdr:twoCellAnchor editAs="oneCell">
    <xdr:from>
      <xdr:col>6</xdr:col>
      <xdr:colOff>401955</xdr:colOff>
      <xdr:row>1</xdr:row>
      <xdr:rowOff>43543</xdr:rowOff>
    </xdr:from>
    <xdr:to>
      <xdr:col>9</xdr:col>
      <xdr:colOff>104775</xdr:colOff>
      <xdr:row>6</xdr:row>
      <xdr:rowOff>164102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4255" y="253093"/>
          <a:ext cx="1988820" cy="20065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16</xdr:row>
          <xdr:rowOff>0</xdr:rowOff>
        </xdr:from>
        <xdr:to>
          <xdr:col>9</xdr:col>
          <xdr:colOff>99060</xdr:colOff>
          <xdr:row>20</xdr:row>
          <xdr:rowOff>45720</xdr:rowOff>
        </xdr:to>
        <xdr:sp macro="" textlink="">
          <xdr:nvSpPr>
            <xdr:cNvPr id="1025" name="BtnAcredit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es-CL" sz="2400" b="0" i="0" u="none" strike="noStrike" baseline="0">
                  <a:solidFill>
                    <a:srgbClr val="008000"/>
                  </a:solidFill>
                  <a:latin typeface="Tahoma"/>
                  <a:ea typeface="Tahoma"/>
                  <a:cs typeface="Tahoma"/>
                </a:rPr>
                <a:t>Apretar para ACREDITAR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76200</xdr:colOff>
      <xdr:row>0</xdr:row>
      <xdr:rowOff>0</xdr:rowOff>
    </xdr:from>
    <xdr:to>
      <xdr:col>12</xdr:col>
      <xdr:colOff>673590</xdr:colOff>
      <xdr:row>4</xdr:row>
      <xdr:rowOff>22380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82450" y="0"/>
              <a:ext cx="2883390" cy="784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76200</xdr:colOff>
      <xdr:row>4</xdr:row>
      <xdr:rowOff>66675</xdr:rowOff>
    </xdr:from>
    <xdr:to>
      <xdr:col>12</xdr:col>
      <xdr:colOff>672465</xdr:colOff>
      <xdr:row>8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Rol 1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82450" y="828675"/>
              <a:ext cx="2882265" cy="7867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247650</xdr:colOff>
      <xdr:row>0</xdr:row>
      <xdr:rowOff>0</xdr:rowOff>
    </xdr:from>
    <xdr:to>
      <xdr:col>9</xdr:col>
      <xdr:colOff>30480</xdr:colOff>
      <xdr:row>13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ISTRITO">
              <a:extLst>
                <a:ext uri="{FF2B5EF4-FFF2-40B4-BE49-F238E27FC236}">
                  <a16:creationId xmlns:a16="http://schemas.microsoft.com/office/drawing/2014/main" id="{00000000-0008-0000-1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T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15550" y="0"/>
              <a:ext cx="1821180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85724</xdr:colOff>
      <xdr:row>8</xdr:row>
      <xdr:rowOff>114300</xdr:rowOff>
    </xdr:from>
    <xdr:to>
      <xdr:col>12</xdr:col>
      <xdr:colOff>685799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AVISADO 1">
              <a:extLst>
                <a:ext uri="{FF2B5EF4-FFF2-40B4-BE49-F238E27FC236}">
                  <a16:creationId xmlns:a16="http://schemas.microsoft.com/office/drawing/2014/main" id="{00000000-0008-0000-1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VISA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991974" y="1638300"/>
              <a:ext cx="2886075" cy="866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Pesce" refreshedDate="45842.549936111114" backgroundQuery="1" createdVersion="8" refreshedVersion="8" minRefreshableVersion="3" recordCount="0" supportSubquery="1" supportAdvancedDrill="1" xr:uid="{2C389074-3630-41A2-B387-401E128A8E4E}">
  <cacheSource type="external" connectionId="6"/>
  <cacheFields count="5">
    <cacheField name="[T_Voluntarios].[ROL].[ROL]" caption="ROL" numFmtId="0" hierarchy="88" level="1">
      <sharedItems containsSemiMixedTypes="0" containsNonDate="0" containsString="0"/>
    </cacheField>
    <cacheField name="[T_Voluntarios].[RAMA_CURSO].[RAMA_CURSO]" caption="RAMA_CURSO" numFmtId="0" hierarchy="90" level="1">
      <sharedItems count="6">
        <s v="Caminantes"/>
        <s v="Golondrinas"/>
        <s v="Guias"/>
        <s v="Lobatos"/>
        <s v="Pioneros"/>
        <s v="Scouts"/>
      </sharedItems>
    </cacheField>
    <cacheField name="[Measures].[Suma de CUENTA]" caption="Suma de CUENTA" numFmtId="0" hierarchy="135" level="32767"/>
    <cacheField name="[T_Voluntarios].[CARGO_VIGENTE].[CARGO_VIGENTE]" caption="CARGO_VIGENTE" numFmtId="0" hierarchy="120" level="1">
      <sharedItems containsNonDate="0" containsString="0" containsBlank="1" count="1">
        <m/>
      </sharedItems>
    </cacheField>
    <cacheField name="[T_Voluntarios].[NOMBRE].[NOMBRE]" caption="NOMBRE" numFmtId="0" hierarchy="82" level="1">
      <sharedItems count="30">
        <s v="Alexis Hernán Auad Díaz"/>
        <s v="Fabiola Letelier Álvarez"/>
        <s v="Fernando Antonio Fuentes Riveros"/>
        <s v="Miguel Angel Villanueva Cuevas"/>
        <s v="Sebastián Esteban Rojas Canales"/>
        <s v="Ana Carolina Madrid  Canivilo"/>
        <s v="Camila Cabrera Menares"/>
        <s v="Daniela Alejandra Bascur Sanhueza"/>
        <s v="Ismael Osvaldo Espinoza Soto"/>
        <s v="Romina Paz Arnechino Arriagada"/>
        <s v="Barbara Jullieth Meza Benavides"/>
        <s v="Danitza Monserrat Valencia Pedreros"/>
        <s v="Mónica Scarlett Aránguiz Venegas"/>
        <s v="Rodrigo Felipe Pedreros Reyes"/>
        <s v="Silvia Karina Carrasco Avilés"/>
        <s v="Aldo Felipe Arévalo Rodríguez"/>
        <s v="Felipe Andrés Lehuey Cuevas"/>
        <s v="Javiera Constanza Sánchez Vega"/>
        <s v="Oriana Alejandra Saez Muñoz"/>
        <s v="Cristóbal Tomás Chávez Montoya"/>
        <s v="Eric Edison Eduardo Muñoz Beltran"/>
        <s v="Krishna Alexandra Mella Escobar"/>
        <s v="Liset Scarlet Alarcón Ortega"/>
        <s v="Sebastián Hormazábal Madrid"/>
        <s v="Vicente Javier González Silva"/>
        <s v="Alonso Javier Villablanca Figueroa"/>
        <s v="Braulio Alfredo Rojas Salas"/>
        <s v="Carlos Gerardo Hormazábal Saez"/>
        <s v="Ivo Pietro Battaglia Salinas"/>
        <s v="María José Sepúlveda Benedetti"/>
      </sharedItems>
    </cacheField>
  </cacheFields>
  <cacheHierarchies count="152">
    <cacheHierarchy uniqueName="[BBDD].[RUN]" caption="RUN" attribute="1" defaultMemberUniqueName="[BBDD].[RUN].[All]" allUniqueName="[BBDD].[RUN].[All]" dimensionUniqueName="[BBDD]" displayFolder="" count="0" memberValueDatatype="130" unbalanced="0"/>
    <cacheHierarchy uniqueName="[BBDD].[FECHA_HORA]" caption="FECHA_HORA" attribute="1" time="1" defaultMemberUniqueName="[BBDD].[FECHA_HORA].[All]" allUniqueName="[BBDD].[FECHA_HORA].[All]" dimensionUniqueName="[BBDD]" displayFolder="" count="0" memberValueDatatype="7" unbalanced="0"/>
    <cacheHierarchy uniqueName="[BBDD].[EMAIL]" caption="EMAIL" attribute="1" defaultMemberUniqueName="[BBDD].[EMAIL].[All]" allUniqueName="[BBDD].[EMAIL].[All]" dimensionUniqueName="[BBDD]" displayFolder="" count="0" memberValueDatatype="130" unbalanced="0"/>
    <cacheHierarchy uniqueName="[BBDD].[NOMBRE]" caption="NOMBRE" attribute="1" defaultMemberUniqueName="[BBDD].[NOMBRE].[All]" allUniqueName="[BBDD].[NOMBRE].[All]" dimensionUniqueName="[BBDD]" displayFolder="" count="0" memberValueDatatype="130" unbalanced="0"/>
    <cacheHierarchy uniqueName="[BBDD].[FECHA_NAC]" caption="FECHA_NAC" attribute="1" time="1" defaultMemberUniqueName="[BBDD].[FECHA_NAC].[All]" allUniqueName="[BBDD].[FECHA_NAC].[All]" dimensionUniqueName="[BBDD]" displayFolder="" count="0" memberValueDatatype="7" unbalanced="0"/>
    <cacheHierarchy uniqueName="[BBDD].[DIRECCION]" caption="DIRECCION" attribute="1" defaultMemberUniqueName="[BBDD].[DIRECCION].[All]" allUniqueName="[BBDD].[DIRECCION].[All]" dimensionUniqueName="[BBDD]" displayFolder="" count="0" memberValueDatatype="130" unbalanced="0"/>
    <cacheHierarchy uniqueName="[BBDD].[COMUNA]" caption="COMUNA" attribute="1" defaultMemberUniqueName="[BBDD].[COMUNA].[All]" allUniqueName="[BBDD].[COMUNA].[All]" dimensionUniqueName="[BBDD]" displayFolder="" count="0" memberValueDatatype="130" unbalanced="0"/>
    <cacheHierarchy uniqueName="[BBDD].[TIPO_FONO]" caption="TIPO_FONO" attribute="1" defaultMemberUniqueName="[BBDD].[TIPO_FONO].[All]" allUniqueName="[BBDD].[TIPO_FONO].[All]" dimensionUniqueName="[BBDD]" displayFolder="" count="0" memberValueDatatype="130" unbalanced="0"/>
    <cacheHierarchy uniqueName="[BBDD].[FONO]" caption="FONO" attribute="1" defaultMemberUniqueName="[BBDD].[FONO].[All]" allUniqueName="[BBDD].[FONO].[All]" dimensionUniqueName="[BBDD]" displayFolder="" count="0" memberValueDatatype="130" unbalanced="0"/>
    <cacheHierarchy uniqueName="[BBDD].[ROL]" caption="ROL" attribute="1" defaultMemberUniqueName="[BBDD].[ROL].[All]" allUniqueName="[BBDD].[ROL].[All]" dimensionUniqueName="[BBDD]" displayFolder="" count="0" memberValueDatatype="130" unbalanced="0"/>
    <cacheHierarchy uniqueName="[BBDD].[GRUPO]" caption="GRUPO" attribute="1" defaultMemberUniqueName="[BBDD].[GRUPO].[All]" allUniqueName="[BBDD].[GRUPO].[All]" dimensionUniqueName="[BBDD]" displayFolder="" count="0" memberValueDatatype="130" unbalanced="0"/>
    <cacheHierarchy uniqueName="[BBDD].[RAMA]" caption="RAMA" attribute="1" defaultMemberUniqueName="[BBDD].[RAMA].[All]" allUniqueName="[BBDD].[RAMA].[All]" dimensionUniqueName="[BBDD]" displayFolder="" count="0" memberValueDatatype="130" unbalanced="0"/>
    <cacheHierarchy uniqueName="[BBDD].[CARGO]" caption="CARGO" attribute="1" defaultMemberUniqueName="[BBDD].[CARGO].[All]" allUniqueName="[BBDD].[CARGO].[All]" dimensionUniqueName="[BBDD]" displayFolder="" count="0" memberValueDatatype="130" unbalanced="0"/>
    <cacheHierarchy uniqueName="[BBDD].[TIEMPO_UNIDAD]" caption="TIEMPO_UNIDAD" attribute="1" defaultMemberUniqueName="[BBDD].[TIEMPO_UNIDAD].[All]" allUniqueName="[BBDD].[TIEMPO_UNIDAD].[All]" dimensionUniqueName="[BBDD]" displayFolder="" count="0" memberValueDatatype="130" unbalanced="0"/>
    <cacheHierarchy uniqueName="[BBDD].[DISTRITO]" caption="DISTRITO" attribute="1" defaultMemberUniqueName="[BBDD].[DISTRITO].[All]" allUniqueName="[BBDD].[DISTRITO].[All]" dimensionUniqueName="[BBDD]" displayFolder="" count="0" memberValueDatatype="130" unbalanced="0"/>
    <cacheHierarchy uniqueName="[BBDD].[NIVEL]" caption="NIVEL" attribute="1" defaultMemberUniqueName="[BBDD].[NIVEL].[All]" allUniqueName="[BBDD].[NIVEL].[All]" dimensionUniqueName="[BBDD]" displayFolder="" count="0" memberValueDatatype="130" unbalanced="0"/>
    <cacheHierarchy uniqueName="[BBDD].[NUM_MMAA]" caption="NUM_MMAA" attribute="1" defaultMemberUniqueName="[BBDD].[NUM_MMAA].[All]" allUniqueName="[BBDD].[NUM_MMAA].[All]" dimensionUniqueName="[BBDD]" displayFolder="" count="0" memberValueDatatype="130" unbalanced="0"/>
    <cacheHierarchy uniqueName="[BBDD].[RAMA_NIVEL_MEDIO]" caption="RAMA_NIVEL_MEDIO" attribute="1" defaultMemberUniqueName="[BBDD].[RAMA_NIVEL_MEDIO].[All]" allUniqueName="[BBDD].[RAMA_NIVEL_MEDIO].[All]" dimensionUniqueName="[BBDD]" displayFolder="" count="0" memberValueDatatype="130" unbalanced="0"/>
    <cacheHierarchy uniqueName="[BBDD].[RAMA_NIVEL_AVANZADO]" caption="RAMA_NIVEL_AVANZADO" attribute="1" defaultMemberUniqueName="[BBDD].[RAMA_NIVEL_AVANZADO].[All]" allUniqueName="[BBDD].[RAMA_NIVEL_AVANZADO].[All]" dimensionUniqueName="[BBDD]" displayFolder="" count="0" memberValueDatatype="130" unbalanced="0"/>
    <cacheHierarchy uniqueName="[BBDD].[ALIMENTACION]" caption="ALIMENTACION" attribute="1" defaultMemberUniqueName="[BBDD].[ALIMENTACION].[All]" allUniqueName="[BBDD].[ALIMENTACION].[All]" dimensionUniqueName="[BBDD]" displayFolder="" count="0" memberValueDatatype="130" unbalanced="0"/>
    <cacheHierarchy uniqueName="[BBDD].[ALERGIA]" caption="ALERGIA" attribute="1" defaultMemberUniqueName="[BBDD].[ALERGIA].[All]" allUniqueName="[BBDD].[ALERGIA].[All]" dimensionUniqueName="[BBDD]" displayFolder="" count="0" memberValueDatatype="130" unbalanced="0"/>
    <cacheHierarchy uniqueName="[BBDD].[LIMITACION]" caption="LIMITACION" attribute="1" defaultMemberUniqueName="[BBDD].[LIMITACION].[All]" allUniqueName="[BBDD].[LIMITACION].[All]" dimensionUniqueName="[BBDD]" displayFolder="" count="0" memberValueDatatype="130" unbalanced="0"/>
    <cacheHierarchy uniqueName="[BBDD].[EMERGENCIA]" caption="EMERGENCIA" attribute="1" defaultMemberUniqueName="[BBDD].[EMERGENCIA].[All]" allUniqueName="[BBDD].[EMERGENCIA].[All]" dimensionUniqueName="[BBDD]" displayFolder="" count="0" memberValueDatatype="130" unbalanced="0"/>
    <cacheHierarchy uniqueName="[BBDD].[PATENTE_VEHICULO]" caption="PATENTE_VEHICULO" attribute="1" defaultMemberUniqueName="[BBDD].[PATENTE_VEHICULO].[All]" allUniqueName="[BBDD].[PATENTE_VEHICULO].[All]" dimensionUniqueName="[BBDD]" displayFolder="" count="0" memberValueDatatype="130" unbalanced="0"/>
    <cacheHierarchy uniqueName="[BBDD].[MARCA_VEHICULO]" caption="MARCA_VEHICULO" attribute="1" defaultMemberUniqueName="[BBDD].[MARCA_VEHICULO].[All]" allUniqueName="[BBDD].[MARCA_VEHICULO].[All]" dimensionUniqueName="[BBDD]" displayFolder="" count="0" memberValueDatatype="130" unbalanced="0"/>
    <cacheHierarchy uniqueName="[BBDD].[MODELO_VEHICULO]" caption="MODELO_VEHICULO" attribute="1" defaultMemberUniqueName="[BBDD].[MODELO_VEHICULO].[All]" allUniqueName="[BBDD].[MODELO_VEHICULO].[All]" dimensionUniqueName="[BBDD]" displayFolder="" count="0" memberValueDatatype="130" unbalanced="0"/>
    <cacheHierarchy uniqueName="[BBDD].[CONSIDERACION]" caption="CONSIDERACION" attribute="1" defaultMemberUniqueName="[BBDD].[CONSIDERACION].[All]" allUniqueName="[BBDD].[CONSIDERACION].[All]" dimensionUniqueName="[BBDD]" displayFolder="" count="0" memberValueDatatype="130" unbalanced="0"/>
    <cacheHierarchy uniqueName="[BBDD].[ALOJAMIENTO]" caption="ALOJAMIENTO" attribute="1" defaultMemberUniqueName="[BBDD].[ALOJAMIENTO].[All]" allUniqueName="[BBDD].[ALOJAMIENTO].[All]" dimensionUniqueName="[BBDD]" displayFolder="" count="0" memberValueDatatype="130" unbalanced="0"/>
    <cacheHierarchy uniqueName="[BBDD].[PROFESION]" caption="PROFESION" attribute="1" defaultMemberUniqueName="[BBDD].[PROFESION].[All]" allUniqueName="[BBDD].[PROFESION].[All]" dimensionUniqueName="[BBDD]" displayFolder="" count="0" memberValueDatatype="130" unbalanced="0"/>
    <cacheHierarchy uniqueName="[BBDD].[TIEMPO_BENEFICIARIO]" caption="TIEMPO_BENEFICIARIO" attribute="1" defaultMemberUniqueName="[BBDD].[TIEMPO_BENEFICIARIO].[All]" allUniqueName="[BBDD].[TIEMPO_BENEFICIARIO].[All]" dimensionUniqueName="[BBDD]" displayFolder="" count="0" memberValueDatatype="130" unbalanced="0"/>
    <cacheHierarchy uniqueName="[BBDD].[TRABAJO_NNAJ]" caption="TRABAJO_NNAJ" attribute="1" defaultMemberUniqueName="[BBDD].[TRABAJO_NNAJ].[All]" allUniqueName="[BBDD].[TRABAJO_NNAJ].[All]" dimensionUniqueName="[BBDD]" displayFolder="" count="0" memberValueDatatype="130" unbalanced="0"/>
    <cacheHierarchy uniqueName="[BBDD].[ESTADO_CIVIL]" caption="ESTADO_CIVIL" attribute="1" defaultMemberUniqueName="[BBDD].[ESTADO_CIVIL].[All]" allUniqueName="[BBDD].[ESTADO_CIVIL].[All]" dimensionUniqueName="[BBDD]" displayFolder="" count="0" memberValueDatatype="130" unbalanced="0"/>
    <cacheHierarchy uniqueName="[BBDD].[RELIGION]" caption="RELIGION" attribute="1" defaultMemberUniqueName="[BBDD].[RELIGION].[All]" allUniqueName="[BBDD].[RELIGION].[All]" dimensionUniqueName="[BBDD]" displayFolder="" count="0" memberValueDatatype="130" unbalanced="0"/>
    <cacheHierarchy uniqueName="[BBDD].[APODO]" caption="APODO" attribute="1" defaultMemberUniqueName="[BBDD].[APODO].[All]" allUniqueName="[BBDD].[APODO].[All]" dimensionUniqueName="[BBDD]" displayFolder="" count="0" memberValueDatatype="130" unbalanced="0"/>
    <cacheHierarchy uniqueName="[BBDD].[CUOTA]" caption="CUOTA" attribute="1" defaultMemberUniqueName="[BBDD].[CUOTA].[All]" allUniqueName="[BBDD].[CUOTA].[All]" dimensionUniqueName="[BBDD]" displayFolder="" count="0" memberValueDatatype="130" unbalanced="0"/>
    <cacheHierarchy uniqueName="[BBDD].[FICHA_MEDICA]" caption="FICHA_MEDICA" attribute="1" defaultMemberUniqueName="[BBDD].[FICHA_MEDICA].[All]" allUniqueName="[BBDD].[FICHA_MEDICA].[All]" dimensionUniqueName="[BBDD]" displayFolder="" count="0" memberValueDatatype="130" unbalanced="0"/>
    <cacheHierarchy uniqueName="[BBDD].[EDAD]" caption="EDAD" attribute="1" defaultMemberUniqueName="[BBDD].[EDAD].[All]" allUniqueName="[BBDD].[EDAD].[All]" dimensionUniqueName="[BBDD]" displayFolder="" count="0" memberValueDatatype="130" unbalanced="0"/>
    <cacheHierarchy uniqueName="[BBDD_Formadores].[RUN]" caption="RUN" attribute="1" defaultMemberUniqueName="[BBDD_Formadores].[RUN].[All]" allUniqueName="[BBDD_Formadores].[RUN].[All]" dimensionUniqueName="[BBDD_Formadores]" displayFolder="" count="0" memberValueDatatype="130" unbalanced="0"/>
    <cacheHierarchy uniqueName="[BBDD_Formadores].[CORREO]" caption="CORREO" attribute="1" defaultMemberUniqueName="[BBDD_Formadores].[CORREO].[All]" allUniqueName="[BBDD_Formadores].[CORREO].[All]" dimensionUniqueName="[BBDD_Formadores]" displayFolder="" count="0" memberValueDatatype="130" unbalanced="0"/>
    <cacheHierarchy uniqueName="[BBDD_Formadores].[NOMBRE]" caption="NOMBRE" attribute="1" defaultMemberUniqueName="[BBDD_Formadores].[NOMBRE].[All]" allUniqueName="[BBDD_Formadores].[NOMBRE].[All]" dimensionUniqueName="[BBDD_Formadores]" displayFolder="" count="0" memberValueDatatype="130" unbalanced="0"/>
    <cacheHierarchy uniqueName="[BBDD_Formadores].[FECHA_NAC]" caption="FECHA_NAC" attribute="1" defaultMemberUniqueName="[BBDD_Formadores].[FECHA_NAC].[All]" allUniqueName="[BBDD_Formadores].[FECHA_NAC].[All]" dimensionUniqueName="[BBDD_Formadores]" displayFolder="" count="0" memberValueDatatype="130" unbalanced="0"/>
    <cacheHierarchy uniqueName="[BBDD_Formadores].[DIRECCION]" caption="DIRECCION" attribute="1" defaultMemberUniqueName="[BBDD_Formadores].[DIRECCION].[All]" allUniqueName="[BBDD_Formadores].[DIRECCION].[All]" dimensionUniqueName="[BBDD_Formadores]" displayFolder="" count="0" memberValueDatatype="130" unbalanced="0"/>
    <cacheHierarchy uniqueName="[BBDD_Formadores].[COMUNA]" caption="COMUNA" attribute="1" defaultMemberUniqueName="[BBDD_Formadores].[COMUNA].[All]" allUniqueName="[BBDD_Formadores].[COMUNA].[All]" dimensionUniqueName="[BBDD_Formadores]" displayFolder="" count="0" memberValueDatatype="130" unbalanced="0"/>
    <cacheHierarchy uniqueName="[BBDD_Formadores].[TIPO_FONO]" caption="TIPO_FONO" attribute="1" defaultMemberUniqueName="[BBDD_Formadores].[TIPO_FONO].[All]" allUniqueName="[BBDD_Formadores].[TIPO_FONO].[All]" dimensionUniqueName="[BBDD_Formadores]" displayFolder="" count="0" memberValueDatatype="130" unbalanced="0"/>
    <cacheHierarchy uniqueName="[BBDD_Formadores].[FONO]" caption="FONO" attribute="1" defaultMemberUniqueName="[BBDD_Formadores].[FONO].[All]" allUniqueName="[BBDD_Formadores].[FONO].[All]" dimensionUniqueName="[BBDD_Formadores]" displayFolder="" count="0" memberValueDatatype="130" unbalanced="0"/>
    <cacheHierarchy uniqueName="[BBDD_Formadores].[GRUPO]" caption="GRUPO" attribute="1" defaultMemberUniqueName="[BBDD_Formadores].[GRUPO].[All]" allUniqueName="[BBDD_Formadores].[GRUPO].[All]" dimensionUniqueName="[BBDD_Formadores]" displayFolder="" count="0" memberValueDatatype="130" unbalanced="0"/>
    <cacheHierarchy uniqueName="[BBDD_Formadores].[DISTRITO]" caption="DISTRITO" attribute="1" defaultMemberUniqueName="[BBDD_Formadores].[DISTRITO].[All]" allUniqueName="[BBDD_Formadores].[DISTRITO].[All]" dimensionUniqueName="[BBDD_Formadores]" displayFolder="" count="0" memberValueDatatype="130" unbalanced="0"/>
    <cacheHierarchy uniqueName="[BBDD_Formadores].[NIVEL]" caption="NIVEL" attribute="1" defaultMemberUniqueName="[BBDD_Formadores].[NIVEL].[All]" allUniqueName="[BBDD_Formadores].[NIVEL].[All]" dimensionUniqueName="[BBDD_Formadores]" displayFolder="" count="0" memberValueDatatype="130" unbalanced="0"/>
    <cacheHierarchy uniqueName="[BBDD_Formadores].[NUMERO_MMAA]" caption="NUMERO_MMAA" attribute="1" defaultMemberUniqueName="[BBDD_Formadores].[NUMERO_MMAA].[All]" allUniqueName="[BBDD_Formadores].[NUMERO_MMAA].[All]" dimensionUniqueName="[BBDD_Formadores]" displayFolder="" count="0" memberValueDatatype="130" unbalanced="0"/>
    <cacheHierarchy uniqueName="[BBDD_Formadores].[RAMA_MEDIO]" caption="RAMA_MEDIO" attribute="1" defaultMemberUniqueName="[BBDD_Formadores].[RAMA_MEDIO].[All]" allUniqueName="[BBDD_Formadores].[RAMA_MEDIO].[All]" dimensionUniqueName="[BBDD_Formadores]" displayFolder="" count="0" memberValueDatatype="130" unbalanced="0"/>
    <cacheHierarchy uniqueName="[BBDD_Formadores].[RAMA_AVANZADO]" caption="RAMA_AVANZADO" attribute="1" defaultMemberUniqueName="[BBDD_Formadores].[RAMA_AVANZADO].[All]" allUniqueName="[BBDD_Formadores].[RAMA_AVANZADO].[All]" dimensionUniqueName="[BBDD_Formadores]" displayFolder="" count="0" memberValueDatatype="130" unbalanced="0"/>
    <cacheHierarchy uniqueName="[BBDD_Formadores].[HABIL_I]" caption="HABIL_I" attribute="1" defaultMemberUniqueName="[BBDD_Formadores].[HABIL_I].[All]" allUniqueName="[BBDD_Formadores].[HABIL_I].[All]" dimensionUniqueName="[BBDD_Formadores]" displayFolder="" count="0" memberValueDatatype="130" unbalanced="0"/>
    <cacheHierarchy uniqueName="[BBDD_Formadores].[HABIL_II]" caption="HABIL_II" attribute="1" defaultMemberUniqueName="[BBDD_Formadores].[HABIL_II].[All]" allUniqueName="[BBDD_Formadores].[HABIL_II].[All]" dimensionUniqueName="[BBDD_Formadores]" displayFolder="" count="0" memberValueDatatype="130" unbalanced="0"/>
    <cacheHierarchy uniqueName="[BBDD_Formadores].[VERIFICADOR]" caption="VERIFICADOR" attribute="1" defaultMemberUniqueName="[BBDD_Formadores].[VERIFICADOR].[All]" allUniqueName="[BBDD_Formadores].[VERIFICADOR].[All]" dimensionUniqueName="[BBDD_Formadores]" displayFolder="" count="0" memberValueDatatype="130" unbalanced="0"/>
    <cacheHierarchy uniqueName="[BBDD_Formadores].[INSTITUCIONAL]" caption="INSTITUCIONAL" attribute="1" defaultMemberUniqueName="[BBDD_Formadores].[INSTITUCIONAL].[All]" allUniqueName="[BBDD_Formadores].[INSTITUCIONAL].[All]" dimensionUniqueName="[BBDD_Formadores]" displayFolder="" count="0" memberValueDatatype="130" unbalanced="0"/>
    <cacheHierarchy uniqueName="[BBDD_Formadores].[CUENTA]" caption="CUENTA" attribute="1" defaultMemberUniqueName="[BBDD_Formadores].[CUENTA].[All]" allUniqueName="[BBDD_Formadores].[CUENTA].[All]" dimensionUniqueName="[BBDD_Formadores]" displayFolder="" count="0" memberValueDatatype="20" unbalanced="0"/>
    <cacheHierarchy uniqueName="[T_Asignado].[Asignado]" caption="Asignado" attribute="1" defaultMemberUniqueName="[T_Asignado].[Asignado].[All]" allUniqueName="[T_Asignado].[Asignado].[All]" dimensionUniqueName="[T_Asignado]" displayFolder="" count="0" memberValueDatatype="130" unbalanced="0"/>
    <cacheHierarchy uniqueName="[T_Avisado].[Avisado]" caption="Avisado" attribute="1" defaultMemberUniqueName="[T_Avisado].[Avisado].[All]" allUniqueName="[T_Avisado].[Avisado].[All]" dimensionUniqueName="[T_Avisado]" displayFolder="" count="0" memberValueDatatype="130" unbalanced="0"/>
    <cacheHierarchy uniqueName="[T_Cama].[Cama]" caption="Cama" attribute="1" defaultMemberUniqueName="[T_Cama].[Cama].[All]" allUniqueName="[T_Cama].[Cama].[All]" dimensionUniqueName="[T_Cama]" displayFolder="" count="0" memberValueDatatype="130" unbalanced="0"/>
    <cacheHierarchy uniqueName="[T_Cargo].[Cargo]" caption="Cargo" attribute="1" defaultMemberUniqueName="[T_Cargo].[Cargo].[All]" allUniqueName="[T_Cargo].[Cargo].[All]" dimensionUniqueName="[T_Cargo]" displayFolder="" count="0" memberValueDatatype="130" unbalanced="0"/>
    <cacheHierarchy uniqueName="[T_Cargo].[Orden]" caption="Orden" attribute="1" defaultMemberUniqueName="[T_Cargo].[Orden].[All]" allUniqueName="[T_Cargo].[Orden].[All]" dimensionUniqueName="[T_Cargo]" displayFolder="" count="0" memberValueDatatype="20" unbalanced="0"/>
    <cacheHierarchy uniqueName="[T_Cuenta].[Cuenta]" caption="Cuenta" attribute="1" defaultMemberUniqueName="[T_Cuenta].[Cuenta].[All]" allUniqueName="[T_Cuenta].[Cuenta].[All]" dimensionUniqueName="[T_Cuenta]" displayFolder="" count="0" memberValueDatatype="20" unbalanced="0"/>
    <cacheHierarchy uniqueName="[T_Cuotas].[RUN]" caption="RUN" attribute="1" defaultMemberUniqueName="[T_Cuotas].[RUN].[All]" allUniqueName="[T_Cuotas].[RUN].[All]" dimensionUniqueName="[T_Cuotas]" displayFolder="" count="0" memberValueDatatype="130" unbalanced="0"/>
    <cacheHierarchy uniqueName="[T_Cuotas].[Nombre]" caption="Nombre" attribute="1" defaultMemberUniqueName="[T_Cuotas].[Nombre].[All]" allUniqueName="[T_Cuotas].[Nombre].[All]" dimensionUniqueName="[T_Cuotas]" displayFolder="" count="0" memberValueDatatype="130" unbalanced="0"/>
    <cacheHierarchy uniqueName="[T_Cuotas].[Cuota_1]" caption="Cuota_1" attribute="1" defaultMemberUniqueName="[T_Cuotas].[Cuota_1].[All]" allUniqueName="[T_Cuotas].[Cuota_1].[All]" dimensionUniqueName="[T_Cuotas]" displayFolder="" count="0" memberValueDatatype="20" unbalanced="0"/>
    <cacheHierarchy uniqueName="[T_Cuotas].[Cuota_2]" caption="Cuota_2" attribute="1" defaultMemberUniqueName="[T_Cuotas].[Cuota_2].[All]" allUniqueName="[T_Cuotas].[Cuota_2].[All]" dimensionUniqueName="[T_Cuotas]" displayFolder="" count="0" memberValueDatatype="20" unbalanced="0"/>
    <cacheHierarchy uniqueName="[T_Cuotas].[Cuota_3]" caption="Cuota_3" attribute="1" defaultMemberUniqueName="[T_Cuotas].[Cuota_3].[All]" allUniqueName="[T_Cuotas].[Cuota_3].[All]" dimensionUniqueName="[T_Cuotas]" displayFolder="" count="0" memberValueDatatype="20" unbalanced="0"/>
    <cacheHierarchy uniqueName="[T_Cuotas].[Total]" caption="Total" attribute="1" defaultMemberUniqueName="[T_Cuotas].[Total].[All]" allUniqueName="[T_Cuotas].[Total].[All]" dimensionUniqueName="[T_Cuotas]" displayFolder="" count="0" memberValueDatatype="20" unbalanced="0"/>
    <cacheHierarchy uniqueName="[T_Cuotas].[Cuenta]" caption="Cuenta" attribute="1" defaultMemberUniqueName="[T_Cuotas].[Cuenta].[All]" allUniqueName="[T_Cuotas].[Cuenta].[All]" dimensionUniqueName="[T_Cuotas]" displayFolder="" count="0" memberValueDatatype="20" unbalanced="0"/>
    <cacheHierarchy uniqueName="[T_Cuotas].[Correo]" caption="Correo" attribute="1" defaultMemberUniqueName="[T_Cuotas].[Correo].[All]" allUniqueName="[T_Cuotas].[Correo].[All]" dimensionUniqueName="[T_Cuotas]" displayFolder="" count="0" memberValueDatatype="130" unbalanced="0"/>
    <cacheHierarchy uniqueName="[T_Cuotas].[Observación]" caption="Observación" attribute="1" defaultMemberUniqueName="[T_Cuotas].[Observación].[All]" allUniqueName="[T_Cuotas].[Observación].[All]" dimensionUniqueName="[T_Cuotas]" displayFolder="" count="0" memberValueDatatype="130" unbalanced="0"/>
    <cacheHierarchy uniqueName="[T_Cuotas].[Teléfono]" caption="Teléfono" attribute="1" defaultMemberUniqueName="[T_Cuotas].[Teléfono].[All]" allUniqueName="[T_Cuotas].[Teléfono].[All]" dimensionUniqueName="[T_Cuotas]" displayFolder="" count="0" memberValueDatatype="130" unbalanced="0"/>
    <cacheHierarchy uniqueName="[T_Cuotas].[Grupo]" caption="Grupo" attribute="1" defaultMemberUniqueName="[T_Cuotas].[Grupo].[All]" allUniqueName="[T_Cuotas].[Grupo].[All]" dimensionUniqueName="[T_Cuotas]" displayFolder="" count="0" memberValueDatatype="130" unbalanced="0"/>
    <cacheHierarchy uniqueName="[T_Cuotas].[Estado]" caption="Estado" attribute="1" defaultMemberUniqueName="[T_Cuotas].[Estado].[All]" allUniqueName="[T_Cuotas].[Estado].[All]" dimensionUniqueName="[T_Cuotas]" displayFolder="" count="0" memberValueDatatype="130" unbalanced="0"/>
    <cacheHierarchy uniqueName="[T_Cuotas].[Alimentacion]" caption="Alimentacion" attribute="1" defaultMemberUniqueName="[T_Cuotas].[Alimentacion].[All]" allUniqueName="[T_Cuotas].[Alimentacion].[All]" dimensionUniqueName="[T_Cuotas]" displayFolder="" count="0" memberValueDatatype="130" unbalanced="0"/>
    <cacheHierarchy uniqueName="[T_Estado].[Estado]" caption="Estado" attribute="1" defaultMemberUniqueName="[T_Estado].[Estado].[All]" allUniqueName="[T_Estado].[Estado].[All]" dimensionUniqueName="[T_Estado]" displayFolder="" count="0" memberValueDatatype="130" unbalanced="0"/>
    <cacheHierarchy uniqueName="[T_Rol].[Rol]" caption="Rol" attribute="1" defaultMemberUniqueName="[T_Rol].[Rol].[All]" allUniqueName="[T_Rol].[Rol].[All]" dimensionUniqueName="[T_Rol]" displayFolder="" count="0" memberValueDatatype="130" unbalanced="0"/>
    <cacheHierarchy uniqueName="[T_TipoDocto].[Tipo_Docto]" caption="Tipo_Docto" attribute="1" defaultMemberUniqueName="[T_TipoDocto].[Tipo_Docto].[All]" allUniqueName="[T_TipoDocto].[Tipo_Docto].[All]" dimensionUniqueName="[T_TipoDocto]" displayFolder="" count="0" memberValueDatatype="130" unbalanced="0"/>
    <cacheHierarchy uniqueName="[T_TipoRendicion].[Tipo_Rendicion]" caption="Tipo_Rendicion" attribute="1" defaultMemberUniqueName="[T_TipoRendicion].[Tipo_Rendicion].[All]" allUniqueName="[T_TipoRendicion].[Tipo_Rendicion].[All]" dimensionUniqueName="[T_TipoRendicion]" displayFolder="" count="0" memberValueDatatype="130" unbalanced="0"/>
    <cacheHierarchy uniqueName="[T_Transporte].[Transporte]" caption="Transporte" attribute="1" defaultMemberUniqueName="[T_Transporte].[Transporte].[All]" allUniqueName="[T_Transporte].[Transporte].[All]" dimensionUniqueName="[T_Transporte]" displayFolder="" count="0" memberValueDatatype="130" unbalanced="0"/>
    <cacheHierarchy uniqueName="[T_Voluntarios].[RUN]" caption="RUN" attribute="1" defaultMemberUniqueName="[T_Voluntarios].[RUN].[All]" allUniqueName="[T_Voluntarios].[RUN].[All]" dimensionUniqueName="[T_Voluntarios]" displayFolder="" count="0" memberValueDatatype="130" unbalanced="0"/>
    <cacheHierarchy uniqueName="[T_Voluntarios].[E_MAIL]" caption="E_MAIL" attribute="1" defaultMemberUniqueName="[T_Voluntarios].[E_MAIL].[All]" allUniqueName="[T_Voluntarios].[E_MAIL].[All]" dimensionUniqueName="[T_Voluntarios]" displayFolder="" count="0" memberValueDatatype="130" unbalanced="0"/>
    <cacheHierarchy uniqueName="[T_Voluntarios].[NOMBRE]" caption="NOMBRE" attribute="1" defaultMemberUniqueName="[T_Voluntarios].[NOMBRE].[All]" allUniqueName="[T_Voluntarios].[NOMBRE].[All]" dimensionUniqueName="[T_Voluntarios]" displayFolder="" count="2" memberValueDatatype="130" unbalanced="0">
      <fieldsUsage count="2">
        <fieldUsage x="-1"/>
        <fieldUsage x="4"/>
      </fieldsUsage>
    </cacheHierarchy>
    <cacheHierarchy uniqueName="[T_Voluntarios].[FEC_NAC]" caption="FEC_NAC" attribute="1" time="1" defaultMemberUniqueName="[T_Voluntarios].[FEC_NAC].[All]" allUniqueName="[T_Voluntarios].[FEC_NAC].[All]" dimensionUniqueName="[T_Voluntarios]" displayFolder="" count="0" memberValueDatatype="7" unbalanced="0"/>
    <cacheHierarchy uniqueName="[T_Voluntarios].[DIRECCION]" caption="DIRECCION" attribute="1" defaultMemberUniqueName="[T_Voluntarios].[DIRECCION].[All]" allUniqueName="[T_Voluntarios].[DIRECCION].[All]" dimensionUniqueName="[T_Voluntarios]" displayFolder="" count="0" memberValueDatatype="130" unbalanced="0"/>
    <cacheHierarchy uniqueName="[T_Voluntarios].[COMUNA]" caption="COMUNA" attribute="1" defaultMemberUniqueName="[T_Voluntarios].[COMUNA].[All]" allUniqueName="[T_Voluntarios].[COMUNA].[All]" dimensionUniqueName="[T_Voluntarios]" displayFolder="" count="0" memberValueDatatype="130" unbalanced="0"/>
    <cacheHierarchy uniqueName="[T_Voluntarios].[TIPO_FONO]" caption="TIPO_FONO" attribute="1" defaultMemberUniqueName="[T_Voluntarios].[TIPO_FONO].[All]" allUniqueName="[T_Voluntarios].[TIPO_FONO].[All]" dimensionUniqueName="[T_Voluntarios]" displayFolder="" count="0" memberValueDatatype="130" unbalanced="0"/>
    <cacheHierarchy uniqueName="[T_Voluntarios].[FONO]" caption="FONO" attribute="1" defaultMemberUniqueName="[T_Voluntarios].[FONO].[All]" allUniqueName="[T_Voluntarios].[FONO].[All]" dimensionUniqueName="[T_Voluntarios]" displayFolder="" count="0" memberValueDatatype="130" unbalanced="0"/>
    <cacheHierarchy uniqueName="[T_Voluntarios].[ROL]" caption="ROL" attribute="1" defaultMemberUniqueName="[T_Voluntarios].[ROL].[All]" allUniqueName="[T_Voluntarios].[ROL].[All]" dimensionUniqueName="[T_Voluntarios]" displayFolder="" count="2" memberValueDatatype="130" unbalanced="0">
      <fieldsUsage count="2">
        <fieldUsage x="-1"/>
        <fieldUsage x="0"/>
      </fieldsUsage>
    </cacheHierarchy>
    <cacheHierarchy uniqueName="[T_Voluntarios].[GRUPO]" caption="GRUPO" attribute="1" defaultMemberUniqueName="[T_Voluntarios].[GRUPO].[All]" allUniqueName="[T_Voluntarios].[GRUPO].[All]" dimensionUniqueName="[T_Voluntarios]" displayFolder="" count="0" memberValueDatatype="130" unbalanced="0"/>
    <cacheHierarchy uniqueName="[T_Voluntarios].[RAMA_CURSO]" caption="RAMA_CURSO" attribute="1" defaultMemberUniqueName="[T_Voluntarios].[RAMA_CURSO].[All]" allUniqueName="[T_Voluntarios].[RAMA_CURSO].[All]" dimensionUniqueName="[T_Voluntarios]" displayFolder="" count="2" memberValueDatatype="130" unbalanced="0">
      <fieldsUsage count="2">
        <fieldUsage x="-1"/>
        <fieldUsage x="1"/>
      </fieldsUsage>
    </cacheHierarchy>
    <cacheHierarchy uniqueName="[T_Voluntarios].[DISTRITO]" caption="DISTRITO" attribute="1" defaultMemberUniqueName="[T_Voluntarios].[DISTRITO].[All]" allUniqueName="[T_Voluntarios].[DISTRITO].[All]" dimensionUniqueName="[T_Voluntarios]" displayFolder="" count="0" memberValueDatatype="130" unbalanced="0"/>
    <cacheHierarchy uniqueName="[T_Voluntarios].[ALIMENTACION]" caption="ALIMENTACION" attribute="1" defaultMemberUniqueName="[T_Voluntarios].[ALIMENTACION].[All]" allUniqueName="[T_Voluntarios].[ALIMENTACION].[All]" dimensionUniqueName="[T_Voluntarios]" displayFolder="" count="0" memberValueDatatype="130" unbalanced="0"/>
    <cacheHierarchy uniqueName="[T_Voluntarios].[ALERGIA_ENFERMEDAD]" caption="ALERGIA_ENFERMEDAD" attribute="1" defaultMemberUniqueName="[T_Voluntarios].[ALERGIA_ENFERMEDAD].[All]" allUniqueName="[T_Voluntarios].[ALERGIA_ENFERMEDAD].[All]" dimensionUniqueName="[T_Voluntarios]" displayFolder="" count="0" memberValueDatatype="130" unbalanced="0"/>
    <cacheHierarchy uniqueName="[T_Voluntarios].[LIMITACION]" caption="LIMITACION" attribute="1" defaultMemberUniqueName="[T_Voluntarios].[LIMITACION].[All]" allUniqueName="[T_Voluntarios].[LIMITACION].[All]" dimensionUniqueName="[T_Voluntarios]" displayFolder="" count="0" memberValueDatatype="130" unbalanced="0"/>
    <cacheHierarchy uniqueName="[T_Voluntarios].[EMERGENCIA]" caption="EMERGENCIA" attribute="1" defaultMemberUniqueName="[T_Voluntarios].[EMERGENCIA].[All]" allUniqueName="[T_Voluntarios].[EMERGENCIA].[All]" dimensionUniqueName="[T_Voluntarios]" displayFolder="" count="0" memberValueDatatype="130" unbalanced="0"/>
    <cacheHierarchy uniqueName="[T_Voluntarios].[EXTRA]" caption="EXTRA" attribute="1" defaultMemberUniqueName="[T_Voluntarios].[EXTRA].[All]" allUniqueName="[T_Voluntarios].[EXTRA].[All]" dimensionUniqueName="[T_Voluntarios]" displayFolder="" count="0" memberValueDatatype="130" unbalanced="0"/>
    <cacheHierarchy uniqueName="[T_Voluntarios].[FICHA_MEDICA]" caption="FICHA_MEDICA" attribute="1" defaultMemberUniqueName="[T_Voluntarios].[FICHA_MEDICA].[All]" allUniqueName="[T_Voluntarios].[FICHA_MEDICA].[All]" dimensionUniqueName="[T_Voluntarios]" displayFolder="" count="0" memberValueDatatype="130" unbalanced="0"/>
    <cacheHierarchy uniqueName="[T_Voluntarios].[NIVEL]" caption="NIVEL" attribute="1" defaultMemberUniqueName="[T_Voluntarios].[NIVEL].[All]" allUniqueName="[T_Voluntarios].[NIVEL].[All]" dimensionUniqueName="[T_Voluntarios]" displayFolder="" count="0" memberValueDatatype="130" unbalanced="0"/>
    <cacheHierarchy uniqueName="[T_Voluntarios].[NUMERO_MMAA]" caption="NUMERO_MMAA" attribute="1" defaultMemberUniqueName="[T_Voluntarios].[NUMERO_MMAA].[All]" allUniqueName="[T_Voluntarios].[NUMERO_MMAA].[All]" dimensionUniqueName="[T_Voluntarios]" displayFolder="" count="0" memberValueDatatype="130" unbalanced="0"/>
    <cacheHierarchy uniqueName="[T_Voluntarios].[RAMA_NIVEL_MEDIO]" caption="RAMA_NIVEL_MEDIO" attribute="1" defaultMemberUniqueName="[T_Voluntarios].[RAMA_NIVEL_MEDIO].[All]" allUniqueName="[T_Voluntarios].[RAMA_NIVEL_MEDIO].[All]" dimensionUniqueName="[T_Voluntarios]" displayFolder="" count="0" memberValueDatatype="130" unbalanced="0"/>
    <cacheHierarchy uniqueName="[T_Voluntarios].[RAMA_NIVEL_AVANZADO]" caption="RAMA_NIVEL_AVANZADO" attribute="1" defaultMemberUniqueName="[T_Voluntarios].[RAMA_NIVEL_AVANZADO].[All]" allUniqueName="[T_Voluntarios].[RAMA_NIVEL_AVANZADO].[All]" dimensionUniqueName="[T_Voluntarios]" displayFolder="" count="0" memberValueDatatype="130" unbalanced="0"/>
    <cacheHierarchy uniqueName="[T_Voluntarios].[FORMADOR]" caption="FORMADOR" attribute="1" defaultMemberUniqueName="[T_Voluntarios].[FORMADOR].[All]" allUniqueName="[T_Voluntarios].[FORMADOR].[All]" dimensionUniqueName="[T_Voluntarios]" displayFolder="" count="0" memberValueDatatype="130" unbalanced="0"/>
    <cacheHierarchy uniqueName="[T_Voluntarios].[HABIL_I]" caption="HABIL_I" attribute="1" defaultMemberUniqueName="[T_Voluntarios].[HABIL_I].[All]" allUniqueName="[T_Voluntarios].[HABIL_I].[All]" dimensionUniqueName="[T_Voluntarios]" displayFolder="" count="0" memberValueDatatype="130" unbalanced="0"/>
    <cacheHierarchy uniqueName="[T_Voluntarios].[HABIL_II]" caption="HABIL_II" attribute="1" defaultMemberUniqueName="[T_Voluntarios].[HABIL_II].[All]" allUniqueName="[T_Voluntarios].[HABIL_II].[All]" dimensionUniqueName="[T_Voluntarios]" displayFolder="" count="0" memberValueDatatype="130" unbalanced="0"/>
    <cacheHierarchy uniqueName="[T_Voluntarios].[VERIFICADOR]" caption="VERIFICADOR" attribute="1" defaultMemberUniqueName="[T_Voluntarios].[VERIFICADOR].[All]" allUniqueName="[T_Voluntarios].[VERIFICADOR].[All]" dimensionUniqueName="[T_Voluntarios]" displayFolder="" count="0" memberValueDatatype="130" unbalanced="0"/>
    <cacheHierarchy uniqueName="[T_Voluntarios].[INSTITUCIONAL]" caption="INSTITUCIONAL" attribute="1" defaultMemberUniqueName="[T_Voluntarios].[INSTITUCIONAL].[All]" allUniqueName="[T_Voluntarios].[INSTITUCIONAL].[All]" dimensionUniqueName="[T_Voluntarios]" displayFolder="" count="0" memberValueDatatype="130" unbalanced="0"/>
    <cacheHierarchy uniqueName="[T_Voluntarios].[CUENTA]" caption="CUENTA" attribute="1" defaultMemberUniqueName="[T_Voluntarios].[CUENTA].[All]" allUniqueName="[T_Voluntarios].[CUENTA].[All]" dimensionUniqueName="[T_Voluntarios]" displayFolder="" count="0" memberValueDatatype="20" unbalanced="0"/>
    <cacheHierarchy uniqueName="[T_Voluntarios].[AVISADO]" caption="AVISADO" attribute="1" defaultMemberUniqueName="[T_Voluntarios].[AVISADO].[All]" allUniqueName="[T_Voluntarios].[AVISADO].[All]" dimensionUniqueName="[T_Voluntarios]" displayFolder="" count="0" memberValueDatatype="130" unbalanced="0"/>
    <cacheHierarchy uniqueName="[T_Voluntarios].[ESTADO]" caption="ESTADO" attribute="1" defaultMemberUniqueName="[T_Voluntarios].[ESTADO].[All]" allUniqueName="[T_Voluntarios].[ESTADO].[All]" dimensionUniqueName="[T_Voluntarios]" displayFolder="" count="0" memberValueDatatype="130" unbalanced="0"/>
    <cacheHierarchy uniqueName="[T_Voluntarios].[TRANSPORTE]" caption="TRANSPORTE" attribute="1" defaultMemberUniqueName="[T_Voluntarios].[TRANSPORTE].[All]" allUniqueName="[T_Voluntarios].[TRANSPORTE].[All]" dimensionUniqueName="[T_Voluntarios]" displayFolder="" count="0" memberValueDatatype="130" unbalanced="0"/>
    <cacheHierarchy uniqueName="[T_Voluntarios].[MARCA_VEHICULO]" caption="MARCA_VEHICULO" attribute="1" defaultMemberUniqueName="[T_Voluntarios].[MARCA_VEHICULO].[All]" allUniqueName="[T_Voluntarios].[MARCA_VEHICULO].[All]" dimensionUniqueName="[T_Voluntarios]" displayFolder="" count="0" memberValueDatatype="130" unbalanced="0"/>
    <cacheHierarchy uniqueName="[T_Voluntarios].[MODELO_VEHICULO]" caption="MODELO_VEHICULO" attribute="1" defaultMemberUniqueName="[T_Voluntarios].[MODELO_VEHICULO].[All]" allUniqueName="[T_Voluntarios].[MODELO_VEHICULO].[All]" dimensionUniqueName="[T_Voluntarios]" displayFolder="" count="0" memberValueDatatype="130" unbalanced="0"/>
    <cacheHierarchy uniqueName="[T_Voluntarios].[PATENTE_VEHICULO]" caption="PATENTE_VEHICULO" attribute="1" defaultMemberUniqueName="[T_Voluntarios].[PATENTE_VEHICULO].[All]" allUniqueName="[T_Voluntarios].[PATENTE_VEHICULO].[All]" dimensionUniqueName="[T_Voluntarios]" displayFolder="" count="0" memberValueDatatype="130" unbalanced="0"/>
    <cacheHierarchy uniqueName="[T_Voluntarios].[NECESITA_CAMA]" caption="NECESITA_CAMA" attribute="1" defaultMemberUniqueName="[T_Voluntarios].[NECESITA_CAMA].[All]" allUniqueName="[T_Voluntarios].[NECESITA_CAMA].[All]" dimensionUniqueName="[T_Voluntarios]" displayFolder="" count="0" memberValueDatatype="130" unbalanced="0"/>
    <cacheHierarchy uniqueName="[T_Voluntarios].[CONFIRMA_CAMA]" caption="CONFIRMA_CAMA" attribute="1" defaultMemberUniqueName="[T_Voluntarios].[CONFIRMA_CAMA].[All]" allUniqueName="[T_Voluntarios].[CONFIRMA_CAMA].[All]" dimensionUniqueName="[T_Voluntarios]" displayFolder="" count="0" memberValueDatatype="130" unbalanced="0"/>
    <cacheHierarchy uniqueName="[T_Voluntarios].[PAGA_CUOTA]" caption="PAGA_CUOTA" attribute="1" defaultMemberUniqueName="[T_Voluntarios].[PAGA_CUOTA].[All]" allUniqueName="[T_Voluntarios].[PAGA_CUOTA].[All]" dimensionUniqueName="[T_Voluntarios]" displayFolder="" count="0" memberValueDatatype="20" unbalanced="0"/>
    <cacheHierarchy uniqueName="[T_Voluntarios].[REGISTRO]" caption="REGISTRO" attribute="1" defaultMemberUniqueName="[T_Voluntarios].[REGISTRO].[All]" allUniqueName="[T_Voluntarios].[REGISTRO].[All]" dimensionUniqueName="[T_Voluntarios]" displayFolder="" count="0" memberValueDatatype="130" unbalanced="0"/>
    <cacheHierarchy uniqueName="[T_Voluntarios].[ACREDITADO]" caption="ACREDITADO" attribute="1" defaultMemberUniqueName="[T_Voluntarios].[ACREDITADO].[All]" allUniqueName="[T_Voluntarios].[ACREDITADO].[All]" dimensionUniqueName="[T_Voluntarios]" displayFolder="" count="0" memberValueDatatype="130" unbalanced="0"/>
    <cacheHierarchy uniqueName="[T_Voluntarios].[OBSERVACION]" caption="OBSERVACION" attribute="1" defaultMemberUniqueName="[T_Voluntarios].[OBSERVACION].[All]" allUniqueName="[T_Voluntarios].[OBSERVACION].[All]" dimensionUniqueName="[T_Voluntarios]" displayFolder="" count="0" memberValueDatatype="130" unbalanced="0"/>
    <cacheHierarchy uniqueName="[T_Voluntarios].[CARGO_VIGENTE]" caption="CARGO_VIGENTE" attribute="1" defaultMemberUniqueName="[T_Voluntarios].[CARGO_VIGENTE].[All]" allUniqueName="[T_Voluntarios].[CARGO_VIGENTE].[All]" dimensionUniqueName="[T_Voluntarios]" displayFolder="" count="2" memberValueDatatype="130" unbalanced="0">
      <fieldsUsage count="2">
        <fieldUsage x="-1"/>
        <fieldUsage x="3"/>
      </fieldsUsage>
    </cacheHierarchy>
    <cacheHierarchy uniqueName="[T_Voluntarios].[DOMINIO]" caption="DOMINIO" attribute="1" defaultMemberUniqueName="[T_Voluntarios].[DOMINIO].[All]" allUniqueName="[T_Voluntarios].[DOMINIO].[All]" dimensionUniqueName="[T_Voluntarios]" displayFolder="" count="0" memberValueDatatype="130" unbalanced="0"/>
    <cacheHierarchy uniqueName="[T_Voluntarios].[EDAD]" caption="EDAD" attribute="1" defaultMemberUniqueName="[T_Voluntarios].[EDAD].[All]" allUniqueName="[T_Voluntarios].[EDAD].[All]" dimensionUniqueName="[T_Voluntarios]" displayFolder="" count="0" memberValueDatatype="130" unbalanced="0"/>
    <cacheHierarchy uniqueName="[T_Voluntarios].[PROFESION]" caption="PROFESION" attribute="1" defaultMemberUniqueName="[T_Voluntarios].[PROFESION].[All]" allUniqueName="[T_Voluntarios].[PROFESION].[All]" dimensionUniqueName="[T_Voluntarios]" displayFolder="" count="0" memberValueDatatype="130" unbalanced="0"/>
    <cacheHierarchy uniqueName="[T_Voluntarios].[TIEMPO_NNAJ]" caption="TIEMPO_NNAJ" attribute="1" defaultMemberUniqueName="[T_Voluntarios].[TIEMPO_NNAJ].[All]" allUniqueName="[T_Voluntarios].[TIEMPO_NNAJ].[All]" dimensionUniqueName="[T_Voluntarios]" displayFolder="" count="0" memberValueDatatype="130" unbalanced="0"/>
    <cacheHierarchy uniqueName="[T_Voluntarios].[TIEMPO_ADULTO]" caption="TIEMPO_ADULTO" attribute="1" defaultMemberUniqueName="[T_Voluntarios].[TIEMPO_ADULTO].[All]" allUniqueName="[T_Voluntarios].[TIEMPO_ADULTO].[All]" dimensionUniqueName="[T_Voluntarios]" displayFolder="" count="0" memberValueDatatype="130" unbalanced="0"/>
    <cacheHierarchy uniqueName="[T_Voluntarios].[ESTADO_CIVIL]" caption="ESTADO_CIVIL" attribute="1" defaultMemberUniqueName="[T_Voluntarios].[ESTADO_CIVIL].[All]" allUniqueName="[T_Voluntarios].[ESTADO_CIVIL].[All]" dimensionUniqueName="[T_Voluntarios]" displayFolder="" count="0" memberValueDatatype="130" unbalanced="0"/>
    <cacheHierarchy uniqueName="[T_Voluntarios].[RELIGION]" caption="RELIGION" attribute="1" defaultMemberUniqueName="[T_Voluntarios].[RELIGION].[All]" allUniqueName="[T_Voluntarios].[RELIGION].[All]" dimensionUniqueName="[T_Voluntarios]" displayFolder="" count="0" memberValueDatatype="130" unbalanced="0"/>
    <cacheHierarchy uniqueName="[T_Voluntarios].[APODO]" caption="APODO" attribute="1" defaultMemberUniqueName="[T_Voluntarios].[APODO].[All]" allUniqueName="[T_Voluntarios].[APODO].[All]" dimensionUniqueName="[T_Voluntarios]" displayFolder="" count="0" memberValueDatatype="130" unbalanced="0"/>
    <cacheHierarchy uniqueName="[T_Voluntarios].[MANUAL]" caption="MANUAL" attribute="1" defaultMemberUniqueName="[T_Voluntarios].[MANUAL].[All]" allUniqueName="[T_Voluntarios].[MANUAL].[All]" dimensionUniqueName="[T_Voluntarios]" displayFolder="" count="0" memberValueDatatype="130" unbalanced="0"/>
    <cacheHierarchy uniqueName="[T_Voluntarios].[FECHA_HORA_INSCRITO]" caption="FECHA_HORA_INSCRITO" attribute="1" time="1" defaultMemberUniqueName="[T_Voluntarios].[FECHA_HORA_INSCRITO].[All]" allUniqueName="[T_Voluntarios].[FECHA_HORA_INSCRITO].[All]" dimensionUniqueName="[T_Voluntarios]" displayFolder="" count="0" memberValueDatatype="7" unbalanced="0"/>
    <cacheHierarchy uniqueName="[T_Voluntarios].[CURSO_INSTITUCIONAL]" caption="CURSO_INSTITUCIONAL" attribute="1" defaultMemberUniqueName="[T_Voluntarios].[CURSO_INSTITUCIONAL].[All]" allUniqueName="[T_Voluntarios].[CURSO_INSTITUCIONAL].[All]" dimensionUniqueName="[T_Voluntarios]" displayFolder="" count="0" memberValueDatatype="130" unbalanced="0"/>
    <cacheHierarchy uniqueName="[Measures].[Suma de Cuota_1]" caption="Suma de Cuota_1" measure="1" displayFolder="" measureGroup="T_Cuotas" count="0"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Cuota_2]" caption="Suma de Cuota_2" measure="1" displayFolder="" measureGroup="T_Cuotas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a de Cuota_3]" caption="Suma de Cuota_3" measure="1" displayFolder="" measureGroup="T_Cuotas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a de CUENTA]" caption="Suma de CUENTA" measure="1" displayFolder="" measureGroup="T_Voluntario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a Cuotas]" caption="Suma Cuotas" measure="1" displayFolder="" measureGroup="T_Cuotas" count="0"/>
    <cacheHierarchy uniqueName="[Measures].[__XL_Count T_Voluntarios]" caption="__XL_Count T_Voluntarios" measure="1" displayFolder="" measureGroup="T_Voluntarios" count="0" hidden="1"/>
    <cacheHierarchy uniqueName="[Measures].[__XL_Count T_Cuotas]" caption="__XL_Count T_Cuotas" measure="1" displayFolder="" measureGroup="T_Cuotas" count="0" hidden="1"/>
    <cacheHierarchy uniqueName="[Measures].[__XL_Count BBDD_Formadores]" caption="__XL_Count BBDD_Formadores" measure="1" displayFolder="" measureGroup="BBDD_Formadores" count="0" hidden="1"/>
    <cacheHierarchy uniqueName="[Measures].[__XL_Count BBDD]" caption="__XL_Count BBDD" measure="1" displayFolder="" measureGroup="BBDD" count="0" hidden="1"/>
    <cacheHierarchy uniqueName="[Measures].[__XL_Count T_Avisado]" caption="__XL_Count T_Avisado" measure="1" displayFolder="" measureGroup="T_Avisado" count="0" hidden="1"/>
    <cacheHierarchy uniqueName="[Measures].[__XL_Count T_Rol]" caption="__XL_Count T_Rol" measure="1" displayFolder="" measureGroup="T_Rol" count="0" hidden="1"/>
    <cacheHierarchy uniqueName="[Measures].[__XL_Count T_TipoRendicion]" caption="__XL_Count T_TipoRendicion" measure="1" displayFolder="" measureGroup="T_TipoRendicion" count="0" hidden="1"/>
    <cacheHierarchy uniqueName="[Measures].[__XL_Count T_TipoDocto]" caption="__XL_Count T_TipoDocto" measure="1" displayFolder="" measureGroup="T_TipoDocto" count="0" hidden="1"/>
    <cacheHierarchy uniqueName="[Measures].[__XL_Count T_Cargo]" caption="__XL_Count T_Cargo" measure="1" displayFolder="" measureGroup="T_Cargo" count="0" hidden="1"/>
    <cacheHierarchy uniqueName="[Measures].[__XL_Count T_Estado]" caption="__XL_Count T_Estado" measure="1" displayFolder="" measureGroup="T_Estado" count="0" hidden="1"/>
    <cacheHierarchy uniqueName="[Measures].[__XL_Count T_Cama]" caption="__XL_Count T_Cama" measure="1" displayFolder="" measureGroup="T_Cama" count="0" hidden="1"/>
    <cacheHierarchy uniqueName="[Measures].[__XL_Count T_Cuenta]" caption="__XL_Count T_Cuenta" measure="1" displayFolder="" measureGroup="T_Cuenta" count="0" hidden="1"/>
    <cacheHierarchy uniqueName="[Measures].[__XL_Count T_Asignado]" caption="__XL_Count T_Asignado" measure="1" displayFolder="" measureGroup="T_Asignado" count="0" hidden="1"/>
    <cacheHierarchy uniqueName="[Measures].[__XL_Count T_Transporte]" caption="__XL_Count T_Transporte" measure="1" displayFolder="" measureGroup="T_Transporte" count="0" hidden="1"/>
    <cacheHierarchy uniqueName="[Measures].[__No measures defined]" caption="__No measures defined" measure="1" displayFolder="" count="0" hidden="1"/>
  </cacheHierarchies>
  <kpis count="0"/>
  <dimensions count="15">
    <dimension name="BBDD" uniqueName="[BBDD]" caption="BBDD"/>
    <dimension name="BBDD_Formadores" uniqueName="[BBDD_Formadores]" caption="BBDD_Formadores"/>
    <dimension measure="1" name="Measures" uniqueName="[Measures]" caption="Measures"/>
    <dimension name="T_Asignado" uniqueName="[T_Asignado]" caption="T_Asignado"/>
    <dimension name="T_Avisado" uniqueName="[T_Avisado]" caption="T_Avisado"/>
    <dimension name="T_Cama" uniqueName="[T_Cama]" caption="T_Cama"/>
    <dimension name="T_Cargo" uniqueName="[T_Cargo]" caption="T_Cargo"/>
    <dimension name="T_Cuenta" uniqueName="[T_Cuenta]" caption="T_Cuenta"/>
    <dimension name="T_Cuotas" uniqueName="[T_Cuotas]" caption="T_Cuotas"/>
    <dimension name="T_Estado" uniqueName="[T_Estado]" caption="T_Estado"/>
    <dimension name="T_Rol" uniqueName="[T_Rol]" caption="T_Rol"/>
    <dimension name="T_TipoDocto" uniqueName="[T_TipoDocto]" caption="T_TipoDocto"/>
    <dimension name="T_TipoRendicion" uniqueName="[T_TipoRendicion]" caption="T_TipoRendicion"/>
    <dimension name="T_Transporte" uniqueName="[T_Transporte]" caption="T_Transporte"/>
    <dimension name="T_Voluntarios" uniqueName="[T_Voluntarios]" caption="T_Voluntarios"/>
  </dimensions>
  <measureGroups count="14">
    <measureGroup name="BBDD" caption="BBDD"/>
    <measureGroup name="BBDD_Formadores" caption="BBDD_Formadores"/>
    <measureGroup name="T_Asignado" caption="T_Asignado"/>
    <measureGroup name="T_Avisado" caption="T_Avisado"/>
    <measureGroup name="T_Cama" caption="T_Cama"/>
    <measureGroup name="T_Cargo" caption="T_Cargo"/>
    <measureGroup name="T_Cuenta" caption="T_Cuenta"/>
    <measureGroup name="T_Cuotas" caption="T_Cuotas"/>
    <measureGroup name="T_Estado" caption="T_Estado"/>
    <measureGroup name="T_Rol" caption="T_Rol"/>
    <measureGroup name="T_TipoDocto" caption="T_TipoDocto"/>
    <measureGroup name="T_TipoRendicion" caption="T_TipoRendicion"/>
    <measureGroup name="T_Transporte" caption="T_Transporte"/>
    <measureGroup name="T_Voluntarios" caption="T_Voluntarios"/>
  </measureGroups>
  <maps count="15">
    <map measureGroup="0" dimension="0"/>
    <map measureGroup="1" dimension="1"/>
    <map measureGroup="2" dimension="3"/>
    <map measureGroup="3" dimension="4"/>
    <map measureGroup="4" dimension="5"/>
    <map measureGroup="5" dimension="6"/>
    <map measureGroup="6" dimension="7"/>
    <map measureGroup="7" dimension="8"/>
    <map measureGroup="7" dimension="14"/>
    <map measureGroup="8" dimension="9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blo Pesce" refreshedDate="45842.549938425924" backgroundQuery="1" createdVersion="8" refreshedVersion="8" minRefreshableVersion="3" recordCount="0" supportSubquery="1" supportAdvancedDrill="1" xr:uid="{35133FBC-E6B2-4886-A319-8AFA7EC80464}">
  <cacheSource type="external" connectionId="6"/>
  <cacheFields count="15">
    <cacheField name="[T_Voluntarios].[DISTRITO].[DISTRITO]" caption="DISTRITO" numFmtId="0" hierarchy="91" level="1">
      <sharedItems containsBlank="1" count="14">
        <s v="Biobío"/>
        <s v="Concepción"/>
        <s v="Equipo Nacional"/>
        <s v="Equipo Zonal"/>
        <s v="Los Rios"/>
        <s v="Nahuelbuta"/>
        <s v="Rio Andalién"/>
        <s v="Talcahuano - Hualpén"/>
        <s v="Zona de los Rios"/>
        <s v="Zona La Frontera"/>
        <s v="Zona Los Lagos"/>
        <s v="Zona Maule"/>
        <s v="Zona Ñuble"/>
        <m/>
      </sharedItems>
    </cacheField>
    <cacheField name="[T_Voluntarios].[GRUPO].[GRUPO]" caption="GRUPO" numFmtId="0" hierarchy="89" level="1">
      <sharedItems containsBlank="1" count="49">
        <s v="Buen Pastor"/>
        <s v="Buena Aventura"/>
        <s v="Equipo distrital biobio"/>
        <s v="Liceo Alemán del Verbo Divino"/>
        <s v="Mahuidanche"/>
        <s v="Sagrada Familia"/>
        <s v="San Sebastian"/>
        <s v="Santa María"/>
        <s v="Rañileufu"/>
        <s v="Rucapeñihue"/>
        <s v="Sagrados Corazones"/>
        <s v="San Ignacio de Loyola"/>
        <s v="Comisión rama golondrina"/>
        <s v="Programas internacionales y especiales"/>
        <s v="Equipo Zonal"/>
        <s v="Dr. Clemente Holzapfel"/>
        <s v="Equipo Nacional"/>
        <s v="Fresia Müller Ruiz"/>
        <s v="Huilliche"/>
        <s v="Monte Kenya"/>
        <s v="Namuncura"/>
        <s v="Pehuen"/>
        <s v="Tricolor Chileno"/>
        <s v="Alfa Cruz"/>
        <s v="Andalien"/>
        <s v="Peulla"/>
        <s v="Salesiano"/>
        <s v="Salesianos Concepción"/>
        <s v="Santa Bárbara"/>
        <s v="Alcatipay"/>
        <s v="Enrique Valdebenito"/>
        <s v="Espíritu Santo"/>
        <s v="Halcones Negros"/>
        <s v="Helen Keller"/>
        <s v="Inmaculada Concepción de Talcahuano"/>
        <s v="La Asunción"/>
        <s v="Manutara"/>
        <s v="Santa Cecilia"/>
        <s v="PADRE ISMAEL CRUZ"/>
        <s v="Aliwen kimün"/>
        <s v="Repudauken"/>
        <s v="San Mateo"/>
        <s v="Nuestra señora del pilar"/>
        <s v="La Montaña"/>
        <s v="San Bartolomé"/>
        <s v="San Francisco"/>
        <s v="San Vicente"/>
        <s v="Terranova"/>
        <m/>
      </sharedItems>
    </cacheField>
    <cacheField name="[T_Voluntarios].[NOMBRE].[NOMBRE]" caption="NOMBRE" numFmtId="0" hierarchy="82" level="1">
      <sharedItems containsBlank="1" count="208">
        <s v="Constanza Elizabeth Beltran Fuentes"/>
        <s v="Raul Andrés Benavides Videla"/>
        <s v="Solange Andrea Ruiz Rivera"/>
        <s v="Ámbar Camila Sanhueza Sanhueza"/>
        <s v="Daniela Alejandra Bascur Sanhueza"/>
        <s v="Alexis Hernán Auad Díaz"/>
        <s v="Alejandro Antonio Quezada Huenchunao"/>
        <s v="Constanza Muriel Mora Robles"/>
        <s v="Daniel Alonso Sandoval Villanueva"/>
        <s v="Daniel Elias Troncoso Riquelme"/>
        <s v="Estephanie Ninette Salamanca Gutiérrez"/>
        <s v="Jaime Antonio Sanhueza Orostica"/>
        <s v="Jari Lorena Leiva Mardones"/>
        <s v="Pamela Elena Pino Leiva"/>
        <s v="Thiare Aylin Aguilera Zapata"/>
        <s v="Yertty Karina Sandoval Muñoz"/>
        <s v="Bárbara Catalina Márquez Rivas"/>
        <s v="Italo Gustavo Vergara Pacheco"/>
        <s v="Ivo Pietro Battaglia Salinas"/>
        <s v="Jocefina Laura Noemí Loyola Díaz"/>
        <s v="Karina Belen Antonella Martinez Navarro"/>
        <s v="Nicole Belén Leiva Villalobos"/>
        <s v="Tomas Alberto Espinoza Muñoz"/>
        <s v="Valentina Scarleth Vargas Rios"/>
        <s v="Claudia Andrea Silvestre Maldonado"/>
        <s v="Pedro Ignacio González Irribarra"/>
        <s v="Angela Andrea Feijoo Herrerra"/>
        <s v="Antonia Alejandra Brante Peña"/>
        <s v="Camila Parra Lillo"/>
        <s v="Claudia Fernanda Deride Alegría"/>
        <s v="Elias Neira Torres"/>
        <s v="Eric Edison Eduardo Muñoz Beltran"/>
        <s v="Esteban Gustavo Ortiz Pezo"/>
        <s v="Francisco Javier Latorre Zuñiga"/>
        <s v="Oriana Alejandra Saez Muñoz"/>
        <s v="Alfredo Osvaldo Soto Perez"/>
        <s v="Angela Belén Martínez Clavería"/>
        <s v="Antonio Felipe Sagner Puschmann"/>
        <s v="Berlangue Carolaine Weisser Caniumil"/>
        <s v="Camila Andrea Rodriguez Vargas"/>
        <s v="Camila Francisca Guala Troncoso"/>
        <s v="Carolina Francisca Silva Molina"/>
        <s v="Darío Alfonso Sheward Castillo"/>
        <s v="Diego Henríquez Valenzuela"/>
        <s v="Fernanda Javiera Pérez Figueroa"/>
        <s v="Ignacio Nicolás Techeira Sepúlveda"/>
        <s v="Marcela Molina Agurto"/>
        <s v="Matías Antonio Hunter Urrutia"/>
        <s v="Rocío Andrea Utreras Troncoso"/>
        <s v="Santiago Khalil Constenla Arias"/>
        <s v="Sebastián Alejandro Pérez Serrano"/>
        <s v="Sebastián Ignacio Romero Coo"/>
        <s v="Sofía Isabel Martínez Clavería"/>
        <s v="Antonia Isabel Venegas Larrere"/>
        <s v="Bárbara Nicole Rebolledo González"/>
        <s v="Benjamín Andrés Roa Rojas"/>
        <s v="Constanza Javiera Muñoz Bello"/>
        <s v="Daniel Octavio Tobar Henríquez"/>
        <s v="Emilia Belén Maturana Valverde"/>
        <s v="Fernanda Isidora Salas Perez"/>
        <s v="Fernanda Valeria Moraga Escobar"/>
        <s v="Francisca Antonia Aguilera Maldonado"/>
        <s v="Francisca Ivelice Alvear Aguilar"/>
        <s v="José Antonio Poza Pérez"/>
        <s v="Josefa Catalina Rebolledo González"/>
        <s v="Matías Alejandro Castro Essmann"/>
        <s v="Renata Belen Ramirez Merino"/>
        <s v="Catalina Belén Díaz Aguilera"/>
        <s v="Catalina Dannae Palma Bastías"/>
        <s v="Francine Anaís Smith Martínez"/>
        <s v="Noemí Rosita González Marambio"/>
        <s v="Octavio Antonio Cortés Lara"/>
        <s v="Vicente Javier González Silva"/>
        <s v="Romina Paz Arnechino Arriagada"/>
        <s v="María José Sepúlveda Benedetti"/>
        <s v="Pablo Enrique Pesce Sánchez"/>
        <s v="Liset Scarlet Alarcón Ortega"/>
        <s v="Fernando Antonio Fuentes Riveros"/>
        <s v="Braulio Alfredo Rojas Salas"/>
        <s v="José Ricardo Fredes Arrepol"/>
        <s v="Katherine Ayllen Castro Leiva"/>
        <s v="Aldo Felipe Arévalo Rodríguez"/>
        <s v="Alfredo Andrés Placencia Valenzuela"/>
        <s v="Andrea Fernanda Vidal Morales"/>
        <s v="Javiera Jacqueline Jara Reyes"/>
        <s v="Paulina Andrea Fuentealba Gutiérrez"/>
        <s v="Treycer Nivor Castillo Rojas"/>
        <s v="Alonso Javier Villablanca Figueroa"/>
        <s v="Cristian Julian Ernesto Urra Parra"/>
        <s v="Miguel Alfonso Gutierrez Davinson"/>
        <s v="Ana Carolina Madrid  Canivilo"/>
        <s v="Carlos Gerardo Hormazábal Saez"/>
        <s v="Sebastián Hormazábal Madrid"/>
        <s v="Thalía Scarlett Fernández Sierra"/>
        <s v="Camila Alejandra Roca Carvajal"/>
        <s v="Gonsalo Fabriciano Junior Rivas Betancour"/>
        <s v="Angela Alejandra Olave Zagal"/>
        <s v="Gloria Stephanie Olave Zagal"/>
        <s v="Lorenzo Rodrigo Bizama Muñoz"/>
        <s v="Nadia Sofía Varela Meza"/>
        <s v="Vicente Matias Fuentes Torres"/>
        <s v="Bruno Bastian Herrera Sobarzo"/>
        <s v="Nicolás Ignacio Villanueva Parodi"/>
        <s v="Alejandro Esteban Lizana Meza"/>
        <s v="Orlando Ernesto Fernández Vásquez"/>
        <s v="Rodrigo Bustos Estrada"/>
        <s v="Ignacio Andrés Olivares Hernández"/>
        <s v="Isidora Ignacia Jara Ceballos"/>
        <s v="Martina Aravena Rivas"/>
        <s v="Cristóbal Tomás Chávez Montoya"/>
        <s v="Belén Antonella Pino Vives"/>
        <s v="Benjamin Ignacio Herrera Acevedo"/>
        <s v="Danitza Monserrat Valencia Pedreros"/>
        <s v="Ignacio Antonio González Carrasco"/>
        <s v="José Ignacio Aravena Navarrete"/>
        <s v="Miguel Angel Villanueva Cuevas"/>
        <s v="Paula Constanza Antonia Sobrevía Valenzuela"/>
        <s v="Renato Andres Santibañez Yevilao"/>
        <s v="Catalina Torres Muñoz"/>
        <s v="Katherine Jahel Acuña Farias"/>
        <s v="Renata Valentina Alarcón Muñoz"/>
        <s v="Catalina Gatica Martínez"/>
        <s v="Ignacio Andres Lopez Bustos"/>
        <s v="Javiera Constanza Sánchez Vega"/>
        <s v="Catalina Belén Mardones Pinilla"/>
        <s v="Fernanda Nicol Lagos González"/>
        <s v="Gabriela Solange Cabrera Cortez"/>
        <s v="Lucila Del Carmen Aqueveque Jara"/>
        <s v="Macarena Vanessa Lavanderos Alarcon"/>
        <s v="Pablo Andres Marin Mansilla"/>
        <s v="Stephany Alejandra Concha Zapata"/>
        <s v="Vicente Ignacio Lara Gutiérrez"/>
        <s v="Barbara Jullieth Meza Benavides"/>
        <s v="Pamela Inostroza Ulloa"/>
        <s v="Alejandra Andrea Luna Gallardo"/>
        <s v="Gonzalo Peña Sandoval"/>
        <s v="Katherin Valeska Bañados Henriquez"/>
        <s v="Luis Alfredo Burgos Contreras"/>
        <s v="Muriel Esther González Silva"/>
        <s v="Romina Andrea Daza Espinoza"/>
        <s v="Sebastián Gilberto Hermosilla Miño"/>
        <s v="Andrés Nicolás González Michellod"/>
        <s v="Catalina Ignacia Pérez Ramos"/>
        <s v="Constanza Belén Donoso González"/>
        <s v="Ignacio Andrés Lozano Urra"/>
        <s v="Ignacio Vicente Iñaki Ibarra Herrera"/>
        <s v="Javier Andres Dauros Hormazabal"/>
        <s v="Sebastián Esteban Rojas Canales"/>
        <s v="Erick Alexis Rivas Macaya"/>
        <s v="Macarena Andrea Rodriguez Vidal"/>
        <s v="Manuel Alejandro Borquez Maluenda"/>
        <s v="Scarlet Denisse Oyarzun Diaz"/>
        <s v="Viviana Alejandra Rodríguez Vidal"/>
        <s v="Álvaro Antonio Peñailillo Castillo"/>
        <s v="Benjamin Alejandro Villa Solar"/>
        <s v="Bruno Isaac Medel Parra"/>
        <s v="Camila Cabrera Menares"/>
        <s v="Daniela Monserrat Burgos Guzmán"/>
        <s v="Krishna Alexandra Mella Escobar"/>
        <s v="Liz Fernanda Bolomey Reske"/>
        <s v="Matías Santiago Mancilla Ríos"/>
        <s v="Tamara Patricia Ponss Riffo"/>
        <s v="Fabiola Letelier Álvarez"/>
        <s v="Ayannís Mara Venegas Vargas"/>
        <s v="Ana Erilda Peña Orellana"/>
        <s v="Felipe Andrés Lehuey Cuevas"/>
        <s v="Livio Alfredo Carrasco Duran"/>
        <s v="Waleska Elizabeth Prambs Levín"/>
        <s v="Carla Andrea Contreras Calderon"/>
        <s v="Natalie Magdalena Sepulveda Gomez"/>
        <s v="Álvaro Andrés Toledo Seguel"/>
        <s v="Alvaro Mora Martinez"/>
        <s v="Anita Bravo Cortez"/>
        <s v="Antonia Belén Rodriguez Garay"/>
        <s v="Antonia Belén Romero Campos"/>
        <s v="Erik Jesus Antonio Mariqueo Rodriguez"/>
        <s v="Isidora María Fernanda Sandoval Gutiérrez"/>
        <s v="Lisbet Almendra Matamala Sandoval"/>
        <s v="Mariaignacia Paulina Belmar Manríquez"/>
        <s v="Mayra Amigo Cortez"/>
        <s v="Texias Nicole Lagos Navarrete"/>
        <s v="Carla Andrea Contreras Novoa"/>
        <s v="Carolina Andrea Vega Contreras"/>
        <s v="Gabriel Alberto Faúndez Vera"/>
        <s v="Ismael Osvaldo Espinoza Soto"/>
        <s v="Javiera Abril Bastías Muñoz"/>
        <s v="Lucas Alfredo Fernández Vega"/>
        <s v="Martin Nicolas Quintana Bravo"/>
        <s v="Milovan Christopher Jesús San Martín Manríquez"/>
        <s v="Monserrat Milena Barra Hernández"/>
        <s v="Nicolás Andrés Figueroa Orellana"/>
        <s v="Patricio Javier Esparza Espinoza"/>
        <s v="Rafaela Medel Bustamante"/>
        <s v="Sebastián Alejandro Bravo García"/>
        <s v="Trinidad Ferrada González"/>
        <s v="Valentina Andrea Arredondo Gutierrez"/>
        <s v="Alain Sebastian Cereceda Venegas"/>
        <s v="Aylin Isadora Fierro Vera"/>
        <s v="Cristóbal Celso Riffo Puentes"/>
        <s v="Mónica Scarlett Aránguiz Venegas"/>
        <s v="Rodrigo Felipe Pedreros Reyes"/>
        <s v="Felipe Adrian Inostroza Loaiza"/>
        <s v="Paula Andrea Castillo Torres"/>
        <s v="Silvia Karina Carrasco Avilés"/>
        <s v="Fabián Alejandro Sepúlveda Aguilera"/>
        <s v="Francisca Nicole Reyes Gómez"/>
        <s v="Jaime Alejandro Sepulveda Sepulveda"/>
        <m/>
      </sharedItems>
    </cacheField>
    <cacheField name="[T_Voluntarios].[RAMA_CURSO].[RAMA_CURSO]" caption="RAMA_CURSO" numFmtId="0" hierarchy="90" level="1">
      <sharedItems containsBlank="1" count="8">
        <s v="Pioneros"/>
        <s v="Caminantes"/>
        <s v="Golondrinas"/>
        <s v="Guias"/>
        <s v="Scouts"/>
        <s v="Lobatos"/>
        <s v="Equipo Organizador"/>
        <m/>
      </sharedItems>
    </cacheField>
    <cacheField name="[T_Voluntarios].[RUN].[RUN]" caption="RUN" numFmtId="0" hierarchy="80" level="1">
      <sharedItems containsBlank="1" count="208">
        <s v="20999968-4"/>
        <s v="16396404-K"/>
        <s v="13387134-9"/>
        <s v="22331921-1"/>
        <s v="18525115-2"/>
        <s v="14068351-5"/>
        <s v="20447788-4"/>
        <s v="21065520-4"/>
        <s v="21467393-2"/>
        <s v="14545408-5"/>
        <s v="20114528-7"/>
        <s v="16395741-8"/>
        <s v="17869632-7"/>
        <s v="20677699-4"/>
        <s v="19736352-5"/>
        <s v="15206532-9"/>
        <s v="18800211-0"/>
        <s v="21448774-8"/>
        <s v="17400182-0"/>
        <s v="21125989-2"/>
        <s v="22098684-5"/>
        <s v="19715480-2"/>
        <s v="20618777-8"/>
        <s v="21540865-5"/>
        <s v="21313286-5"/>
        <s v="20988214-0"/>
        <s v="16489970-5"/>
        <s v="21305751-0"/>
        <s v="20823656-3"/>
        <s v="21482816-2"/>
        <s v="17199463-2"/>
        <s v="18686470-0"/>
        <s v="20968446-2"/>
        <s v="17349336-3"/>
        <s v="18419830-4"/>
        <s v="21437691-1"/>
        <s v="21137969-3"/>
        <s v="21040156-3"/>
        <s v="17206911-8"/>
        <s v="21254120-6"/>
        <s v="21765475-0"/>
        <s v="21027384-0"/>
        <s v="21748001-9"/>
        <s v="20019984-7"/>
        <s v="19157712-4"/>
        <s v="20488355-6"/>
        <s v="21631374-7"/>
        <s v="21789622-3"/>
        <s v="21239488-2"/>
        <s v="21951620-7"/>
        <s v="21359566-0"/>
        <s v="21218527-2"/>
        <s v="20021994-5"/>
        <s v="21098317-1"/>
        <s v="20827682-4"/>
        <s v="21236548-3"/>
        <s v="21130967-9"/>
        <s v="21216333-3"/>
        <s v="21261995-7"/>
        <s v="21179860-2"/>
        <s v="20727528-K"/>
        <s v="20489410-8"/>
        <s v="19336099-8"/>
        <s v="21388383-6"/>
        <s v="21129923-1"/>
        <s v="21262310-5"/>
        <s v="21044758-K"/>
        <s v="21276054-4"/>
        <s v="20259006-3"/>
        <s v="20973166-5"/>
        <s v="20958325-9"/>
        <s v="20195612-9"/>
        <s v="19909896-9"/>
        <s v="17343643-2"/>
        <s v="19816809-2"/>
        <s v="12918155-9"/>
        <s v="20116981-K"/>
        <s v="13670458-3"/>
        <s v="17395890-0"/>
        <s v="7836094-1"/>
        <s v="20515958-4"/>
        <s v="13725336-4"/>
        <s v="17641213-5"/>
        <s v="18799920-0"/>
        <s v="19088730-8"/>
        <s v="16139761-K"/>
        <s v="16765815-6"/>
        <s v="20778093-6"/>
        <s v="12700415-3"/>
        <s v="21931418-3"/>
        <s v="12133343-0"/>
        <s v="12362790-3"/>
        <s v="19509993-6"/>
        <s v="18947308-7"/>
        <s v="20020612-6"/>
        <s v="20550642-K"/>
        <s v="12073270-6"/>
        <s v="16229438-5"/>
        <s v="12303496-1"/>
        <s v="18413346-6"/>
        <s v="22060019-K"/>
        <s v="19765737-5"/>
        <s v="21304861-9"/>
        <s v="17343653-K"/>
        <s v="9040564-0"/>
        <s v="17208784-1"/>
        <s v="20913656-2"/>
        <s v="21149119-1"/>
        <s v="20917350-6"/>
        <s v="20258730-5"/>
        <s v="21813696-4"/>
        <s v="21921293-3"/>
        <s v="20994815-K"/>
        <s v="21166830-K"/>
        <s v="21835332-0"/>
        <s v="17857920-7"/>
        <s v="21089732-1"/>
        <s v="21727177-0"/>
        <s v="21006509-1"/>
        <s v="21698615-6"/>
        <s v="20623385-0"/>
        <s v="20155115-3"/>
        <s v="20439723-6"/>
        <s v="19090410-5"/>
        <s v="21382811-8"/>
        <s v="19425691-4"/>
        <s v="18828110-9"/>
        <s v="16600798-4"/>
        <s v="14417326-0"/>
        <s v="16139416-5"/>
        <s v="16774006-5"/>
        <s v="19837040-1"/>
        <s v="19615922-3"/>
        <s v="14390617-5"/>
        <s v="16898721-8"/>
        <s v="20951673-K"/>
        <s v="18962018-7"/>
        <s v="16490600-0"/>
        <s v="17199729-1"/>
        <s v="16738221-5"/>
        <s v="19598321-6"/>
        <s v="19835395-7"/>
        <s v="21198146-6"/>
        <s v="19834316-1"/>
        <s v="21219951-6"/>
        <s v="20977871-8"/>
        <s v="19596163-8"/>
        <s v="19533643-1"/>
        <s v="19835330-2"/>
        <s v="18807829-K"/>
        <s v="16037886-7"/>
        <s v="19615529-5"/>
        <s v="16764087-7"/>
        <s v="19595070-9"/>
        <s v="20680877-2"/>
        <s v="21073153-9"/>
        <s v="17348754-1"/>
        <s v="16009047-2"/>
        <s v="20720516-8"/>
        <s v="19808577-4"/>
        <s v="20911665-0"/>
        <s v="21616122-K"/>
        <s v="16246556-2"/>
        <s v="20346662-5"/>
        <s v="17220413-9"/>
        <s v="19580739-6"/>
        <s v="13734880-2"/>
        <s v="15687768-9"/>
        <s v="20757965-3"/>
        <s v="16003635-4"/>
        <s v="19725767-9"/>
        <s v="20852142-K"/>
        <s v="21486862-8"/>
        <s v="20921553-5"/>
        <s v="21861091-9"/>
        <s v="21338943-2"/>
        <s v="21537964-7"/>
        <s v="20648561-2"/>
        <s v="21875658-1"/>
        <s v="16723098-9"/>
        <s v="18770447-2"/>
        <s v="21591571-9"/>
        <s v="14028528-5"/>
        <s v="21252064-0"/>
        <s v="19798265-9"/>
        <s v="21572281-3"/>
        <s v="21613232-7"/>
        <s v="21609731-9"/>
        <s v="21099023-2"/>
        <s v="21483687-4"/>
        <s v="21721885-3"/>
        <s v="20949468-K"/>
        <s v="21218725-9"/>
        <s v="21412999-K"/>
        <s v="20983670-K"/>
        <s v="20375255-5"/>
        <s v="20000855-3"/>
        <s v="20992153-7"/>
        <s v="20881296-3"/>
        <s v="19797172-K"/>
        <s v="19947418-9"/>
        <s v="17040813-6"/>
        <s v="16734885-8"/>
        <s v="12549494-3"/>
        <s v="18771058-8"/>
        <s v="18214617-K"/>
        <s v="12078390-4"/>
        <m/>
      </sharedItems>
    </cacheField>
    <cacheField name="[T_Voluntarios].[E_MAIL].[E_MAIL]" caption="E_MAIL" numFmtId="0" hierarchy="81" level="1">
      <sharedItems containsBlank="1" count="208">
        <s v="coni.beltranfe@gmail.com"/>
        <s v="raulbv777@gmail.com"/>
        <s v="rivera583@gmail.com"/>
        <s v="sanhueza.ambar6@gmail.com"/>
        <s v="danibascursanhueza@gmail.com"/>
        <s v="alexis.auad@gmail.com"/>
        <s v="alejandroquezadacontacto@gmail.com"/>
        <s v="constanza.mora.r16@gmail.com"/>
        <s v="danielyn10@gmail.com"/>
        <s v="datroncoso1@gmail.com"/>
        <s v="sgtefhi@gmail.com"/>
        <s v="jaimesanhueza249@gmail.com"/>
        <s v="jarileivam.24@gmail.com"/>
        <s v="pamelapinol21@gmail.com"/>
        <s v="thiareazapata@gmail.com"/>
        <s v="ysandovalm@gmail.com"/>
        <s v="marquezbarbara2018@gmail.com"/>
        <s v="italovergara2003@gmail.com"/>
        <s v="ivo.battaglia@gmail.com"/>
        <s v="jocefinaloyola@gmail.com"/>
        <s v="karina.martinez.navarro@gmail.com"/>
        <s v="nleivavillalobos@gmail.com"/>
        <s v="tomasespinozamunz@gmail.com"/>
        <s v="valentinavrgs17@gmail.com"/>
        <s v="clauandreasilvestremaldonado@gmail.com"/>
        <s v="pedrogonzalezirribarra@gmail.com"/>
        <s v="feijooangela@gmail.com"/>
        <s v="aabrantepe@gmail.com"/>
        <s v="cami.parra.lillo@gmail.com"/>
        <s v="clauditaderide@gmail.com"/>
        <s v="elias.neirato@gmail.com"/>
        <s v="eric.munoz.bel@gmail.com"/>
        <s v="estebangop@gmail.com"/>
        <s v="latorrefrancisco@gmail.com"/>
        <s v="orianasaezm@gmail.com"/>
        <s v="alfredo.soto.perez@gmail.com"/>
        <s v="angelabelenmc@gmail.com"/>
        <s v="sagnerantonio1312@gmail.com"/>
        <s v="birlita2425@gmail.com"/>
        <s v="c.rodriguezvargas2@uandresbello.edu"/>
        <s v="camilafgt.cg@gmail.com"/>
        <s v="c.silvamolina2@gmail.com"/>
        <s v="dsheward05@gmail.com"/>
        <s v="diego.henriquez.valenzuela@gmail.com"/>
        <s v="fbonfimm@gmail.com"/>
        <s v="itecheira17@gmail.com"/>
        <s v="marcela.ivana.molina.agurto@gmail.com"/>
        <s v="m.hunter.u05@gmail.com"/>
        <s v="utreras.rocio@gmail.com"/>
        <s v="santiagoconstenla2003@gmail.com"/>
        <s v="sebasper2003@gmail.com"/>
        <s v="sebarc2015@gmail.com"/>
        <s v="sofiaisabelmc@gmail.com"/>
        <s v="antomm002@gmail.com"/>
        <s v="barbararebolledogonzalez@gmail.com"/>
        <s v="broarojas@gmail.com"/>
        <s v="coniimu@gmail.com"/>
        <s v="tobar3daniel@gmail.com"/>
        <s v="maturana.emilia21@gmail.com"/>
        <s v="fsalas067@gmail.com"/>
        <s v="fmoragaescobar@gmail.com"/>
        <s v="fran.aguima@gmail.com"/>
        <s v="franciscaalveara@gmail.com"/>
        <s v="joseantonio17092003@gmail.com"/>
        <s v="josefarebolledogonzalez@gmail.com"/>
        <s v="matiasessmann@gmail.com"/>
        <s v="renata.belen.ramirez@gmail.com"/>
        <s v="cdiazaguilera12@gmail.com"/>
        <s v="cpalmab00@gmail.com"/>
        <s v="francine.smith.martinez@gmail.com"/>
        <s v="noemigonzalez644@gmail.com"/>
        <s v="tio0kta721@gmail.com"/>
        <s v="vicente.jgonzalezs@gmail.com"/>
        <s v="rarnechino@guiasyscoutschile.cl"/>
        <s v="cobes.r10729@gmail.com"/>
        <s v="czvdelbiobio@guiasyscoutschile.cl"/>
        <s v="liset.alarcon4@gmail.com"/>
        <s v="ffuentes@guiasyscoutschile.cl"/>
        <s v="brojas@guiasyscoutschile.cl"/>
        <s v="fredesa.ricardo@gmail.com"/>
        <s v="d11reamy@gmail.com"/>
        <s v="aldo.arevalo.rodriguez@gmail.com"/>
        <s v="placenciavalenzuela@gmail.com"/>
        <s v="andreavidalmo@gmail.com"/>
        <s v="javiera.jareyes@gmail.com"/>
        <s v="paulina86.fuentealba@gmail.com"/>
        <s v="treycer_c@hotmail.com"/>
        <s v="alonsovillablancaf@gmail.com"/>
        <s v="cristianurratrabajo@gmail.com"/>
        <s v="mgdavinson@gmail.com"/>
        <s v="amadridcani@gmail.com"/>
        <s v="chormazabal@guiasyscoutschile.cl"/>
        <s v="shormazabalm7@gmail.com"/>
        <s v="mg.thalia.f@gmail.com"/>
        <s v="rocamila98@gmail.com"/>
        <s v="gonsalorivas@gmail.com"/>
        <s v="aolavezagal@gmail.com"/>
        <s v="glorita_021@hotmail.com"/>
        <s v="pilotobizama@gmail.com"/>
        <s v="nadiavarela79@gmail.com"/>
        <s v="vichofuentest@gmail.com"/>
        <s v="brunobastian.herrera@gmail.com"/>
        <s v="niigvipa@gmail.com"/>
        <s v="a.lizana.meza@gmail.com"/>
        <s v="ofernandezv@gmail.com"/>
        <s v="czadelbiobio@guiasyscoutschile.cl"/>
        <s v="ignacio.olivaresh@gmail.com"/>
        <s v="isidorajara1910@gmail.com"/>
        <s v="martina.araa@gmail.com"/>
        <s v="cchavez.mon@gmail.com"/>
        <s v="belenpinovives1@gmail.com"/>
        <s v="chaminherrera2.3@gmail.com"/>
        <s v="danitza.valencia.p@gmail.com"/>
        <s v="nachogoncar02@gmail.com"/>
        <s v="josearavenavarrete@gmail.com"/>
        <s v="mavillanueva@guiasyscoutschile.cl"/>
        <s v="psobreviav@gmail.com"/>
        <s v="renatoandresantibanezy@gmail.com"/>
        <s v="catalinatorresmunoz@gmail.com"/>
        <s v="kathyaf2004@gmail.com"/>
        <s v="ralarconn3@gmail.com"/>
        <s v="nicolgaticamartinez@gmail.com"/>
        <s v="ilpbustos@gmail.com"/>
        <s v="javieracsv21@gmail.com"/>
        <s v="pinilla.belen.m@gmail.com"/>
        <s v="ferni.2102@gmail.com"/>
        <s v="gabriela.cabrera.cortez25@gmail.com"/>
        <s v="luciaqueveq@gmail.com"/>
        <s v="coca32729@gmail.com"/>
        <s v="pablo.marin.05@gmail.com"/>
        <s v="stephany.concha@virginiogomez.cl"/>
        <s v="vicentelara2@gmail.com"/>
        <s v="b.jullieth.meza@gmail.com"/>
        <s v="painostroza@gmail.com"/>
        <s v="alejandraaluna@gmail.com"/>
        <s v="gonza.sandovalito@gmail.com"/>
        <s v="khenriquezb@gmail.com"/>
        <s v="luisalfredoburgoscontreras@gmail.com"/>
        <s v="mgonzalez.biologia@gmail.com"/>
        <s v="rominaandrea.de@gmail.com"/>
        <s v="hermosillasebastian8@gmail.com"/>
        <s v="ang.michellod@gmail.com"/>
        <s v="chifuuuxc@gmail.com"/>
        <s v="donoso.ce@gmail.com"/>
        <s v="tw.lozanopp@gmail.com"/>
        <s v="ibarraherrera28@gmail.com"/>
        <s v="javier.dauros@gmail.com"/>
        <s v="srojas.lla@gmail.com"/>
        <s v="erickrivas.macaya@gmail.com"/>
        <s v="macarena.manutara@gmail.com"/>
        <s v="manuel.borquez29@gmail.com"/>
        <s v="scarletoyarzundiaz@gmail.com"/>
        <s v="vivirodriguez.vidal@gmail.com"/>
        <s v="a.penailillo10@gmail.com"/>
        <s v="bvillasolar@gmail.com"/>
        <s v="bruno.isaac.medel.parra@gmail.com"/>
        <s v="cabreracamilapaz@gmail.com"/>
        <s v="daniburguz1630@gmail.com"/>
        <s v="k.mellaescobar@gmail.com"/>
        <s v="liz.fernanda.6811@gmail.com"/>
        <s v="mancilla.stgo@gmail.com"/>
        <s v="tamiponss@gmail.com"/>
        <s v="fletelier@guiasyscoutschile.cl"/>
        <s v="ayannisvenegas@gmail.com"/>
        <s v="aneri15@gmail.com"/>
        <s v="f.lehuey97@gmail.com"/>
        <s v="liviocarrasco@gmail.com"/>
        <s v="wprambs@gmail.com"/>
        <s v="carlacontreras424@gmail.com"/>
        <s v="natimsg@gmail.com"/>
        <s v="alvarotoleseguel@gmail.com"/>
        <s v="mora62813@gmail.com"/>
        <s v="anitabravocortez7@gmail.com"/>
        <s v="antu06rodriguez@gmail.com"/>
        <s v="antoromerocampos@gmail.com"/>
        <s v="erikjesusantonio@gmail.com"/>
        <s v="isidorasandogut@gmail.com"/>
        <s v="lisbetmatamala2001@gmail.com"/>
        <s v="ignaciabelmar.m@gmail.com"/>
        <s v="mayra.amigo@gmail.com"/>
        <s v="texiasl@gmail.com"/>
        <s v="carlandreacn@gmail.com"/>
        <s v="caritoandreabarcelona@gmail.com"/>
        <s v="gabrirose25@gmail.com"/>
        <s v="ismaelsotoespi98@gmail.com"/>
        <s v="javiera.abril3@gmail.com"/>
        <s v="lucasfernandez1314@gmail.com"/>
        <s v="martinqnt05@gmail.com"/>
        <s v="milovan283@gmail.com"/>
        <s v="barramonserrat101@gmail.com"/>
        <s v="nicofigueroa2k04@gmail.com"/>
        <s v="patricio1642@hotmail.com"/>
        <s v="rafafitamedel7@gmail.com"/>
        <s v="sebabravo1810@gmail.com"/>
        <s v="trinity.pfg@gmail.com"/>
        <s v="valentina.arre2@gmail.com"/>
        <s v="alainsebastian.c.v@gmail.com"/>
        <s v="aylinfierrovera@gmail.com"/>
        <s v="crriffopuentes@gmail.com"/>
        <s v="moni.aranguiz.v@gmail.com"/>
        <s v="pedrerosszk@gmail.com"/>
        <s v="felipeinostrozaloaiza@gmail.com"/>
        <s v="paulaacastillotorres@gmail.com"/>
        <s v="scarrasco@guiasyscoutschile.cl"/>
        <s v="fabiansep11@gmail.com"/>
        <s v="francisca.reyesgomez@gmail.com"/>
        <s v="jaimesep68@gmail.com"/>
        <m/>
      </sharedItems>
    </cacheField>
    <cacheField name="[T_Voluntarios].[FONO].[FONO]" caption="FONO" numFmtId="0" hierarchy="87" level="1">
      <sharedItems containsBlank="1" count="208">
        <s v="+56945936163"/>
        <s v="+56942198380"/>
        <s v="+56952054822"/>
        <s v="+56933992361"/>
        <s v="+56950856213"/>
        <s v="+56988077917"/>
        <s v="+56933932949"/>
        <s v="+56988947281"/>
        <s v="+56944550102"/>
        <s v="±56976866115"/>
        <s v="+56945755832"/>
        <s v="+56952186469"/>
        <s v="+56982795248"/>
        <s v="+56946993024"/>
        <s v="+56968146979"/>
        <s v="+56954687949"/>
        <s v="+56933969452"/>
        <s v="+56934467257"/>
        <s v="+56978235800"/>
        <s v="+56975908017"/>
        <s v="+56996814332"/>
        <s v="+56975867205"/>
        <s v="+56995536960"/>
        <s v="+56934109286"/>
        <s v="+56961368501"/>
        <s v="+56989183192"/>
        <s v="+56985920688"/>
        <s v="+56942943701"/>
        <s v="+56956731068"/>
        <s v="+56987300867"/>
        <s v="+56997800817"/>
        <s v="+56985377591"/>
        <s v="+56964856859"/>
        <s v="+56995142816"/>
        <s v="+56999300814"/>
        <s v="+56954189051"/>
        <s v="+56950112060"/>
        <s v="+56921751597"/>
        <s v="+56984087831"/>
        <s v="+56933499983"/>
        <s v="+56981509663"/>
        <s v="+56966604575"/>
        <s v="+56950170657"/>
        <s v="+56978893177"/>
        <s v="+56936336569"/>
        <s v="+56951562182"/>
        <s v="+56965416672"/>
        <s v="+56949173132"/>
        <s v="+56944373252"/>
        <s v="+56933855952"/>
        <s v="+56973352622"/>
        <s v="+56990129371"/>
        <s v="+56999225725"/>
        <s v="+56942538502"/>
        <s v="+56973073235"/>
        <s v="+56996378248"/>
        <s v="+56965963744"/>
        <s v="+56964515907"/>
        <s v="+56978779116"/>
        <s v="+56945300995"/>
        <s v="+56978217655"/>
        <s v="+56976704907"/>
        <s v="+56977546707"/>
        <s v="+56961559967"/>
        <s v="+56973073309"/>
        <s v="+56944723273"/>
        <s v="+56971088769"/>
        <s v="+56956959880"/>
        <s v="+56932294127"/>
        <s v="+56940174341"/>
        <s v="+56956656604"/>
        <s v="+56944222693"/>
        <s v="+56977760821"/>
        <s v="+56948671716"/>
        <s v="+56989465054"/>
        <s v="+56998745724"/>
        <s v="+56974928049"/>
        <s v="+56978096807"/>
        <s v="+56967877580"/>
        <s v="+56995078893"/>
        <s v="+56976643685"/>
        <s v="+56987329470"/>
        <s v="+56971954811"/>
        <s v="+56933728882"/>
        <s v="+56988893472"/>
        <s v="+56977088145"/>
        <s v="+56992368169"/>
        <s v="+56966862742"/>
        <s v="+56977809683"/>
        <s v="+56935807934"/>
        <s v="+56993509234"/>
        <s v="+56962191513"/>
        <s v="+56993326025"/>
        <s v="+56941568452"/>
        <s v="+56958573099"/>
        <s v="+56957631673"/>
        <s v="+56981567659"/>
        <s v="+56975756741"/>
        <s v="+56953737037"/>
        <s v="+56974975657"/>
        <s v="+56999065330"/>
        <s v="+56965835382"/>
        <s v="+56957805108"/>
        <s v="+56926375827"/>
        <s v="+56990781445"/>
        <s v="+56992178581"/>
        <s v="+56940658180"/>
        <s v="+56998999503"/>
        <s v="+56969065236"/>
        <s v="+56983409835"/>
        <s v="+56933510891"/>
        <s v="+56949310990"/>
        <s v="+56964030087"/>
        <s v="+56953133620"/>
        <s v="+56965518943"/>
        <s v="+56951585457"/>
        <s v="+56957002094"/>
        <s v="+56934950948"/>
        <s v="+56990901635"/>
        <s v="+56920403606"/>
        <s v="+56990138737"/>
        <s v="+56973698952"/>
        <s v="+56969030061"/>
        <s v="+56997711144"/>
        <s v="+56920047215"/>
        <s v="+56958015932"/>
        <s v="+56971623617"/>
        <s v="+56977509011"/>
        <s v="+56998425807"/>
        <s v="+56926339785"/>
        <s v="+56947608082"/>
        <s v="+56937890998"/>
        <s v="+56981528180"/>
        <s v="+56984597052"/>
        <s v="+56979775151"/>
        <s v="+56974531813"/>
        <s v="+56971041512"/>
        <s v="+56977008466"/>
        <s v="+56940010332"/>
        <s v="+56990602354"/>
        <s v="+56967391936"/>
        <s v="+56957612676"/>
        <s v="+56973834520"/>
        <s v="+56995041101"/>
        <s v="+56973309179"/>
        <s v="+56941686052"/>
        <s v="+56998047156"/>
        <s v="+56966669088"/>
        <s v="+56997735872"/>
        <s v="+56977422201"/>
        <s v="+56982295437"/>
        <s v="+56978458127"/>
        <s v="+56996444971"/>
        <s v="+56971599609"/>
        <s v="+56957767911"/>
        <s v="+56934876772"/>
        <s v="+56942050953"/>
        <s v="+56994922124"/>
        <s v="+56996908157"/>
        <s v="+56957939592"/>
        <s v="+56953951030"/>
        <s v="+56939046628"/>
        <s v="+56963413456"/>
        <s v="+56926324484"/>
        <s v="+56989709230"/>
        <s v="+56974188677"/>
        <s v="+56988118402"/>
        <s v="+56994861311"/>
        <s v="+56982309761"/>
        <s v="+56969084323"/>
        <s v="+56978485507"/>
        <s v="+56966748869"/>
        <s v="+56954996048"/>
        <s v="+56991291269"/>
        <s v="+56934418140"/>
        <s v="+56957461773"/>
        <s v="+56973953441"/>
        <s v="+56946450576"/>
        <s v="+56972887651"/>
        <s v="+56954094654"/>
        <s v="+56954600260"/>
        <s v="+56964778314"/>
        <s v="+56956030526"/>
        <s v="+56949483106"/>
        <s v="+56987889287"/>
        <s v="+56964967222"/>
        <s v="+56933979124"/>
        <s v="+56967020262"/>
        <s v="+56949327487"/>
        <s v="+56956699258"/>
        <s v="+56957143597"/>
        <s v="+56962003621"/>
        <s v="+56944773131"/>
        <s v="+56993960099"/>
        <s v="+56962470347"/>
        <s v="+56920298323"/>
        <s v="+56937824627"/>
        <s v="+56986440986"/>
        <s v="+56957345251"/>
        <s v="+56990350961"/>
        <s v="+56995886415"/>
        <s v="+56966537314"/>
        <s v="+56951394372"/>
        <s v="+56999912803"/>
        <s v="+56948539347"/>
        <s v="+56999164403"/>
        <s v="+56940714170"/>
        <m/>
      </sharedItems>
    </cacheField>
    <cacheField name="[Measures].[Suma de Cuota_1]" caption="Suma de Cuota_1" numFmtId="0" hierarchy="132" level="32767"/>
    <cacheField name="[Measures].[Suma de Cuota_2]" caption="Suma de Cuota_2" numFmtId="0" hierarchy="133" level="32767"/>
    <cacheField name="[Measures].[Suma de Cuota_3]" caption="Suma de Cuota_3" numFmtId="0" hierarchy="134" level="32767"/>
    <cacheField name="[T_Voluntarios].[ROL].[ROL]" caption="ROL" numFmtId="0" hierarchy="88" level="1">
      <sharedItems containsSemiMixedTypes="0" containsNonDate="0" containsString="0"/>
    </cacheField>
    <cacheField name="[T_Voluntarios].[ESTADO].[ESTADO]" caption="ESTADO" numFmtId="0" hierarchy="109" level="1">
      <sharedItems containsSemiMixedTypes="0" containsNonDate="0" containsString="0"/>
    </cacheField>
    <cacheField name="[Measures].[Suma de CUENTA]" caption="Suma de CUENTA" numFmtId="0" hierarchy="135" level="32767"/>
    <cacheField name="[T_Voluntarios].[AVISADO].[AVISADO]" caption="AVISADO" numFmtId="0" hierarchy="108" level="1">
      <sharedItems containsSemiMixedTypes="0" containsNonDate="0" containsString="0"/>
    </cacheField>
    <cacheField name="[Measures].[Suma Cuotas]" caption="Suma Cuotas" numFmtId="0" hierarchy="136" level="32767"/>
  </cacheFields>
  <cacheHierarchies count="152">
    <cacheHierarchy uniqueName="[BBDD].[RUN]" caption="RUN" attribute="1" defaultMemberUniqueName="[BBDD].[RUN].[All]" allUniqueName="[BBDD].[RUN].[All]" dimensionUniqueName="[BBDD]" displayFolder="" count="0" memberValueDatatype="130" unbalanced="0"/>
    <cacheHierarchy uniqueName="[BBDD].[FECHA_HORA]" caption="FECHA_HORA" attribute="1" time="1" defaultMemberUniqueName="[BBDD].[FECHA_HORA].[All]" allUniqueName="[BBDD].[FECHA_HORA].[All]" dimensionUniqueName="[BBDD]" displayFolder="" count="0" memberValueDatatype="7" unbalanced="0"/>
    <cacheHierarchy uniqueName="[BBDD].[EMAIL]" caption="EMAIL" attribute="1" defaultMemberUniqueName="[BBDD].[EMAIL].[All]" allUniqueName="[BBDD].[EMAIL].[All]" dimensionUniqueName="[BBDD]" displayFolder="" count="0" memberValueDatatype="130" unbalanced="0"/>
    <cacheHierarchy uniqueName="[BBDD].[NOMBRE]" caption="NOMBRE" attribute="1" defaultMemberUniqueName="[BBDD].[NOMBRE].[All]" allUniqueName="[BBDD].[NOMBRE].[All]" dimensionUniqueName="[BBDD]" displayFolder="" count="0" memberValueDatatype="130" unbalanced="0"/>
    <cacheHierarchy uniqueName="[BBDD].[FECHA_NAC]" caption="FECHA_NAC" attribute="1" time="1" defaultMemberUniqueName="[BBDD].[FECHA_NAC].[All]" allUniqueName="[BBDD].[FECHA_NAC].[All]" dimensionUniqueName="[BBDD]" displayFolder="" count="0" memberValueDatatype="7" unbalanced="0"/>
    <cacheHierarchy uniqueName="[BBDD].[DIRECCION]" caption="DIRECCION" attribute="1" defaultMemberUniqueName="[BBDD].[DIRECCION].[All]" allUniqueName="[BBDD].[DIRECCION].[All]" dimensionUniqueName="[BBDD]" displayFolder="" count="0" memberValueDatatype="130" unbalanced="0"/>
    <cacheHierarchy uniqueName="[BBDD].[COMUNA]" caption="COMUNA" attribute="1" defaultMemberUniqueName="[BBDD].[COMUNA].[All]" allUniqueName="[BBDD].[COMUNA].[All]" dimensionUniqueName="[BBDD]" displayFolder="" count="0" memberValueDatatype="130" unbalanced="0"/>
    <cacheHierarchy uniqueName="[BBDD].[TIPO_FONO]" caption="TIPO_FONO" attribute="1" defaultMemberUniqueName="[BBDD].[TIPO_FONO].[All]" allUniqueName="[BBDD].[TIPO_FONO].[All]" dimensionUniqueName="[BBDD]" displayFolder="" count="0" memberValueDatatype="130" unbalanced="0"/>
    <cacheHierarchy uniqueName="[BBDD].[FONO]" caption="FONO" attribute="1" defaultMemberUniqueName="[BBDD].[FONO].[All]" allUniqueName="[BBDD].[FONO].[All]" dimensionUniqueName="[BBDD]" displayFolder="" count="0" memberValueDatatype="130" unbalanced="0"/>
    <cacheHierarchy uniqueName="[BBDD].[ROL]" caption="ROL" attribute="1" defaultMemberUniqueName="[BBDD].[ROL].[All]" allUniqueName="[BBDD].[ROL].[All]" dimensionUniqueName="[BBDD]" displayFolder="" count="0" memberValueDatatype="130" unbalanced="0"/>
    <cacheHierarchy uniqueName="[BBDD].[GRUPO]" caption="GRUPO" attribute="1" defaultMemberUniqueName="[BBDD].[GRUPO].[All]" allUniqueName="[BBDD].[GRUPO].[All]" dimensionUniqueName="[BBDD]" displayFolder="" count="0" memberValueDatatype="130" unbalanced="0"/>
    <cacheHierarchy uniqueName="[BBDD].[RAMA]" caption="RAMA" attribute="1" defaultMemberUniqueName="[BBDD].[RAMA].[All]" allUniqueName="[BBDD].[RAMA].[All]" dimensionUniqueName="[BBDD]" displayFolder="" count="0" memberValueDatatype="130" unbalanced="0"/>
    <cacheHierarchy uniqueName="[BBDD].[CARGO]" caption="CARGO" attribute="1" defaultMemberUniqueName="[BBDD].[CARGO].[All]" allUniqueName="[BBDD].[CARGO].[All]" dimensionUniqueName="[BBDD]" displayFolder="" count="0" memberValueDatatype="130" unbalanced="0"/>
    <cacheHierarchy uniqueName="[BBDD].[TIEMPO_UNIDAD]" caption="TIEMPO_UNIDAD" attribute="1" defaultMemberUniqueName="[BBDD].[TIEMPO_UNIDAD].[All]" allUniqueName="[BBDD].[TIEMPO_UNIDAD].[All]" dimensionUniqueName="[BBDD]" displayFolder="" count="0" memberValueDatatype="130" unbalanced="0"/>
    <cacheHierarchy uniqueName="[BBDD].[DISTRITO]" caption="DISTRITO" attribute="1" defaultMemberUniqueName="[BBDD].[DISTRITO].[All]" allUniqueName="[BBDD].[DISTRITO].[All]" dimensionUniqueName="[BBDD]" displayFolder="" count="0" memberValueDatatype="130" unbalanced="0"/>
    <cacheHierarchy uniqueName="[BBDD].[NIVEL]" caption="NIVEL" attribute="1" defaultMemberUniqueName="[BBDD].[NIVEL].[All]" allUniqueName="[BBDD].[NIVEL].[All]" dimensionUniqueName="[BBDD]" displayFolder="" count="0" memberValueDatatype="130" unbalanced="0"/>
    <cacheHierarchy uniqueName="[BBDD].[NUM_MMAA]" caption="NUM_MMAA" attribute="1" defaultMemberUniqueName="[BBDD].[NUM_MMAA].[All]" allUniqueName="[BBDD].[NUM_MMAA].[All]" dimensionUniqueName="[BBDD]" displayFolder="" count="0" memberValueDatatype="130" unbalanced="0"/>
    <cacheHierarchy uniqueName="[BBDD].[RAMA_NIVEL_MEDIO]" caption="RAMA_NIVEL_MEDIO" attribute="1" defaultMemberUniqueName="[BBDD].[RAMA_NIVEL_MEDIO].[All]" allUniqueName="[BBDD].[RAMA_NIVEL_MEDIO].[All]" dimensionUniqueName="[BBDD]" displayFolder="" count="0" memberValueDatatype="130" unbalanced="0"/>
    <cacheHierarchy uniqueName="[BBDD].[RAMA_NIVEL_AVANZADO]" caption="RAMA_NIVEL_AVANZADO" attribute="1" defaultMemberUniqueName="[BBDD].[RAMA_NIVEL_AVANZADO].[All]" allUniqueName="[BBDD].[RAMA_NIVEL_AVANZADO].[All]" dimensionUniqueName="[BBDD]" displayFolder="" count="0" memberValueDatatype="130" unbalanced="0"/>
    <cacheHierarchy uniqueName="[BBDD].[ALIMENTACION]" caption="ALIMENTACION" attribute="1" defaultMemberUniqueName="[BBDD].[ALIMENTACION].[All]" allUniqueName="[BBDD].[ALIMENTACION].[All]" dimensionUniqueName="[BBDD]" displayFolder="" count="0" memberValueDatatype="130" unbalanced="0"/>
    <cacheHierarchy uniqueName="[BBDD].[ALERGIA]" caption="ALERGIA" attribute="1" defaultMemberUniqueName="[BBDD].[ALERGIA].[All]" allUniqueName="[BBDD].[ALERGIA].[All]" dimensionUniqueName="[BBDD]" displayFolder="" count="0" memberValueDatatype="130" unbalanced="0"/>
    <cacheHierarchy uniqueName="[BBDD].[LIMITACION]" caption="LIMITACION" attribute="1" defaultMemberUniqueName="[BBDD].[LIMITACION].[All]" allUniqueName="[BBDD].[LIMITACION].[All]" dimensionUniqueName="[BBDD]" displayFolder="" count="0" memberValueDatatype="130" unbalanced="0"/>
    <cacheHierarchy uniqueName="[BBDD].[EMERGENCIA]" caption="EMERGENCIA" attribute="1" defaultMemberUniqueName="[BBDD].[EMERGENCIA].[All]" allUniqueName="[BBDD].[EMERGENCIA].[All]" dimensionUniqueName="[BBDD]" displayFolder="" count="0" memberValueDatatype="130" unbalanced="0"/>
    <cacheHierarchy uniqueName="[BBDD].[PATENTE_VEHICULO]" caption="PATENTE_VEHICULO" attribute="1" defaultMemberUniqueName="[BBDD].[PATENTE_VEHICULO].[All]" allUniqueName="[BBDD].[PATENTE_VEHICULO].[All]" dimensionUniqueName="[BBDD]" displayFolder="" count="0" memberValueDatatype="130" unbalanced="0"/>
    <cacheHierarchy uniqueName="[BBDD].[MARCA_VEHICULO]" caption="MARCA_VEHICULO" attribute="1" defaultMemberUniqueName="[BBDD].[MARCA_VEHICULO].[All]" allUniqueName="[BBDD].[MARCA_VEHICULO].[All]" dimensionUniqueName="[BBDD]" displayFolder="" count="0" memberValueDatatype="130" unbalanced="0"/>
    <cacheHierarchy uniqueName="[BBDD].[MODELO_VEHICULO]" caption="MODELO_VEHICULO" attribute="1" defaultMemberUniqueName="[BBDD].[MODELO_VEHICULO].[All]" allUniqueName="[BBDD].[MODELO_VEHICULO].[All]" dimensionUniqueName="[BBDD]" displayFolder="" count="0" memberValueDatatype="130" unbalanced="0"/>
    <cacheHierarchy uniqueName="[BBDD].[CONSIDERACION]" caption="CONSIDERACION" attribute="1" defaultMemberUniqueName="[BBDD].[CONSIDERACION].[All]" allUniqueName="[BBDD].[CONSIDERACION].[All]" dimensionUniqueName="[BBDD]" displayFolder="" count="0" memberValueDatatype="130" unbalanced="0"/>
    <cacheHierarchy uniqueName="[BBDD].[ALOJAMIENTO]" caption="ALOJAMIENTO" attribute="1" defaultMemberUniqueName="[BBDD].[ALOJAMIENTO].[All]" allUniqueName="[BBDD].[ALOJAMIENTO].[All]" dimensionUniqueName="[BBDD]" displayFolder="" count="0" memberValueDatatype="130" unbalanced="0"/>
    <cacheHierarchy uniqueName="[BBDD].[PROFESION]" caption="PROFESION" attribute="1" defaultMemberUniqueName="[BBDD].[PROFESION].[All]" allUniqueName="[BBDD].[PROFESION].[All]" dimensionUniqueName="[BBDD]" displayFolder="" count="0" memberValueDatatype="130" unbalanced="0"/>
    <cacheHierarchy uniqueName="[BBDD].[TIEMPO_BENEFICIARIO]" caption="TIEMPO_BENEFICIARIO" attribute="1" defaultMemberUniqueName="[BBDD].[TIEMPO_BENEFICIARIO].[All]" allUniqueName="[BBDD].[TIEMPO_BENEFICIARIO].[All]" dimensionUniqueName="[BBDD]" displayFolder="" count="0" memberValueDatatype="130" unbalanced="0"/>
    <cacheHierarchy uniqueName="[BBDD].[TRABAJO_NNAJ]" caption="TRABAJO_NNAJ" attribute="1" defaultMemberUniqueName="[BBDD].[TRABAJO_NNAJ].[All]" allUniqueName="[BBDD].[TRABAJO_NNAJ].[All]" dimensionUniqueName="[BBDD]" displayFolder="" count="0" memberValueDatatype="130" unbalanced="0"/>
    <cacheHierarchy uniqueName="[BBDD].[ESTADO_CIVIL]" caption="ESTADO_CIVIL" attribute="1" defaultMemberUniqueName="[BBDD].[ESTADO_CIVIL].[All]" allUniqueName="[BBDD].[ESTADO_CIVIL].[All]" dimensionUniqueName="[BBDD]" displayFolder="" count="0" memberValueDatatype="130" unbalanced="0"/>
    <cacheHierarchy uniqueName="[BBDD].[RELIGION]" caption="RELIGION" attribute="1" defaultMemberUniqueName="[BBDD].[RELIGION].[All]" allUniqueName="[BBDD].[RELIGION].[All]" dimensionUniqueName="[BBDD]" displayFolder="" count="0" memberValueDatatype="130" unbalanced="0"/>
    <cacheHierarchy uniqueName="[BBDD].[APODO]" caption="APODO" attribute="1" defaultMemberUniqueName="[BBDD].[APODO].[All]" allUniqueName="[BBDD].[APODO].[All]" dimensionUniqueName="[BBDD]" displayFolder="" count="0" memberValueDatatype="130" unbalanced="0"/>
    <cacheHierarchy uniqueName="[BBDD].[CUOTA]" caption="CUOTA" attribute="1" defaultMemberUniqueName="[BBDD].[CUOTA].[All]" allUniqueName="[BBDD].[CUOTA].[All]" dimensionUniqueName="[BBDD]" displayFolder="" count="0" memberValueDatatype="130" unbalanced="0"/>
    <cacheHierarchy uniqueName="[BBDD].[FICHA_MEDICA]" caption="FICHA_MEDICA" attribute="1" defaultMemberUniqueName="[BBDD].[FICHA_MEDICA].[All]" allUniqueName="[BBDD].[FICHA_MEDICA].[All]" dimensionUniqueName="[BBDD]" displayFolder="" count="0" memberValueDatatype="130" unbalanced="0"/>
    <cacheHierarchy uniqueName="[BBDD].[EDAD]" caption="EDAD" attribute="1" defaultMemberUniqueName="[BBDD].[EDAD].[All]" allUniqueName="[BBDD].[EDAD].[All]" dimensionUniqueName="[BBDD]" displayFolder="" count="0" memberValueDatatype="130" unbalanced="0"/>
    <cacheHierarchy uniqueName="[BBDD_Formadores].[RUN]" caption="RUN" attribute="1" defaultMemberUniqueName="[BBDD_Formadores].[RUN].[All]" allUniqueName="[BBDD_Formadores].[RUN].[All]" dimensionUniqueName="[BBDD_Formadores]" displayFolder="" count="0" memberValueDatatype="130" unbalanced="0"/>
    <cacheHierarchy uniqueName="[BBDD_Formadores].[CORREO]" caption="CORREO" attribute="1" defaultMemberUniqueName="[BBDD_Formadores].[CORREO].[All]" allUniqueName="[BBDD_Formadores].[CORREO].[All]" dimensionUniqueName="[BBDD_Formadores]" displayFolder="" count="0" memberValueDatatype="130" unbalanced="0"/>
    <cacheHierarchy uniqueName="[BBDD_Formadores].[NOMBRE]" caption="NOMBRE" attribute="1" defaultMemberUniqueName="[BBDD_Formadores].[NOMBRE].[All]" allUniqueName="[BBDD_Formadores].[NOMBRE].[All]" dimensionUniqueName="[BBDD_Formadores]" displayFolder="" count="0" memberValueDatatype="130" unbalanced="0"/>
    <cacheHierarchy uniqueName="[BBDD_Formadores].[FECHA_NAC]" caption="FECHA_NAC" attribute="1" defaultMemberUniqueName="[BBDD_Formadores].[FECHA_NAC].[All]" allUniqueName="[BBDD_Formadores].[FECHA_NAC].[All]" dimensionUniqueName="[BBDD_Formadores]" displayFolder="" count="0" memberValueDatatype="130" unbalanced="0"/>
    <cacheHierarchy uniqueName="[BBDD_Formadores].[DIRECCION]" caption="DIRECCION" attribute="1" defaultMemberUniqueName="[BBDD_Formadores].[DIRECCION].[All]" allUniqueName="[BBDD_Formadores].[DIRECCION].[All]" dimensionUniqueName="[BBDD_Formadores]" displayFolder="" count="0" memberValueDatatype="130" unbalanced="0"/>
    <cacheHierarchy uniqueName="[BBDD_Formadores].[COMUNA]" caption="COMUNA" attribute="1" defaultMemberUniqueName="[BBDD_Formadores].[COMUNA].[All]" allUniqueName="[BBDD_Formadores].[COMUNA].[All]" dimensionUniqueName="[BBDD_Formadores]" displayFolder="" count="0" memberValueDatatype="130" unbalanced="0"/>
    <cacheHierarchy uniqueName="[BBDD_Formadores].[TIPO_FONO]" caption="TIPO_FONO" attribute="1" defaultMemberUniqueName="[BBDD_Formadores].[TIPO_FONO].[All]" allUniqueName="[BBDD_Formadores].[TIPO_FONO].[All]" dimensionUniqueName="[BBDD_Formadores]" displayFolder="" count="0" memberValueDatatype="130" unbalanced="0"/>
    <cacheHierarchy uniqueName="[BBDD_Formadores].[FONO]" caption="FONO" attribute="1" defaultMemberUniqueName="[BBDD_Formadores].[FONO].[All]" allUniqueName="[BBDD_Formadores].[FONO].[All]" dimensionUniqueName="[BBDD_Formadores]" displayFolder="" count="0" memberValueDatatype="130" unbalanced="0"/>
    <cacheHierarchy uniqueName="[BBDD_Formadores].[GRUPO]" caption="GRUPO" attribute="1" defaultMemberUniqueName="[BBDD_Formadores].[GRUPO].[All]" allUniqueName="[BBDD_Formadores].[GRUPO].[All]" dimensionUniqueName="[BBDD_Formadores]" displayFolder="" count="0" memberValueDatatype="130" unbalanced="0"/>
    <cacheHierarchy uniqueName="[BBDD_Formadores].[DISTRITO]" caption="DISTRITO" attribute="1" defaultMemberUniqueName="[BBDD_Formadores].[DISTRITO].[All]" allUniqueName="[BBDD_Formadores].[DISTRITO].[All]" dimensionUniqueName="[BBDD_Formadores]" displayFolder="" count="0" memberValueDatatype="130" unbalanced="0"/>
    <cacheHierarchy uniqueName="[BBDD_Formadores].[NIVEL]" caption="NIVEL" attribute="1" defaultMemberUniqueName="[BBDD_Formadores].[NIVEL].[All]" allUniqueName="[BBDD_Formadores].[NIVEL].[All]" dimensionUniqueName="[BBDD_Formadores]" displayFolder="" count="0" memberValueDatatype="130" unbalanced="0"/>
    <cacheHierarchy uniqueName="[BBDD_Formadores].[NUMERO_MMAA]" caption="NUMERO_MMAA" attribute="1" defaultMemberUniqueName="[BBDD_Formadores].[NUMERO_MMAA].[All]" allUniqueName="[BBDD_Formadores].[NUMERO_MMAA].[All]" dimensionUniqueName="[BBDD_Formadores]" displayFolder="" count="0" memberValueDatatype="130" unbalanced="0"/>
    <cacheHierarchy uniqueName="[BBDD_Formadores].[RAMA_MEDIO]" caption="RAMA_MEDIO" attribute="1" defaultMemberUniqueName="[BBDD_Formadores].[RAMA_MEDIO].[All]" allUniqueName="[BBDD_Formadores].[RAMA_MEDIO].[All]" dimensionUniqueName="[BBDD_Formadores]" displayFolder="" count="0" memberValueDatatype="130" unbalanced="0"/>
    <cacheHierarchy uniqueName="[BBDD_Formadores].[RAMA_AVANZADO]" caption="RAMA_AVANZADO" attribute="1" defaultMemberUniqueName="[BBDD_Formadores].[RAMA_AVANZADO].[All]" allUniqueName="[BBDD_Formadores].[RAMA_AVANZADO].[All]" dimensionUniqueName="[BBDD_Formadores]" displayFolder="" count="0" memberValueDatatype="130" unbalanced="0"/>
    <cacheHierarchy uniqueName="[BBDD_Formadores].[HABIL_I]" caption="HABIL_I" attribute="1" defaultMemberUniqueName="[BBDD_Formadores].[HABIL_I].[All]" allUniqueName="[BBDD_Formadores].[HABIL_I].[All]" dimensionUniqueName="[BBDD_Formadores]" displayFolder="" count="0" memberValueDatatype="130" unbalanced="0"/>
    <cacheHierarchy uniqueName="[BBDD_Formadores].[HABIL_II]" caption="HABIL_II" attribute="1" defaultMemberUniqueName="[BBDD_Formadores].[HABIL_II].[All]" allUniqueName="[BBDD_Formadores].[HABIL_II].[All]" dimensionUniqueName="[BBDD_Formadores]" displayFolder="" count="0" memberValueDatatype="130" unbalanced="0"/>
    <cacheHierarchy uniqueName="[BBDD_Formadores].[VERIFICADOR]" caption="VERIFICADOR" attribute="1" defaultMemberUniqueName="[BBDD_Formadores].[VERIFICADOR].[All]" allUniqueName="[BBDD_Formadores].[VERIFICADOR].[All]" dimensionUniqueName="[BBDD_Formadores]" displayFolder="" count="0" memberValueDatatype="130" unbalanced="0"/>
    <cacheHierarchy uniqueName="[BBDD_Formadores].[INSTITUCIONAL]" caption="INSTITUCIONAL" attribute="1" defaultMemberUniqueName="[BBDD_Formadores].[INSTITUCIONAL].[All]" allUniqueName="[BBDD_Formadores].[INSTITUCIONAL].[All]" dimensionUniqueName="[BBDD_Formadores]" displayFolder="" count="0" memberValueDatatype="130" unbalanced="0"/>
    <cacheHierarchy uniqueName="[BBDD_Formadores].[CUENTA]" caption="CUENTA" attribute="1" defaultMemberUniqueName="[BBDD_Formadores].[CUENTA].[All]" allUniqueName="[BBDD_Formadores].[CUENTA].[All]" dimensionUniqueName="[BBDD_Formadores]" displayFolder="" count="0" memberValueDatatype="20" unbalanced="0"/>
    <cacheHierarchy uniqueName="[T_Asignado].[Asignado]" caption="Asignado" attribute="1" defaultMemberUniqueName="[T_Asignado].[Asignado].[All]" allUniqueName="[T_Asignado].[Asignado].[All]" dimensionUniqueName="[T_Asignado]" displayFolder="" count="0" memberValueDatatype="130" unbalanced="0"/>
    <cacheHierarchy uniqueName="[T_Avisado].[Avisado]" caption="Avisado" attribute="1" defaultMemberUniqueName="[T_Avisado].[Avisado].[All]" allUniqueName="[T_Avisado].[Avisado].[All]" dimensionUniqueName="[T_Avisado]" displayFolder="" count="0" memberValueDatatype="130" unbalanced="0"/>
    <cacheHierarchy uniqueName="[T_Cama].[Cama]" caption="Cama" attribute="1" defaultMemberUniqueName="[T_Cama].[Cama].[All]" allUniqueName="[T_Cama].[Cama].[All]" dimensionUniqueName="[T_Cama]" displayFolder="" count="0" memberValueDatatype="130" unbalanced="0"/>
    <cacheHierarchy uniqueName="[T_Cargo].[Cargo]" caption="Cargo" attribute="1" defaultMemberUniqueName="[T_Cargo].[Cargo].[All]" allUniqueName="[T_Cargo].[Cargo].[All]" dimensionUniqueName="[T_Cargo]" displayFolder="" count="0" memberValueDatatype="130" unbalanced="0"/>
    <cacheHierarchy uniqueName="[T_Cargo].[Orden]" caption="Orden" attribute="1" defaultMemberUniqueName="[T_Cargo].[Orden].[All]" allUniqueName="[T_Cargo].[Orden].[All]" dimensionUniqueName="[T_Cargo]" displayFolder="" count="0" memberValueDatatype="20" unbalanced="0"/>
    <cacheHierarchy uniqueName="[T_Cuenta].[Cuenta]" caption="Cuenta" attribute="1" defaultMemberUniqueName="[T_Cuenta].[Cuenta].[All]" allUniqueName="[T_Cuenta].[Cuenta].[All]" dimensionUniqueName="[T_Cuenta]" displayFolder="" count="0" memberValueDatatype="20" unbalanced="0"/>
    <cacheHierarchy uniqueName="[T_Cuotas].[RUN]" caption="RUN" attribute="1" defaultMemberUniqueName="[T_Cuotas].[RUN].[All]" allUniqueName="[T_Cuotas].[RUN].[All]" dimensionUniqueName="[T_Cuotas]" displayFolder="" count="0" memberValueDatatype="130" unbalanced="0"/>
    <cacheHierarchy uniqueName="[T_Cuotas].[Nombre]" caption="Nombre" attribute="1" defaultMemberUniqueName="[T_Cuotas].[Nombre].[All]" allUniqueName="[T_Cuotas].[Nombre].[All]" dimensionUniqueName="[T_Cuotas]" displayFolder="" count="0" memberValueDatatype="130" unbalanced="0"/>
    <cacheHierarchy uniqueName="[T_Cuotas].[Cuota_1]" caption="Cuota_1" attribute="1" defaultMemberUniqueName="[T_Cuotas].[Cuota_1].[All]" allUniqueName="[T_Cuotas].[Cuota_1].[All]" dimensionUniqueName="[T_Cuotas]" displayFolder="" count="0" memberValueDatatype="20" unbalanced="0"/>
    <cacheHierarchy uniqueName="[T_Cuotas].[Cuota_2]" caption="Cuota_2" attribute="1" defaultMemberUniqueName="[T_Cuotas].[Cuota_2].[All]" allUniqueName="[T_Cuotas].[Cuota_2].[All]" dimensionUniqueName="[T_Cuotas]" displayFolder="" count="0" memberValueDatatype="20" unbalanced="0"/>
    <cacheHierarchy uniqueName="[T_Cuotas].[Cuota_3]" caption="Cuota_3" attribute="1" defaultMemberUniqueName="[T_Cuotas].[Cuota_3].[All]" allUniqueName="[T_Cuotas].[Cuota_3].[All]" dimensionUniqueName="[T_Cuotas]" displayFolder="" count="0" memberValueDatatype="20" unbalanced="0"/>
    <cacheHierarchy uniqueName="[T_Cuotas].[Total]" caption="Total" attribute="1" defaultMemberUniqueName="[T_Cuotas].[Total].[All]" allUniqueName="[T_Cuotas].[Total].[All]" dimensionUniqueName="[T_Cuotas]" displayFolder="" count="0" memberValueDatatype="20" unbalanced="0"/>
    <cacheHierarchy uniqueName="[T_Cuotas].[Cuenta]" caption="Cuenta" attribute="1" defaultMemberUniqueName="[T_Cuotas].[Cuenta].[All]" allUniqueName="[T_Cuotas].[Cuenta].[All]" dimensionUniqueName="[T_Cuotas]" displayFolder="" count="0" memberValueDatatype="20" unbalanced="0"/>
    <cacheHierarchy uniqueName="[T_Cuotas].[Correo]" caption="Correo" attribute="1" defaultMemberUniqueName="[T_Cuotas].[Correo].[All]" allUniqueName="[T_Cuotas].[Correo].[All]" dimensionUniqueName="[T_Cuotas]" displayFolder="" count="0" memberValueDatatype="130" unbalanced="0"/>
    <cacheHierarchy uniqueName="[T_Cuotas].[Observación]" caption="Observación" attribute="1" defaultMemberUniqueName="[T_Cuotas].[Observación].[All]" allUniqueName="[T_Cuotas].[Observación].[All]" dimensionUniqueName="[T_Cuotas]" displayFolder="" count="0" memberValueDatatype="130" unbalanced="0"/>
    <cacheHierarchy uniqueName="[T_Cuotas].[Teléfono]" caption="Teléfono" attribute="1" defaultMemberUniqueName="[T_Cuotas].[Teléfono].[All]" allUniqueName="[T_Cuotas].[Teléfono].[All]" dimensionUniqueName="[T_Cuotas]" displayFolder="" count="0" memberValueDatatype="130" unbalanced="0"/>
    <cacheHierarchy uniqueName="[T_Cuotas].[Grupo]" caption="Grupo" attribute="1" defaultMemberUniqueName="[T_Cuotas].[Grupo].[All]" allUniqueName="[T_Cuotas].[Grupo].[All]" dimensionUniqueName="[T_Cuotas]" displayFolder="" count="0" memberValueDatatype="130" unbalanced="0"/>
    <cacheHierarchy uniqueName="[T_Cuotas].[Estado]" caption="Estado" attribute="1" defaultMemberUniqueName="[T_Cuotas].[Estado].[All]" allUniqueName="[T_Cuotas].[Estado].[All]" dimensionUniqueName="[T_Cuotas]" displayFolder="" count="0" memberValueDatatype="130" unbalanced="0"/>
    <cacheHierarchy uniqueName="[T_Cuotas].[Alimentacion]" caption="Alimentacion" attribute="1" defaultMemberUniqueName="[T_Cuotas].[Alimentacion].[All]" allUniqueName="[T_Cuotas].[Alimentacion].[All]" dimensionUniqueName="[T_Cuotas]" displayFolder="" count="0" memberValueDatatype="130" unbalanced="0"/>
    <cacheHierarchy uniqueName="[T_Estado].[Estado]" caption="Estado" attribute="1" defaultMemberUniqueName="[T_Estado].[Estado].[All]" allUniqueName="[T_Estado].[Estado].[All]" dimensionUniqueName="[T_Estado]" displayFolder="" count="0" memberValueDatatype="130" unbalanced="0"/>
    <cacheHierarchy uniqueName="[T_Rol].[Rol]" caption="Rol" attribute="1" defaultMemberUniqueName="[T_Rol].[Rol].[All]" allUniqueName="[T_Rol].[Rol].[All]" dimensionUniqueName="[T_Rol]" displayFolder="" count="0" memberValueDatatype="130" unbalanced="0"/>
    <cacheHierarchy uniqueName="[T_TipoDocto].[Tipo_Docto]" caption="Tipo_Docto" attribute="1" defaultMemberUniqueName="[T_TipoDocto].[Tipo_Docto].[All]" allUniqueName="[T_TipoDocto].[Tipo_Docto].[All]" dimensionUniqueName="[T_TipoDocto]" displayFolder="" count="0" memberValueDatatype="130" unbalanced="0"/>
    <cacheHierarchy uniqueName="[T_TipoRendicion].[Tipo_Rendicion]" caption="Tipo_Rendicion" attribute="1" defaultMemberUniqueName="[T_TipoRendicion].[Tipo_Rendicion].[All]" allUniqueName="[T_TipoRendicion].[Tipo_Rendicion].[All]" dimensionUniqueName="[T_TipoRendicion]" displayFolder="" count="0" memberValueDatatype="130" unbalanced="0"/>
    <cacheHierarchy uniqueName="[T_Transporte].[Transporte]" caption="Transporte" attribute="1" defaultMemberUniqueName="[T_Transporte].[Transporte].[All]" allUniqueName="[T_Transporte].[Transporte].[All]" dimensionUniqueName="[T_Transporte]" displayFolder="" count="0" memberValueDatatype="130" unbalanced="0"/>
    <cacheHierarchy uniqueName="[T_Voluntarios].[RUN]" caption="RUN" attribute="1" defaultMemberUniqueName="[T_Voluntarios].[RUN].[All]" allUniqueName="[T_Voluntarios].[RUN].[All]" dimensionUniqueName="[T_Voluntarios]" displayFolder="" count="2" memberValueDatatype="130" unbalanced="0">
      <fieldsUsage count="2">
        <fieldUsage x="-1"/>
        <fieldUsage x="4"/>
      </fieldsUsage>
    </cacheHierarchy>
    <cacheHierarchy uniqueName="[T_Voluntarios].[E_MAIL]" caption="E_MAIL" attribute="1" defaultMemberUniqueName="[T_Voluntarios].[E_MAIL].[All]" allUniqueName="[T_Voluntarios].[E_MAIL].[All]" dimensionUniqueName="[T_Voluntarios]" displayFolder="" count="2" memberValueDatatype="130" unbalanced="0">
      <fieldsUsage count="2">
        <fieldUsage x="-1"/>
        <fieldUsage x="5"/>
      </fieldsUsage>
    </cacheHierarchy>
    <cacheHierarchy uniqueName="[T_Voluntarios].[NOMBRE]" caption="NOMBRE" attribute="1" defaultMemberUniqueName="[T_Voluntarios].[NOMBRE].[All]" allUniqueName="[T_Voluntarios].[NOMBRE].[All]" dimensionUniqueName="[T_Voluntarios]" displayFolder="" count="2" memberValueDatatype="130" unbalanced="0">
      <fieldsUsage count="2">
        <fieldUsage x="-1"/>
        <fieldUsage x="2"/>
      </fieldsUsage>
    </cacheHierarchy>
    <cacheHierarchy uniqueName="[T_Voluntarios].[FEC_NAC]" caption="FEC_NAC" attribute="1" time="1" defaultMemberUniqueName="[T_Voluntarios].[FEC_NAC].[All]" allUniqueName="[T_Voluntarios].[FEC_NAC].[All]" dimensionUniqueName="[T_Voluntarios]" displayFolder="" count="0" memberValueDatatype="7" unbalanced="0"/>
    <cacheHierarchy uniqueName="[T_Voluntarios].[DIRECCION]" caption="DIRECCION" attribute="1" defaultMemberUniqueName="[T_Voluntarios].[DIRECCION].[All]" allUniqueName="[T_Voluntarios].[DIRECCION].[All]" dimensionUniqueName="[T_Voluntarios]" displayFolder="" count="0" memberValueDatatype="130" unbalanced="0"/>
    <cacheHierarchy uniqueName="[T_Voluntarios].[COMUNA]" caption="COMUNA" attribute="1" defaultMemberUniqueName="[T_Voluntarios].[COMUNA].[All]" allUniqueName="[T_Voluntarios].[COMUNA].[All]" dimensionUniqueName="[T_Voluntarios]" displayFolder="" count="0" memberValueDatatype="130" unbalanced="0"/>
    <cacheHierarchy uniqueName="[T_Voluntarios].[TIPO_FONO]" caption="TIPO_FONO" attribute="1" defaultMemberUniqueName="[T_Voluntarios].[TIPO_FONO].[All]" allUniqueName="[T_Voluntarios].[TIPO_FONO].[All]" dimensionUniqueName="[T_Voluntarios]" displayFolder="" count="0" memberValueDatatype="130" unbalanced="0"/>
    <cacheHierarchy uniqueName="[T_Voluntarios].[FONO]" caption="FONO" attribute="1" defaultMemberUniqueName="[T_Voluntarios].[FONO].[All]" allUniqueName="[T_Voluntarios].[FONO].[All]" dimensionUniqueName="[T_Voluntarios]" displayFolder="" count="2" memberValueDatatype="130" unbalanced="0">
      <fieldsUsage count="2">
        <fieldUsage x="-1"/>
        <fieldUsage x="6"/>
      </fieldsUsage>
    </cacheHierarchy>
    <cacheHierarchy uniqueName="[T_Voluntarios].[ROL]" caption="ROL" attribute="1" defaultMemberUniqueName="[T_Voluntarios].[ROL].[All]" allUniqueName="[T_Voluntarios].[ROL].[All]" dimensionUniqueName="[T_Voluntarios]" displayFolder="" count="2" memberValueDatatype="130" unbalanced="0">
      <fieldsUsage count="2">
        <fieldUsage x="-1"/>
        <fieldUsage x="10"/>
      </fieldsUsage>
    </cacheHierarchy>
    <cacheHierarchy uniqueName="[T_Voluntarios].[GRUPO]" caption="GRUPO" attribute="1" defaultMemberUniqueName="[T_Voluntarios].[GRUPO].[All]" allUniqueName="[T_Voluntarios].[GRUPO].[All]" dimensionUniqueName="[T_Voluntarios]" displayFolder="" count="2" memberValueDatatype="130" unbalanced="0">
      <fieldsUsage count="2">
        <fieldUsage x="-1"/>
        <fieldUsage x="1"/>
      </fieldsUsage>
    </cacheHierarchy>
    <cacheHierarchy uniqueName="[T_Voluntarios].[RAMA_CURSO]" caption="RAMA_CURSO" attribute="1" defaultMemberUniqueName="[T_Voluntarios].[RAMA_CURSO].[All]" allUniqueName="[T_Voluntarios].[RAMA_CURSO].[All]" dimensionUniqueName="[T_Voluntarios]" displayFolder="" count="2" memberValueDatatype="130" unbalanced="0">
      <fieldsUsage count="2">
        <fieldUsage x="-1"/>
        <fieldUsage x="3"/>
      </fieldsUsage>
    </cacheHierarchy>
    <cacheHierarchy uniqueName="[T_Voluntarios].[DISTRITO]" caption="DISTRITO" attribute="1" defaultMemberUniqueName="[T_Voluntarios].[DISTRITO].[All]" allUniqueName="[T_Voluntarios].[DISTRITO].[All]" dimensionUniqueName="[T_Voluntarios]" displayFolder="" count="2" memberValueDatatype="130" unbalanced="0">
      <fieldsUsage count="2">
        <fieldUsage x="-1"/>
        <fieldUsage x="0"/>
      </fieldsUsage>
    </cacheHierarchy>
    <cacheHierarchy uniqueName="[T_Voluntarios].[ALIMENTACION]" caption="ALIMENTACION" attribute="1" defaultMemberUniqueName="[T_Voluntarios].[ALIMENTACION].[All]" allUniqueName="[T_Voluntarios].[ALIMENTACION].[All]" dimensionUniqueName="[T_Voluntarios]" displayFolder="" count="0" memberValueDatatype="130" unbalanced="0"/>
    <cacheHierarchy uniqueName="[T_Voluntarios].[ALERGIA_ENFERMEDAD]" caption="ALERGIA_ENFERMEDAD" attribute="1" defaultMemberUniqueName="[T_Voluntarios].[ALERGIA_ENFERMEDAD].[All]" allUniqueName="[T_Voluntarios].[ALERGIA_ENFERMEDAD].[All]" dimensionUniqueName="[T_Voluntarios]" displayFolder="" count="0" memberValueDatatype="130" unbalanced="0"/>
    <cacheHierarchy uniqueName="[T_Voluntarios].[LIMITACION]" caption="LIMITACION" attribute="1" defaultMemberUniqueName="[T_Voluntarios].[LIMITACION].[All]" allUniqueName="[T_Voluntarios].[LIMITACION].[All]" dimensionUniqueName="[T_Voluntarios]" displayFolder="" count="0" memberValueDatatype="130" unbalanced="0"/>
    <cacheHierarchy uniqueName="[T_Voluntarios].[EMERGENCIA]" caption="EMERGENCIA" attribute="1" defaultMemberUniqueName="[T_Voluntarios].[EMERGENCIA].[All]" allUniqueName="[T_Voluntarios].[EMERGENCIA].[All]" dimensionUniqueName="[T_Voluntarios]" displayFolder="" count="0" memberValueDatatype="130" unbalanced="0"/>
    <cacheHierarchy uniqueName="[T_Voluntarios].[EXTRA]" caption="EXTRA" attribute="1" defaultMemberUniqueName="[T_Voluntarios].[EXTRA].[All]" allUniqueName="[T_Voluntarios].[EXTRA].[All]" dimensionUniqueName="[T_Voluntarios]" displayFolder="" count="0" memberValueDatatype="130" unbalanced="0"/>
    <cacheHierarchy uniqueName="[T_Voluntarios].[FICHA_MEDICA]" caption="FICHA_MEDICA" attribute="1" defaultMemberUniqueName="[T_Voluntarios].[FICHA_MEDICA].[All]" allUniqueName="[T_Voluntarios].[FICHA_MEDICA].[All]" dimensionUniqueName="[T_Voluntarios]" displayFolder="" count="0" memberValueDatatype="130" unbalanced="0"/>
    <cacheHierarchy uniqueName="[T_Voluntarios].[NIVEL]" caption="NIVEL" attribute="1" defaultMemberUniqueName="[T_Voluntarios].[NIVEL].[All]" allUniqueName="[T_Voluntarios].[NIVEL].[All]" dimensionUniqueName="[T_Voluntarios]" displayFolder="" count="0" memberValueDatatype="130" unbalanced="0"/>
    <cacheHierarchy uniqueName="[T_Voluntarios].[NUMERO_MMAA]" caption="NUMERO_MMAA" attribute="1" defaultMemberUniqueName="[T_Voluntarios].[NUMERO_MMAA].[All]" allUniqueName="[T_Voluntarios].[NUMERO_MMAA].[All]" dimensionUniqueName="[T_Voluntarios]" displayFolder="" count="0" memberValueDatatype="130" unbalanced="0"/>
    <cacheHierarchy uniqueName="[T_Voluntarios].[RAMA_NIVEL_MEDIO]" caption="RAMA_NIVEL_MEDIO" attribute="1" defaultMemberUniqueName="[T_Voluntarios].[RAMA_NIVEL_MEDIO].[All]" allUniqueName="[T_Voluntarios].[RAMA_NIVEL_MEDIO].[All]" dimensionUniqueName="[T_Voluntarios]" displayFolder="" count="0" memberValueDatatype="130" unbalanced="0"/>
    <cacheHierarchy uniqueName="[T_Voluntarios].[RAMA_NIVEL_AVANZADO]" caption="RAMA_NIVEL_AVANZADO" attribute="1" defaultMemberUniqueName="[T_Voluntarios].[RAMA_NIVEL_AVANZADO].[All]" allUniqueName="[T_Voluntarios].[RAMA_NIVEL_AVANZADO].[All]" dimensionUniqueName="[T_Voluntarios]" displayFolder="" count="0" memberValueDatatype="130" unbalanced="0"/>
    <cacheHierarchy uniqueName="[T_Voluntarios].[FORMADOR]" caption="FORMADOR" attribute="1" defaultMemberUniqueName="[T_Voluntarios].[FORMADOR].[All]" allUniqueName="[T_Voluntarios].[FORMADOR].[All]" dimensionUniqueName="[T_Voluntarios]" displayFolder="" count="0" memberValueDatatype="130" unbalanced="0"/>
    <cacheHierarchy uniqueName="[T_Voluntarios].[HABIL_I]" caption="HABIL_I" attribute="1" defaultMemberUniqueName="[T_Voluntarios].[HABIL_I].[All]" allUniqueName="[T_Voluntarios].[HABIL_I].[All]" dimensionUniqueName="[T_Voluntarios]" displayFolder="" count="0" memberValueDatatype="130" unbalanced="0"/>
    <cacheHierarchy uniqueName="[T_Voluntarios].[HABIL_II]" caption="HABIL_II" attribute="1" defaultMemberUniqueName="[T_Voluntarios].[HABIL_II].[All]" allUniqueName="[T_Voluntarios].[HABIL_II].[All]" dimensionUniqueName="[T_Voluntarios]" displayFolder="" count="0" memberValueDatatype="130" unbalanced="0"/>
    <cacheHierarchy uniqueName="[T_Voluntarios].[VERIFICADOR]" caption="VERIFICADOR" attribute="1" defaultMemberUniqueName="[T_Voluntarios].[VERIFICADOR].[All]" allUniqueName="[T_Voluntarios].[VERIFICADOR].[All]" dimensionUniqueName="[T_Voluntarios]" displayFolder="" count="0" memberValueDatatype="130" unbalanced="0"/>
    <cacheHierarchy uniqueName="[T_Voluntarios].[INSTITUCIONAL]" caption="INSTITUCIONAL" attribute="1" defaultMemberUniqueName="[T_Voluntarios].[INSTITUCIONAL].[All]" allUniqueName="[T_Voluntarios].[INSTITUCIONAL].[All]" dimensionUniqueName="[T_Voluntarios]" displayFolder="" count="0" memberValueDatatype="130" unbalanced="0"/>
    <cacheHierarchy uniqueName="[T_Voluntarios].[CUENTA]" caption="CUENTA" attribute="1" defaultMemberUniqueName="[T_Voluntarios].[CUENTA].[All]" allUniqueName="[T_Voluntarios].[CUENTA].[All]" dimensionUniqueName="[T_Voluntarios]" displayFolder="" count="0" memberValueDatatype="20" unbalanced="0"/>
    <cacheHierarchy uniqueName="[T_Voluntarios].[AVISADO]" caption="AVISADO" attribute="1" defaultMemberUniqueName="[T_Voluntarios].[AVISADO].[All]" allUniqueName="[T_Voluntarios].[AVISADO].[All]" dimensionUniqueName="[T_Voluntarios]" displayFolder="" count="2" memberValueDatatype="130" unbalanced="0">
      <fieldsUsage count="2">
        <fieldUsage x="-1"/>
        <fieldUsage x="13"/>
      </fieldsUsage>
    </cacheHierarchy>
    <cacheHierarchy uniqueName="[T_Voluntarios].[ESTADO]" caption="ESTADO" attribute="1" defaultMemberUniqueName="[T_Voluntarios].[ESTADO].[All]" allUniqueName="[T_Voluntarios].[ESTADO].[All]" dimensionUniqueName="[T_Voluntarios]" displayFolder="" count="2" memberValueDatatype="130" unbalanced="0">
      <fieldsUsage count="2">
        <fieldUsage x="-1"/>
        <fieldUsage x="11"/>
      </fieldsUsage>
    </cacheHierarchy>
    <cacheHierarchy uniqueName="[T_Voluntarios].[TRANSPORTE]" caption="TRANSPORTE" attribute="1" defaultMemberUniqueName="[T_Voluntarios].[TRANSPORTE].[All]" allUniqueName="[T_Voluntarios].[TRANSPORTE].[All]" dimensionUniqueName="[T_Voluntarios]" displayFolder="" count="0" memberValueDatatype="130" unbalanced="0"/>
    <cacheHierarchy uniqueName="[T_Voluntarios].[MARCA_VEHICULO]" caption="MARCA_VEHICULO" attribute="1" defaultMemberUniqueName="[T_Voluntarios].[MARCA_VEHICULO].[All]" allUniqueName="[T_Voluntarios].[MARCA_VEHICULO].[All]" dimensionUniqueName="[T_Voluntarios]" displayFolder="" count="0" memberValueDatatype="130" unbalanced="0"/>
    <cacheHierarchy uniqueName="[T_Voluntarios].[MODELO_VEHICULO]" caption="MODELO_VEHICULO" attribute="1" defaultMemberUniqueName="[T_Voluntarios].[MODELO_VEHICULO].[All]" allUniqueName="[T_Voluntarios].[MODELO_VEHICULO].[All]" dimensionUniqueName="[T_Voluntarios]" displayFolder="" count="0" memberValueDatatype="130" unbalanced="0"/>
    <cacheHierarchy uniqueName="[T_Voluntarios].[PATENTE_VEHICULO]" caption="PATENTE_VEHICULO" attribute="1" defaultMemberUniqueName="[T_Voluntarios].[PATENTE_VEHICULO].[All]" allUniqueName="[T_Voluntarios].[PATENTE_VEHICULO].[All]" dimensionUniqueName="[T_Voluntarios]" displayFolder="" count="0" memberValueDatatype="130" unbalanced="0"/>
    <cacheHierarchy uniqueName="[T_Voluntarios].[NECESITA_CAMA]" caption="NECESITA_CAMA" attribute="1" defaultMemberUniqueName="[T_Voluntarios].[NECESITA_CAMA].[All]" allUniqueName="[T_Voluntarios].[NECESITA_CAMA].[All]" dimensionUniqueName="[T_Voluntarios]" displayFolder="" count="0" memberValueDatatype="130" unbalanced="0"/>
    <cacheHierarchy uniqueName="[T_Voluntarios].[CONFIRMA_CAMA]" caption="CONFIRMA_CAMA" attribute="1" defaultMemberUniqueName="[T_Voluntarios].[CONFIRMA_CAMA].[All]" allUniqueName="[T_Voluntarios].[CONFIRMA_CAMA].[All]" dimensionUniqueName="[T_Voluntarios]" displayFolder="" count="0" memberValueDatatype="130" unbalanced="0"/>
    <cacheHierarchy uniqueName="[T_Voluntarios].[PAGA_CUOTA]" caption="PAGA_CUOTA" attribute="1" defaultMemberUniqueName="[T_Voluntarios].[PAGA_CUOTA].[All]" allUniqueName="[T_Voluntarios].[PAGA_CUOTA].[All]" dimensionUniqueName="[T_Voluntarios]" displayFolder="" count="0" memberValueDatatype="20" unbalanced="0"/>
    <cacheHierarchy uniqueName="[T_Voluntarios].[REGISTRO]" caption="REGISTRO" attribute="1" defaultMemberUniqueName="[T_Voluntarios].[REGISTRO].[All]" allUniqueName="[T_Voluntarios].[REGISTRO].[All]" dimensionUniqueName="[T_Voluntarios]" displayFolder="" count="0" memberValueDatatype="130" unbalanced="0"/>
    <cacheHierarchy uniqueName="[T_Voluntarios].[ACREDITADO]" caption="ACREDITADO" attribute="1" defaultMemberUniqueName="[T_Voluntarios].[ACREDITADO].[All]" allUniqueName="[T_Voluntarios].[ACREDITADO].[All]" dimensionUniqueName="[T_Voluntarios]" displayFolder="" count="0" memberValueDatatype="130" unbalanced="0"/>
    <cacheHierarchy uniqueName="[T_Voluntarios].[OBSERVACION]" caption="OBSERVACION" attribute="1" defaultMemberUniqueName="[T_Voluntarios].[OBSERVACION].[All]" allUniqueName="[T_Voluntarios].[OBSERVACION].[All]" dimensionUniqueName="[T_Voluntarios]" displayFolder="" count="0" memberValueDatatype="130" unbalanced="0"/>
    <cacheHierarchy uniqueName="[T_Voluntarios].[CARGO_VIGENTE]" caption="CARGO_VIGENTE" attribute="1" defaultMemberUniqueName="[T_Voluntarios].[CARGO_VIGENTE].[All]" allUniqueName="[T_Voluntarios].[CARGO_VIGENTE].[All]" dimensionUniqueName="[T_Voluntarios]" displayFolder="" count="0" memberValueDatatype="130" unbalanced="0"/>
    <cacheHierarchy uniqueName="[T_Voluntarios].[DOMINIO]" caption="DOMINIO" attribute="1" defaultMemberUniqueName="[T_Voluntarios].[DOMINIO].[All]" allUniqueName="[T_Voluntarios].[DOMINIO].[All]" dimensionUniqueName="[T_Voluntarios]" displayFolder="" count="0" memberValueDatatype="130" unbalanced="0"/>
    <cacheHierarchy uniqueName="[T_Voluntarios].[EDAD]" caption="EDAD" attribute="1" defaultMemberUniqueName="[T_Voluntarios].[EDAD].[All]" allUniqueName="[T_Voluntarios].[EDAD].[All]" dimensionUniqueName="[T_Voluntarios]" displayFolder="" count="0" memberValueDatatype="130" unbalanced="0"/>
    <cacheHierarchy uniqueName="[T_Voluntarios].[PROFESION]" caption="PROFESION" attribute="1" defaultMemberUniqueName="[T_Voluntarios].[PROFESION].[All]" allUniqueName="[T_Voluntarios].[PROFESION].[All]" dimensionUniqueName="[T_Voluntarios]" displayFolder="" count="0" memberValueDatatype="130" unbalanced="0"/>
    <cacheHierarchy uniqueName="[T_Voluntarios].[TIEMPO_NNAJ]" caption="TIEMPO_NNAJ" attribute="1" defaultMemberUniqueName="[T_Voluntarios].[TIEMPO_NNAJ].[All]" allUniqueName="[T_Voluntarios].[TIEMPO_NNAJ].[All]" dimensionUniqueName="[T_Voluntarios]" displayFolder="" count="0" memberValueDatatype="130" unbalanced="0"/>
    <cacheHierarchy uniqueName="[T_Voluntarios].[TIEMPO_ADULTO]" caption="TIEMPO_ADULTO" attribute="1" defaultMemberUniqueName="[T_Voluntarios].[TIEMPO_ADULTO].[All]" allUniqueName="[T_Voluntarios].[TIEMPO_ADULTO].[All]" dimensionUniqueName="[T_Voluntarios]" displayFolder="" count="0" memberValueDatatype="130" unbalanced="0"/>
    <cacheHierarchy uniqueName="[T_Voluntarios].[ESTADO_CIVIL]" caption="ESTADO_CIVIL" attribute="1" defaultMemberUniqueName="[T_Voluntarios].[ESTADO_CIVIL].[All]" allUniqueName="[T_Voluntarios].[ESTADO_CIVIL].[All]" dimensionUniqueName="[T_Voluntarios]" displayFolder="" count="0" memberValueDatatype="130" unbalanced="0"/>
    <cacheHierarchy uniqueName="[T_Voluntarios].[RELIGION]" caption="RELIGION" attribute="1" defaultMemberUniqueName="[T_Voluntarios].[RELIGION].[All]" allUniqueName="[T_Voluntarios].[RELIGION].[All]" dimensionUniqueName="[T_Voluntarios]" displayFolder="" count="0" memberValueDatatype="130" unbalanced="0"/>
    <cacheHierarchy uniqueName="[T_Voluntarios].[APODO]" caption="APODO" attribute="1" defaultMemberUniqueName="[T_Voluntarios].[APODO].[All]" allUniqueName="[T_Voluntarios].[APODO].[All]" dimensionUniqueName="[T_Voluntarios]" displayFolder="" count="0" memberValueDatatype="130" unbalanced="0"/>
    <cacheHierarchy uniqueName="[T_Voluntarios].[MANUAL]" caption="MANUAL" attribute="1" defaultMemberUniqueName="[T_Voluntarios].[MANUAL].[All]" allUniqueName="[T_Voluntarios].[MANUAL].[All]" dimensionUniqueName="[T_Voluntarios]" displayFolder="" count="0" memberValueDatatype="130" unbalanced="0"/>
    <cacheHierarchy uniqueName="[T_Voluntarios].[FECHA_HORA_INSCRITO]" caption="FECHA_HORA_INSCRITO" attribute="1" time="1" defaultMemberUniqueName="[T_Voluntarios].[FECHA_HORA_INSCRITO].[All]" allUniqueName="[T_Voluntarios].[FECHA_HORA_INSCRITO].[All]" dimensionUniqueName="[T_Voluntarios]" displayFolder="" count="0" memberValueDatatype="7" unbalanced="0"/>
    <cacheHierarchy uniqueName="[T_Voluntarios].[CURSO_INSTITUCIONAL]" caption="CURSO_INSTITUCIONAL" attribute="1" defaultMemberUniqueName="[T_Voluntarios].[CURSO_INSTITUCIONAL].[All]" allUniqueName="[T_Voluntarios].[CURSO_INSTITUCIONAL].[All]" dimensionUniqueName="[T_Voluntarios]" displayFolder="" count="0" memberValueDatatype="130" unbalanced="0"/>
    <cacheHierarchy uniqueName="[Measures].[Suma de Cuota_1]" caption="Suma de Cuota_1" measure="1" displayFolder="" measureGroup="T_Cuotas" count="0" oneField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64"/>
        </ext>
      </extLst>
    </cacheHierarchy>
    <cacheHierarchy uniqueName="[Measures].[Suma de Cuota_2]" caption="Suma de Cuota_2" measure="1" displayFolder="" measureGroup="T_Cuotas" count="0" oneField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a de Cuota_3]" caption="Suma de Cuota_3" measure="1" displayFolder="" measureGroup="T_Cuotas" count="0" oneField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uma de CUENTA]" caption="Suma de CUENTA" measure="1" displayFolder="" measureGroup="T_Voluntarios" count="0" oneField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07"/>
        </ext>
      </extLst>
    </cacheHierarchy>
    <cacheHierarchy uniqueName="[Measures].[Suma Cuotas]" caption="Suma Cuotas" measure="1" displayFolder="" measureGroup="T_Cuotas" count="0" oneField="1">
      <fieldsUsage count="1">
        <fieldUsage x="14"/>
      </fieldsUsage>
    </cacheHierarchy>
    <cacheHierarchy uniqueName="[Measures].[__XL_Count T_Voluntarios]" caption="__XL_Count T_Voluntarios" measure="1" displayFolder="" measureGroup="T_Voluntarios" count="0" hidden="1"/>
    <cacheHierarchy uniqueName="[Measures].[__XL_Count T_Cuotas]" caption="__XL_Count T_Cuotas" measure="1" displayFolder="" measureGroup="T_Cuotas" count="0" hidden="1"/>
    <cacheHierarchy uniqueName="[Measures].[__XL_Count BBDD_Formadores]" caption="__XL_Count BBDD_Formadores" measure="1" displayFolder="" measureGroup="BBDD_Formadores" count="0" hidden="1"/>
    <cacheHierarchy uniqueName="[Measures].[__XL_Count BBDD]" caption="__XL_Count BBDD" measure="1" displayFolder="" measureGroup="BBDD" count="0" hidden="1"/>
    <cacheHierarchy uniqueName="[Measures].[__XL_Count T_Avisado]" caption="__XL_Count T_Avisado" measure="1" displayFolder="" measureGroup="T_Avisado" count="0" hidden="1"/>
    <cacheHierarchy uniqueName="[Measures].[__XL_Count T_Rol]" caption="__XL_Count T_Rol" measure="1" displayFolder="" measureGroup="T_Rol" count="0" hidden="1"/>
    <cacheHierarchy uniqueName="[Measures].[__XL_Count T_TipoRendicion]" caption="__XL_Count T_TipoRendicion" measure="1" displayFolder="" measureGroup="T_TipoRendicion" count="0" hidden="1"/>
    <cacheHierarchy uniqueName="[Measures].[__XL_Count T_TipoDocto]" caption="__XL_Count T_TipoDocto" measure="1" displayFolder="" measureGroup="T_TipoDocto" count="0" hidden="1"/>
    <cacheHierarchy uniqueName="[Measures].[__XL_Count T_Cargo]" caption="__XL_Count T_Cargo" measure="1" displayFolder="" measureGroup="T_Cargo" count="0" hidden="1"/>
    <cacheHierarchy uniqueName="[Measures].[__XL_Count T_Estado]" caption="__XL_Count T_Estado" measure="1" displayFolder="" measureGroup="T_Estado" count="0" hidden="1"/>
    <cacheHierarchy uniqueName="[Measures].[__XL_Count T_Cama]" caption="__XL_Count T_Cama" measure="1" displayFolder="" measureGroup="T_Cama" count="0" hidden="1"/>
    <cacheHierarchy uniqueName="[Measures].[__XL_Count T_Cuenta]" caption="__XL_Count T_Cuenta" measure="1" displayFolder="" measureGroup="T_Cuenta" count="0" hidden="1"/>
    <cacheHierarchy uniqueName="[Measures].[__XL_Count T_Asignado]" caption="__XL_Count T_Asignado" measure="1" displayFolder="" measureGroup="T_Asignado" count="0" hidden="1"/>
    <cacheHierarchy uniqueName="[Measures].[__XL_Count T_Transporte]" caption="__XL_Count T_Transporte" measure="1" displayFolder="" measureGroup="T_Transporte" count="0" hidden="1"/>
    <cacheHierarchy uniqueName="[Measures].[__No measures defined]" caption="__No measures defined" measure="1" displayFolder="" count="0" hidden="1"/>
  </cacheHierarchies>
  <kpis count="0"/>
  <dimensions count="15">
    <dimension name="BBDD" uniqueName="[BBDD]" caption="BBDD"/>
    <dimension name="BBDD_Formadores" uniqueName="[BBDD_Formadores]" caption="BBDD_Formadores"/>
    <dimension measure="1" name="Measures" uniqueName="[Measures]" caption="Measures"/>
    <dimension name="T_Asignado" uniqueName="[T_Asignado]" caption="T_Asignado"/>
    <dimension name="T_Avisado" uniqueName="[T_Avisado]" caption="T_Avisado"/>
    <dimension name="T_Cama" uniqueName="[T_Cama]" caption="T_Cama"/>
    <dimension name="T_Cargo" uniqueName="[T_Cargo]" caption="T_Cargo"/>
    <dimension name="T_Cuenta" uniqueName="[T_Cuenta]" caption="T_Cuenta"/>
    <dimension name="T_Cuotas" uniqueName="[T_Cuotas]" caption="T_Cuotas"/>
    <dimension name="T_Estado" uniqueName="[T_Estado]" caption="T_Estado"/>
    <dimension name="T_Rol" uniqueName="[T_Rol]" caption="T_Rol"/>
    <dimension name="T_TipoDocto" uniqueName="[T_TipoDocto]" caption="T_TipoDocto"/>
    <dimension name="T_TipoRendicion" uniqueName="[T_TipoRendicion]" caption="T_TipoRendicion"/>
    <dimension name="T_Transporte" uniqueName="[T_Transporte]" caption="T_Transporte"/>
    <dimension name="T_Voluntarios" uniqueName="[T_Voluntarios]" caption="T_Voluntarios"/>
  </dimensions>
  <measureGroups count="14">
    <measureGroup name="BBDD" caption="BBDD"/>
    <measureGroup name="BBDD_Formadores" caption="BBDD_Formadores"/>
    <measureGroup name="T_Asignado" caption="T_Asignado"/>
    <measureGroup name="T_Avisado" caption="T_Avisado"/>
    <measureGroup name="T_Cama" caption="T_Cama"/>
    <measureGroup name="T_Cargo" caption="T_Cargo"/>
    <measureGroup name="T_Cuenta" caption="T_Cuenta"/>
    <measureGroup name="T_Cuotas" caption="T_Cuotas"/>
    <measureGroup name="T_Estado" caption="T_Estado"/>
    <measureGroup name="T_Rol" caption="T_Rol"/>
    <measureGroup name="T_TipoDocto" caption="T_TipoDocto"/>
    <measureGroup name="T_TipoRendicion" caption="T_TipoRendicion"/>
    <measureGroup name="T_Transporte" caption="T_Transporte"/>
    <measureGroup name="T_Voluntarios" caption="T_Voluntarios"/>
  </measureGroups>
  <maps count="15">
    <map measureGroup="0" dimension="0"/>
    <map measureGroup="1" dimension="1"/>
    <map measureGroup="2" dimension="3"/>
    <map measureGroup="3" dimension="4"/>
    <map measureGroup="4" dimension="5"/>
    <map measureGroup="5" dimension="6"/>
    <map measureGroup="6" dimension="7"/>
    <map measureGroup="7" dimension="8"/>
    <map measureGroup="7" dimension="14"/>
    <map measureGroup="8" dimension="9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Pesce" refreshedDate="45842.549967939813" createdVersion="8" refreshedVersion="8" minRefreshableVersion="3" recordCount="20" xr:uid="{71EFE28B-8C22-4723-B41F-4EA56B6A13D2}">
  <cacheSource type="worksheet">
    <worksheetSource name="T_Menu"/>
  </cacheSource>
  <cacheFields count="8">
    <cacheField name="FECHA" numFmtId="14">
      <sharedItems containsNonDate="0" containsDate="1" containsString="0" containsBlank="1" minDate="2023-06-24T00:00:00" maxDate="2023-06-27T00:00:00"/>
    </cacheField>
    <cacheField name="DIA" numFmtId="0">
      <sharedItems count="4">
        <s v="01_02_03"/>
        <s v="01_Viernes"/>
        <s v="02_Sábado"/>
        <s v="03_Domingo"/>
      </sharedItems>
    </cacheField>
    <cacheField name="TIEMPO" numFmtId="0">
      <sharedItems/>
    </cacheField>
    <cacheField name="TIPO" numFmtId="0">
      <sharedItems count="6">
        <s v="Sin Almuerzo"/>
        <s v="(Todo)"/>
        <s v="Alimentación Tradicional"/>
        <s v="Alimentación Vegetariana"/>
        <s v="Alimentación Vegana"/>
        <s v="Alimentación para Celiac@s"/>
      </sharedItems>
    </cacheField>
    <cacheField name="DESCRIPCION" numFmtId="0">
      <sharedItems containsBlank="1" count="8">
        <m/>
        <s v="Pollo Asado (Trutro Entero) con Arroz"/>
        <s v="Chapsuy de Verduras con Carne de Soya"/>
        <s v="Lentejas con Chorizo"/>
        <s v="Lentejas con Vienesa Vegana"/>
        <s v="Espirales con Salsa Bolognesa carne de Vacuno"/>
        <s v="Espirales con Salsa Bolognesa carne de Soya"/>
        <s v="Tallarin sin gluten con Salsa Bolognesa carne de Vacuno"/>
      </sharedItems>
    </cacheField>
    <cacheField name="CANTIDAD" numFmtId="0">
      <sharedItems containsSemiMixedTypes="0" containsString="0" containsNumber="1" containsInteger="1" minValue="0" maxValue="128"/>
    </cacheField>
    <cacheField name="CANTIDAD_EXTRA" numFmtId="0">
      <sharedItems containsSemiMixedTypes="0" containsString="0" containsNumber="1" containsInteger="1" minValue="0" maxValue="28"/>
    </cacheField>
    <cacheField name="TOTAL_CANTIDAD" numFmtId="0">
      <sharedItems containsSemiMixedTypes="0" containsString="0" containsNumber="1" containsInteger="1" minValue="0" maxValue="1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Pesce" refreshedDate="45842.549968171297" createdVersion="8" refreshedVersion="8" minRefreshableVersion="3" recordCount="170" xr:uid="{AE79642D-C837-4D02-9280-DDD4D3ECEFE5}">
  <cacheSource type="worksheet">
    <worksheetSource name="T_Cuotas"/>
  </cacheSource>
  <cacheFields count="13">
    <cacheField name="RUN" numFmtId="0">
      <sharedItems/>
    </cacheField>
    <cacheField name="Nombre" numFmtId="0">
      <sharedItems count="197">
        <s v="Andrea Fernanda Vidal Morales"/>
        <s v="Pamela Elena Pino Leiva"/>
        <s v="Noemí Rosita González Marambio"/>
        <s v="Catalina Dannae Palma Bastías"/>
        <s v="Muriel Esther González Silva"/>
        <s v="Catalina Belén Díaz Aguilera"/>
        <s v="Alejandro Antonio Quezada Huenchunao"/>
        <s v="Gonzalo Peña Sandoval"/>
        <s v="Esteban Gustavo Ortiz Pezo"/>
        <s v="Benjamin Ignacio Herrera Acevedo"/>
        <s v="Nicolás Ignacio Villanueva Parodi"/>
        <s v="Ignacio Antonio González Carrasco"/>
        <s v="Carla Andrea Contreras Calderon"/>
        <s v="Natalie Magdalena Sepulveda Gomez"/>
        <s v="Renato Andres Santibañez Yevilao"/>
        <s v="José Ignacio Aravena Navarrete"/>
        <s v="Livio Alfredo Carrasco Duran"/>
        <s v="Ana Erilda Peña Orellana"/>
        <s v="Francisco Javier Latorre Zuñiga"/>
        <s v="Sebastián Alejandro Pérez Serrano"/>
        <s v="Elias Neira Torres"/>
        <s v="Ignacio Nicolás Techeira Sepúlveda"/>
        <s v="No Existe"/>
        <s v="Alvaro Mora Martinez"/>
        <s v="Lisbet Almendra Matamala Sandoval"/>
        <s v="Katherin Valeska Bañados Henriquez"/>
        <s v="Anita Bravo Cortez"/>
        <s v="Antonia Belén Romero Campos"/>
        <s v="Angela Andrea Feijoo Herrerra"/>
        <s v="Isidora María Fernanda Sandoval Gutiérrez"/>
        <s v="Javiera Jacqueline Jara Reyes"/>
        <s v="Alfredo Andrés Placencia Valenzuela"/>
        <s v="Texias Nicole Lagos Navarrete"/>
        <s v="Darío Alfonso Sheward Castillo"/>
        <s v="Emilia Belén Maturana Valverde"/>
        <s v="Sofía Isabel Martínez Clavería"/>
        <s v="Antonia Isabel Venegas Larrere"/>
        <s v="Carolina Francisca Silva Molina"/>
        <s v="Fernanda Javiera Pérez Figueroa"/>
        <s v="Angela Belén Martínez Clavería"/>
        <s v="Álvaro Andrés Toledo Seguel"/>
        <s v="Camila Francisca Guala Troncoso"/>
        <s v="Camila Andrea Rodriguez Vargas"/>
        <s v="Santiago Khalil Constenla Arias"/>
        <s v="Berlangue Carolaine Weisser Caniumil"/>
        <s v="Diego Henríquez Valenzuela"/>
        <s v="Katherine Jahel Acuña Farias"/>
        <s v="Catalina Torres Muñoz"/>
        <s v="Paulina Andrea Fuentealba Gutiérrez"/>
        <s v="Octavio Antonio Cortés Lara"/>
        <s v="Antonia Belén Rodriguez Garay"/>
        <s v="Fernanda Nicol Lagos González"/>
        <s v="Nicole Belén Leiva Villalobos"/>
        <s v="Mariaignacia Paulina Belmar Manríquez"/>
        <s v="Rocío Andrea Utreras Troncoso"/>
        <s v="Carla Andrea Contreras Novoa"/>
        <s v="Italo Gustavo Vergara Pacheco"/>
        <s v="Gabriela Solange Cabrera Cortez"/>
        <s v="Milovan Christopher Jesús San Martín Manríquez"/>
        <s v="Erik Jesus Antonio Mariqueo Rodriguez"/>
        <s v="Martin Nicolas Quintana Bravo"/>
        <s v="Rafaela Medel Bustamante"/>
        <s v="Nicolás Andrés Figueroa Orellana"/>
        <s v="Sebastián Alejandro Bravo García"/>
        <s v="Tomas Alberto Espinoza Muñoz"/>
        <s v="Valentina Scarleth Vargas Rios"/>
        <s v="Yertty Karina Sandoval Muñoz"/>
        <s v="Alfredo Osvaldo Soto Perez"/>
        <s v="Alain Sebastian Cereceda Venegas"/>
        <s v="Paula Constanza Antonia Sobrevía Valenzuela"/>
        <s v="Daniela Monserrat Burgos Guzmán"/>
        <s v="Thalía Scarlett Fernández Sierra"/>
        <s v="Karina Belen Antonella Martinez Navarro"/>
        <s v="Jocefina Laura Noemí Loyola Díaz"/>
        <s v="Waleska Elizabeth Prambs Levín"/>
        <s v="Stephany Alejandra Concha Zapata"/>
        <s v="Pablo Andres Marin Mansilla"/>
        <s v="Thiare Aylin Aguilera Zapata"/>
        <s v="Renata Valentina Alarcón Muñoz"/>
        <s v="Constanza Muriel Mora Robles"/>
        <s v="Sebastián Gilberto Hermosilla Miño"/>
        <s v="Treycer Nivor Castillo Rojas"/>
        <s v="Cristian Julian Ernesto Urra Parra"/>
        <s v="Luis Alfredo Burgos Contreras"/>
        <s v="Camila Parra Lillo"/>
        <s v="Antonia Alejandra Brante Peña"/>
        <s v="Bruno Bastian Herrera Sobarzo"/>
        <s v="Solange Andrea Ruiz Rivera"/>
        <s v="Francine Anaís Smith Martínez"/>
        <s v="Benjamin Alejandro Villa Solar"/>
        <s v="Romina Andrea Daza Espinoza"/>
        <s v="Alejandra Andrea Luna Gallardo"/>
        <s v="Camila Alejandra Roca Carvajal"/>
        <s v="Macarena Andrea Rodriguez Vidal"/>
        <s v="Scarlet Denisse Oyarzun Diaz"/>
        <s v="Monserrat Milena Barra Hernández"/>
        <s v="Erick Alexis Rivas Macaya"/>
        <s v="Carolina Andrea Vega Contreras"/>
        <s v="Andrés Nicolás González Michellod"/>
        <s v="Constanza Belén Donoso González"/>
        <s v="Viviana Alejandra Rodríguez Vidal"/>
        <s v="Patricio Javier Esparza Espinoza"/>
        <s v="Javiera Abril Bastías Muñoz"/>
        <s v="Claudia Andrea Silvestre Maldonado"/>
        <s v="Gabriel Alberto Faúndez Vera"/>
        <s v="Angela Alejandra Olave Zagal"/>
        <s v="Josefa Catalina Rebolledo González"/>
        <s v="Bárbara Nicole Rebolledo González"/>
        <s v="José Antonio Poza Pérez"/>
        <s v="Martina Aravena Rivas"/>
        <s v="Matías Santiago Mancilla Ríos"/>
        <s v="Manuel Alejandro Borquez Maluenda"/>
        <s v="Trinidad Ferrada González"/>
        <s v="Fernanda Isidora Salas Perez"/>
        <s v="Gloria Stephanie Olave Zagal"/>
        <s v="Lucas Alfredo Fernández Vega"/>
        <s v="Tamara Patricia Ponss Riffo"/>
        <s v="Nadia Sofía Varela Meza"/>
        <s v="Ignacio Andrés Olivares Hernández"/>
        <s v="Jari Lorena Leiva Mardones"/>
        <s v="Daniel Elias Troncoso Riquelme"/>
        <s v="Estephanie Ninette Salamanca Gutiérrez"/>
        <s v="Isidora Ignacia Jara Ceballos"/>
        <s v="Daniel Alonso Sandoval Villanueva"/>
        <s v="Jaime Antonio Sanhueza Orostica"/>
        <s v="Constanza Javiera Muñoz Bello"/>
        <s v="Ayannís Mara Venegas Vargas"/>
        <s v="Matías Alejandro Castro Essmann"/>
        <s v="Lorenzo Rodrigo Bizama Muñoz"/>
        <s v="Renata Belen Ramirez Merino"/>
        <s v="Bárbara Catalina Márquez Rivas"/>
        <s v="Katherine Ayllen Castro Leiva"/>
        <s v="Benjamín Andrés Roa Rojas"/>
        <s v="Vicente Matias Fuentes Torres"/>
        <s v="Javier Andres Dauros Hormazabal"/>
        <s v="Catalina Ignacia Pérez Ramos"/>
        <s v="Ignacio Andrés Lozano Urra"/>
        <s v="Liz Fernanda Bolomey Reske"/>
        <s v="Felipe Adrian Inostroza Loaiza"/>
        <s v="Matías Antonio Hunter Urrutia"/>
        <s v="Miguel Alfonso Gutierrez Davinson"/>
        <s v="Francisca Ivelice Alvear Aguilar"/>
        <s v="Ignacio Vicente Iñaki Ibarra Herrera"/>
        <s v="Fernanda Valeria Moraga Escobar"/>
        <s v="Daniel Octavio Tobar Henríquez"/>
        <s v="Francisca Antonia Aguilera Maldonado"/>
        <s v="Macarena Vanessa Lavanderos Alarcon"/>
        <s v="Francisca Nicole Reyes Gómez"/>
        <s v="Aylin Isadora Fierro Vera"/>
        <s v="Raul Andrés Benavides Videla"/>
        <s v="Valentina Andrea Arredondo Gutierrez"/>
        <s v="Bruno Isaac Medel Parra"/>
        <s v="Álvaro Antonio Peñailillo Castillo"/>
        <s v="Paula Andrea Castillo Torres"/>
        <s v="Constanza Elizabeth Beltran Fuentes"/>
        <s v="Jaime Alejandro Sepulveda Sepulveda"/>
        <s v="Pedro Ignacio González Irribarra"/>
        <s v="Cristóbal Celso Riffo Puentes"/>
        <s v="Catalina Belén Mardones Pinilla"/>
        <s v="Sebastián Ignacio Romero Coo"/>
        <s v="Claudia Fernanda Deride Alegría"/>
        <s v="Fabián Alejandro Sepúlveda Aguilera"/>
        <s v="Antonio Felipe Sagner Puschmann"/>
        <s v="Catalina Gatica Martínez"/>
        <s v="Vicente Ignacio Lara Gutiérrez"/>
        <s v="Lucila Del Carmen Aqueveque Jara"/>
        <s v="Ámbar Camila Sanhueza Sanhueza"/>
        <s v="Ignacio Andres Lopez Bustos"/>
        <s v="Gonsalo Fabriciano Junior Rivas Betancour"/>
        <s v="Marcela Molina Agurto"/>
        <s v="Jocefina Loyola" u="1"/>
        <s v="Sebastián Hormazábal Madrid" u="1"/>
        <s v="Aldo Felipe Arévalo Rodríguez" u="1"/>
        <s v="Cristóbal Tomás Chávez Montoya" u="1"/>
        <s v="Ivo Pietro Battaglia Salinas" u="1"/>
        <s v="Carlos Gerardo Hormazábal Saez" u="1"/>
        <s v="Alonso Javier Villablanca Figueroa" u="1"/>
        <s v="Oriana Alejandra Saez Muñoz" u="1"/>
        <s v="Liset Scarlet Alarcón Ortega" u="1"/>
        <s v="Ana Carolina Madrid  Canivilo" u="1"/>
        <s v="Romina Paz Arnechino Arriagada" u="1"/>
        <s v="Ismael Osvaldo Espinoza Soto" u="1"/>
        <s v="Braulio Alfredo Rojas Salas" u="1"/>
        <s v="Eric Edison Eduardo Muñoz Beltran" u="1"/>
        <s v="Daniela Alejandra Bascur Sanhueza" u="1"/>
        <s v="María José Sepúlveda Benedetti" u="1"/>
        <s v="Mónica Scarlett Aránguiz Venegas" u="1"/>
        <s v="Sebastián Esteban Rojas Canales" u="1"/>
        <s v="Alexis Hernán Auad Díaz" u="1"/>
        <s v="Silvia Karina Carrasco Avilés" u="1"/>
        <s v="Rodrigo Felipe Pedreros Reyes" u="1"/>
        <s v="Danitza Monserrat Valencia Pedreros" u="1"/>
        <s v="Javiera Constanza Sánchez Vega" u="1"/>
        <s v="Felipe Andrés Lehuey Cuevas" u="1"/>
        <s v="Barbara Jullieth Meza Benavides" u="1"/>
        <s v="Fernando Antonio Fuentes Riveros" u="1"/>
        <s v="Miguel Angel Villanueva Cuevas" u="1"/>
      </sharedItems>
    </cacheField>
    <cacheField name="Cuota_1" numFmtId="164">
      <sharedItems containsSemiMixedTypes="0" containsString="0" containsNumber="1" containsInteger="1" minValue="0" maxValue="20000"/>
    </cacheField>
    <cacheField name="Cuota_2" numFmtId="164">
      <sharedItems containsSemiMixedTypes="0" containsString="0" containsNumber="1" containsInteger="1" minValue="0" maxValue="16500"/>
    </cacheField>
    <cacheField name="Cuota_3" numFmtId="164">
      <sharedItems containsSemiMixedTypes="0" containsString="0" containsNumber="1" containsInteger="1" minValue="0" maxValue="15000"/>
    </cacheField>
    <cacheField name="Total" numFmtId="164">
      <sharedItems containsSemiMixedTypes="0" containsString="0" containsNumber="1" containsInteger="1" minValue="0" maxValue="50000"/>
    </cacheField>
    <cacheField name="Cuenta" numFmtId="0">
      <sharedItems containsSemiMixedTypes="0" containsString="0" containsNumber="1" containsInteger="1" minValue="1" maxValue="1"/>
    </cacheField>
    <cacheField name="Correo" numFmtId="164">
      <sharedItems count="197">
        <s v="andreavidalmo@gmail.com"/>
        <s v="pamelapinol21@gmail.com"/>
        <s v="noemigonzalez644@gmail.com"/>
        <s v="cpalmab00@gmail.com"/>
        <s v="mgonzalez.biologia@gmail.com"/>
        <s v="cdiazaguilera12@gmail.com"/>
        <s v="alejandroquezadacontacto@gmail.com"/>
        <s v="gonza.sandovalito@gmail.com"/>
        <s v="estebangop@gmail.com"/>
        <s v="chaminherrera2.3@gmail.com"/>
        <s v="niigvipa@gmail.com"/>
        <s v="nachogoncar02@gmail.com"/>
        <s v="carlacontreras424@gmail.com"/>
        <s v="natimsg@gmail.com"/>
        <s v="renatoandresantibanezy@gmail.com"/>
        <s v="josearavenavarrete@gmail.com"/>
        <s v="liviocarrasco@gmail.com"/>
        <s v="aneri15@gmail.com"/>
        <s v="latorrefrancisco@gmail.com"/>
        <s v="sebasper2003@gmail.com"/>
        <s v="elias.neirato@gmail.com"/>
        <s v="itecheira17@gmail.com"/>
        <s v="No Existe"/>
        <s v="mora62813@gmail.com"/>
        <s v="lisbetmatamala2001@gmail.com"/>
        <s v="khenriquezb@gmail.com"/>
        <s v="anitabravocortez7@gmail.com"/>
        <s v="antoromerocampos@gmail.com"/>
        <s v="feijooangela@gmail.com"/>
        <s v="isidorasandogut@gmail.com"/>
        <s v="javiera.jareyes@gmail.com"/>
        <s v="placenciavalenzuela@gmail.com"/>
        <s v="texiasl@gmail.com"/>
        <s v="dsheward05@gmail.com"/>
        <s v="maturana.emilia21@gmail.com"/>
        <s v="sofiaisabelmc@gmail.com"/>
        <s v="antomm002@gmail.com"/>
        <s v="c.silvamolina2@gmail.com"/>
        <s v="fbonfimm@gmail.com"/>
        <s v="angelabelenmc@gmail.com"/>
        <s v="alvarotoleseguel@gmail.com"/>
        <s v="camilafgt.cg@gmail.com"/>
        <s v="c.rodriguezvargas2@uandresbello.edu"/>
        <s v="santiagoconstenla2003@gmail.com"/>
        <s v="birlita2425@gmail.com"/>
        <s v="diego.henriquez.valenzuela@gmail.com"/>
        <s v="kathyaf2004@gmail.com"/>
        <s v="catalinatorresmunoz@gmail.com"/>
        <s v="paulina86.fuentealba@gmail.com"/>
        <s v="tio0kta721@gmail.com"/>
        <s v="antu06rodriguez@gmail.com"/>
        <s v="ferni.2102@gmail.com"/>
        <s v="nleivavillalobos@gmail.com"/>
        <s v="ignaciabelmar.m@gmail.com"/>
        <s v="utreras.rocio@gmail.com"/>
        <s v="carlandreacn@gmail.com"/>
        <s v="italovergara2003@gmail.com"/>
        <s v="gabriela.cabrera.cortez25@gmail.com"/>
        <s v="milovan283@gmail.com"/>
        <s v="erikjesusantonio@gmail.com"/>
        <s v="martinqnt05@gmail.com"/>
        <s v="rafafitamedel7@gmail.com"/>
        <s v="nicofigueroa2k04@gmail.com"/>
        <s v="sebabravo1810@gmail.com"/>
        <s v="tomasespinozamunz@gmail.com"/>
        <s v="valentinavrgs17@gmail.com"/>
        <s v="ysandovalm@gmail.com"/>
        <s v="alfredo.soto.perez@gmail.com"/>
        <s v="alainsebastian.c.v@gmail.com"/>
        <s v="psobreviav@gmail.com"/>
        <s v="daniburguz1630@gmail.com"/>
        <s v="mg.thalia.f@gmail.com"/>
        <s v="karina.martinez.navarro@gmail.com"/>
        <s v="jocefinaloyola@gmail.com"/>
        <s v="wprambs@gmail.com"/>
        <s v="stephany.concha@virginiogomez.cl"/>
        <s v="pablo.marin.05@gmail.com"/>
        <s v="thiareazapata@gmail.com"/>
        <s v="ralarconn3@gmail.com"/>
        <s v="constanza.mora.r16@gmail.com"/>
        <s v="hermosillasebastian8@gmail.com"/>
        <s v="treycer_c@hotmail.com"/>
        <s v="cristianurratrabajo@gmail.com"/>
        <s v="luisalfredoburgoscontreras@gmail.com"/>
        <s v="cami.parra.lillo@gmail.com"/>
        <s v="aabrantepe@gmail.com"/>
        <s v="brunobastian.herrera@gmail.com"/>
        <s v="rivera583@gmail.com"/>
        <s v="francine.smith.martinez@gmail.com"/>
        <s v="bvillasolar@gmail.com"/>
        <s v="rominaandrea.de@gmail.com"/>
        <s v="alejandraaluna@gmail.com"/>
        <s v="rocamila98@gmail.com"/>
        <s v="macarena.manutara@gmail.com"/>
        <s v="scarletoyarzundiaz@gmail.com"/>
        <s v="barramonserrat101@gmail.com"/>
        <s v="erickrivas.macaya@gmail.com"/>
        <s v="caritoandreabarcelona@gmail.com"/>
        <s v="ang.michellod@gmail.com"/>
        <s v="donoso.ce@gmail.com"/>
        <s v="vivirodriguez.vidal@gmail.com"/>
        <s v="patricio1642@hotmail.com"/>
        <s v="javiera.abril3@gmail.com"/>
        <s v="clauandreasilvestremaldonado@gmail.com"/>
        <s v="gabrirose25@gmail.com"/>
        <s v="aolavezagal@gmail.com"/>
        <s v="josefarebolledogonzalez@gmail.com"/>
        <s v="barbararebolledogonzalez@gmail.com"/>
        <s v="joseantonio17092003@gmail.com"/>
        <s v="martina.araa@gmail.com"/>
        <s v="mancilla.stgo@gmail.com"/>
        <s v="manuel.borquez29@gmail.com"/>
        <s v="trinity.pfg@gmail.com"/>
        <s v="fsalas067@gmail.com"/>
        <s v="glorita_021@hotmail.com"/>
        <s v="lucasfernandez1314@gmail.com"/>
        <s v="tamiponss@gmail.com"/>
        <s v="nadiavarela79@gmail.com"/>
        <s v="ignacio.olivaresh@gmail.com"/>
        <s v="jarileivam.24@gmail.com"/>
        <s v="datroncoso1@gmail.com"/>
        <s v="sgtefhi@gmail.com"/>
        <s v="isidorajara1910@gmail.com"/>
        <s v="danielyn10@gmail.com"/>
        <s v="jaimesanhueza249@gmail.com"/>
        <s v="coniimu@gmail.com"/>
        <s v="ayannisvenegas@gmail.com"/>
        <s v="matiasessmann@gmail.com"/>
        <s v="pilotobizama@gmail.com"/>
        <s v="renata.belen.ramirez@gmail.com"/>
        <s v="marquezbarbara2018@gmail.com"/>
        <s v="d11reamy@gmail.com"/>
        <s v="broarojas@gmail.com"/>
        <s v="vichofuentest@gmail.com"/>
        <s v="javier.dauros@gmail.com"/>
        <s v="chifuuuxc@gmail.com"/>
        <s v="tw.lozanopp@gmail.com"/>
        <s v="liz.fernanda.6811@gmail.com"/>
        <s v="felipeinostrozaloaiza@gmail.com"/>
        <s v="m.hunter.u05@gmail.com"/>
        <s v="mgdavinson@gmail.com"/>
        <s v="franciscaalveara@gmail.com"/>
        <s v="ibarraherrera28@gmail.com"/>
        <s v="fmoragaescobar@gmail.com"/>
        <s v="tobar3daniel@gmail.com"/>
        <s v="fran.aguima@gmail.com"/>
        <s v="coca32729@gmail.com"/>
        <s v="francisca.reyesgomez@gmail.com"/>
        <s v="aylinfierrovera@gmail.com"/>
        <s v="raulbv777@gmail.com"/>
        <s v="valentina.arre2@gmail.com"/>
        <s v="bruno.isaac.medel.parra@gmail.com"/>
        <s v="a.penailillo10@gmail.com"/>
        <s v="paulaacastillotorres@gmail.com"/>
        <s v="coni.beltranfe@gmail.com"/>
        <s v="jaimesep68@gmail.com"/>
        <s v="pedrogonzalezirribarra@gmail.com"/>
        <s v="crriffopuentes@gmail.com"/>
        <s v="pinilla.belen.m@gmail.com"/>
        <s v="sebarc2015@gmail.com"/>
        <s v="clauditaderide@gmail.com"/>
        <s v="fabiansep11@gmail.com"/>
        <s v="sagnerantonio1312@gmail.com"/>
        <s v="nicolgaticamartinez@gmail.com"/>
        <s v="vicentelara2@gmail.com"/>
        <s v="luciaqueveq@gmail.com"/>
        <s v="sanhueza.ambar6@gmail.com"/>
        <s v="ilpbustos@gmail.com"/>
        <s v="gonsalorivas@gmail.com"/>
        <s v="marcela.ivana.molina.agurto@gmail.com"/>
        <s v="lucasfernandez1214@gmail.com" u="1"/>
        <s v="shormazabalm7@gmail.com" u="1"/>
        <s v="aldo.arevalo.rodriguez@gmail.com" u="1"/>
        <s v="cchavez.mon@gmail.com" u="1"/>
        <s v="ivo.battaglia@gmail.com" u="1"/>
        <s v="chormazabal@guiasyscoutschile.cl" u="1"/>
        <s v="alonsovillablancaf@gmail.com" u="1"/>
        <s v="orianasaezm@gmail.com" u="1"/>
        <s v="liset.alarcon4@gmail.com" u="1"/>
        <s v="amadridcani@gmail.com" u="1"/>
        <s v="rarnechino@guiasyscoutschile.cl" u="1"/>
        <s v="ismaelsotoespi98@gmail.com" u="1"/>
        <s v="brojas@guiasyscoutschile.cl" u="1"/>
        <s v="eric.munoz.bel@gmail.com" u="1"/>
        <s v="danibascursanhueza@gmail.com" u="1"/>
        <s v="cobes.r10729@gmail.com" u="1"/>
        <s v="moni.aranguiz.v@gmail.com" u="1"/>
        <s v="srojas.lla@gmail.com" u="1"/>
        <s v="alexis.auad@gmail.com" u="1"/>
        <s v="scarrasco@guiasyscoutschile.cl" u="1"/>
        <s v="pedrerosszk@gmail.com" u="1"/>
        <s v="danitza.valencia.p@gmail.com" u="1"/>
        <s v="javieracsv21@gmail.com" u="1"/>
        <s v="f.lehuey97@gmail.com" u="1"/>
        <s v="b.jullieth.meza@gmail.com" u="1"/>
        <s v="ffuentes@guiasyscoutschile.cl" u="1"/>
        <s v="mavillanueva@guiasyscoutschile.cl" u="1"/>
      </sharedItems>
    </cacheField>
    <cacheField name="Observación" numFmtId="164">
      <sharedItems containsNonDate="0" containsString="0" containsBlank="1"/>
    </cacheField>
    <cacheField name="Teléfono" numFmtId="164">
      <sharedItems/>
    </cacheField>
    <cacheField name="Grupo" numFmtId="164">
      <sharedItems/>
    </cacheField>
    <cacheField name="Estado" numFmtId="164">
      <sharedItems count="6">
        <s v="Vigente"/>
        <s v="NO Vigente"/>
        <s v="No Existe"/>
        <s v="En Espera" u="1"/>
        <s v="Falta Pago" u="1"/>
        <s v="Sobrecupo" u="1"/>
      </sharedItems>
    </cacheField>
    <cacheField name="Alimentacion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Pesce" refreshedDate="45842.54996851852" createdVersion="8" refreshedVersion="8" minRefreshableVersion="3" recordCount="207" xr:uid="{30E7CDCA-AA7E-418A-B6BC-31D8D6F7FBF6}">
  <cacheSource type="worksheet">
    <worksheetSource name="T_Voluntarios"/>
  </cacheSource>
  <cacheFields count="52">
    <cacheField name="RUN" numFmtId="0">
      <sharedItems containsBlank="1" count="381">
        <s v="18799920-0"/>
        <s v="20677699-4"/>
        <s v="20958325-9"/>
        <s v="20259006-3"/>
        <s v="17199729-1"/>
        <s v="21276054-4"/>
        <s v="20447788-4"/>
        <s v="20951673-K"/>
        <s v="20968446-2"/>
        <s v="21921293-3"/>
        <s v="21304861-9"/>
        <s v="21166830-K"/>
        <s v="20757965-3"/>
        <s v="16003635-4"/>
        <s v="21727177-0"/>
        <s v="21835332-0"/>
        <s v="13734880-2"/>
        <s v="17220413-9"/>
        <s v="17349336-3"/>
        <s v="21359566-0"/>
        <s v="17199463-2"/>
        <s v="20488355-6"/>
        <s v="21631374-7"/>
        <s v="20852142-K"/>
        <s v="20648561-2"/>
        <s v="18962018-7"/>
        <s v="21486862-8"/>
        <s v="21861091-9"/>
        <s v="16489970-5"/>
        <s v="21537964-7"/>
        <s v="19088730-8"/>
        <s v="17641213-5"/>
        <s v="18770447-2"/>
        <s v="21748001-9"/>
        <s v="21261995-7"/>
        <s v="20021994-5"/>
        <s v="21098317-1"/>
        <s v="21027384-0"/>
        <s v="19157712-4"/>
        <s v="21137969-3"/>
        <s v="19725767-9"/>
        <s v="21765475-0"/>
        <s v="21254120-6"/>
        <s v="21951620-7"/>
        <s v="17206911-8"/>
        <s v="20019984-7"/>
        <s v="21698615-6"/>
        <s v="21006509-1"/>
        <s v="16139761-K"/>
        <s v="20195612-9"/>
        <s v="20921553-5"/>
        <s v="19425691-4"/>
        <s v="19715480-2"/>
        <s v="21875658-1"/>
        <s v="21239488-2"/>
        <s v="21591571-9"/>
        <s v="21448774-8"/>
        <s v="18828110-9"/>
        <s v="21099023-2"/>
        <s v="21338943-2"/>
        <s v="21609731-9"/>
        <s v="21218725-9"/>
        <s v="21721885-3"/>
        <s v="21412999-K"/>
        <s v="20618777-8"/>
        <s v="21540865-5"/>
        <s v="15206532-9"/>
        <s v="21437691-1"/>
        <s v="20000855-3"/>
        <s v="21089732-1"/>
        <s v="16009047-2"/>
        <s v="18947308-7"/>
        <s v="22098684-5"/>
        <s v="21125989-2"/>
        <s v="15687768-9"/>
        <s v="16774006-5"/>
        <s v="16139416-5"/>
        <s v="19736352-5"/>
        <s v="20623385-0"/>
        <s v="21065520-4"/>
        <s v="19598321-6"/>
        <s v="19509993-6"/>
        <s v="13725336-4"/>
        <s v="20258730-5"/>
        <s v="17400182-0"/>
        <s v="12362790-3"/>
        <s v="20778093-6"/>
        <s v="18419830-4"/>
        <s v="20116981-K"/>
        <s v="16765815-6"/>
        <s v="12700415-3"/>
        <s v="12133343-0"/>
        <s v="17343643-2"/>
        <s v="19798265-9"/>
        <s v="17395890-0"/>
        <s v="16490600-0"/>
        <s v="20823656-3"/>
        <s v="21305751-0"/>
        <s v="18686470-0"/>
        <s v="19765737-5"/>
        <s v="13387134-9"/>
        <s v="20973166-5"/>
        <s v="18525115-2"/>
        <s v="19816809-2"/>
        <s v="20680877-2"/>
        <s v="16738221-5"/>
        <s v="16898721-8"/>
        <s v="20020612-6"/>
        <s v="19797172-K"/>
        <s v="19533643-1"/>
        <s v="18807829-K"/>
        <s v="19615529-5"/>
        <s v="21483687-4"/>
        <s v="19835330-2"/>
        <s v="14068351-5"/>
        <s v="12549494-3"/>
        <s v="14028528-5"/>
        <s v="19835395-7"/>
        <s v="19834316-1"/>
        <s v="16764087-7"/>
        <s v="20949468-K"/>
        <s v="19947418-9"/>
        <s v="21572281-3"/>
        <s v="21313286-5"/>
        <s v="21252064-0"/>
        <s v="12073270-6"/>
        <s v="20994815-K"/>
        <s v="21129923-1"/>
        <s v="20827682-4"/>
        <s v="21388383-6"/>
        <s v="20917350-6"/>
        <s v="20911665-0"/>
        <s v="16037886-7"/>
        <s v="20983670-K"/>
        <s v="21179860-2"/>
        <s v="16229438-5"/>
        <s v="21613232-7"/>
        <s v="21616122-K"/>
        <s v="18413346-6"/>
        <s v="20913656-2"/>
        <s v="17869632-7"/>
        <s v="14545408-5"/>
        <s v="20114528-7"/>
        <s v="21149119-1"/>
        <s v="21467393-2"/>
        <s v="16395741-8"/>
        <s v="21130967-9"/>
        <s v="20346662-5"/>
        <s v="21262310-5"/>
        <s v="12303496-1"/>
        <s v="21044758-K"/>
        <s v="18800211-0"/>
        <s v="20515958-4"/>
        <s v="21236548-3"/>
        <s v="22060019-K"/>
        <s v="19090410-5"/>
        <s v="19596163-8"/>
        <s v="19580739-6"/>
        <s v="21198146-6"/>
        <s v="21219951-6"/>
        <s v="19615922-3"/>
        <s v="19808577-4"/>
        <s v="17040813-6"/>
        <s v="21789622-3"/>
        <s v="21931418-3"/>
        <s v="19336099-8"/>
        <s v="20977871-8"/>
        <s v="20727528-K"/>
        <s v="21216333-3"/>
        <s v="20489410-8"/>
        <s v="13670458-3"/>
        <s v="14417326-0"/>
        <s v="18214617-K"/>
        <s v="20992153-7"/>
        <s v="16396404-K"/>
        <s v="20375255-5"/>
        <s v="21073153-9"/>
        <s v="19595070-9"/>
        <s v="16734885-8"/>
        <s v="20999968-4"/>
        <s v="12078390-4"/>
        <s v="20988214-0"/>
        <s v="20881296-3"/>
        <s v="17857920-7"/>
        <s v="21382811-8"/>
        <s v="21218527-2"/>
        <s v="21482816-2"/>
        <s v="17343653-K"/>
        <s v="9040564-0"/>
        <s v="7836094-1"/>
        <s v="12918155-9"/>
        <s v="17208784-1"/>
        <s v="20720516-8"/>
        <s v="14390617-5"/>
        <s v="18771058-8"/>
        <s v="16246556-2"/>
        <s v="16723098-9"/>
        <s v="21813696-4"/>
        <s v="21040156-3"/>
        <s v="20155115-3"/>
        <s v="17348754-1"/>
        <s v="19837040-1"/>
        <s v="16600798-4"/>
        <s v="22331921-1"/>
        <s v="19909896-9"/>
        <s v="20439723-6"/>
        <s v="20550642-K"/>
        <s v="21631373-7" u="1"/>
        <s v="18423346-6" u="1"/>
        <s v="19698693-6" u="1"/>
        <s v="13315552-K" u="1"/>
        <m u="1"/>
        <s v="20439339-7" u="1"/>
        <s v="20257554-4" u="1"/>
        <s v="18804345-3" u="1"/>
        <s v="13150090-4" u="1"/>
        <s v="11897711-4" u="1"/>
        <s v="15289755-3" u="1"/>
        <s v="16155760-9" u="1"/>
        <s v="17110280-4" u="1"/>
        <s v="20438126-7" u="1"/>
        <s v="19835054-0" u="1"/>
        <s v="20395896-K" u="1"/>
        <s v="20698087-7" u="1"/>
        <s v="19294834-7" u="1"/>
        <s v="20155266-4" u="1"/>
        <s v="20115764-1" u="1"/>
        <s v="20080887-8" u="1"/>
        <s v="20258589-2" u="1"/>
        <s v="20657636-7" u="1"/>
        <s v="20022067-6" u="1"/>
        <s v="20488628-8" u="1"/>
        <s v="20516267-4" u="1"/>
        <s v="19717092-1" u="1"/>
        <s v="19334294-9" u="1"/>
        <s v="16085066-3" u="1"/>
        <s v="20643626-3" u="1"/>
        <s v="20776195-8" u="1"/>
        <s v="20255475-K" u="1"/>
        <s v="20618982-7" u="1"/>
        <s v="20939718-8" u="1"/>
        <s v="20234032-6" u="1"/>
        <s v="20488339-4" u="1"/>
        <s v="20022599-6" u="1"/>
        <s v="20257228-6" u="1"/>
        <s v="20014956-4" u="1"/>
        <s v="19034210-7" u="1"/>
        <s v="20020079-9" u="1"/>
        <s v="20322898-8" u="1"/>
        <s v="19292472-3" u="1"/>
        <s v="16982677-3" u="1"/>
        <s v="20439331-1" u="1"/>
        <s v="19854595-3" u="1"/>
        <s v="21085640-4" u="1"/>
        <s v="20977882-3" u="1"/>
        <s v="15999397-3" u="1"/>
        <s v="20911868-8" u="1"/>
        <s v="20658092-5" u="1"/>
        <s v="14572495-3" u="1"/>
        <s v="10668555-K" u="1"/>
        <s v="14712019-2" u="1"/>
        <s v="19332194-1" u="1"/>
        <s v="19699079-8" u="1"/>
        <s v="20256049-0" u="1"/>
        <s v="13783755-4" u="1"/>
        <s v="19199232-K" u="1"/>
        <s v="20905820-0" u="1"/>
        <s v="20487530-8" u="1"/>
        <s v="20440071-7" u="1"/>
        <s v="19416101-8" u="1"/>
        <s v="20438520-3" u="1"/>
        <s v="20914449-2" u="1"/>
        <s v="20619310-7" u="1"/>
        <s v="17749468-2" u="1"/>
        <s v="19730706-4" u="1"/>
        <s v="20698622-0" u="1"/>
        <s v="20489798-0" u="1"/>
        <s v="19050887-0" u="1"/>
        <s v="20619383-2" u="1"/>
        <s v="19091916-1" u="1"/>
        <s v="20489322-5" u="1"/>
        <s v="21161402-1" u="1"/>
        <s v="20972297-6" u="1"/>
        <s v="20438876-8" u="1"/>
        <s v="21041690-0" u="1"/>
        <s v="17519014-7" u="1"/>
        <s v="20830452-6" u="1"/>
        <s v="21037770-0" u="1"/>
        <s v="17027912-3" u="1"/>
        <s v="17138403-6" u="1"/>
        <s v="18145220-K" u="1"/>
        <s v="20022942-8" u="1"/>
        <s v="10824533-6" u="1"/>
        <s v="20196376-1" u="1"/>
        <s v="20067993-8" u="1"/>
        <s v="19531144-7" u="1"/>
        <s v="20489889-8" u="1"/>
        <s v="20535792-0" u="1"/>
        <s v="19811790-0" u="1"/>
        <s v="20500548-K" u="1"/>
        <s v="19334634-0" u="1"/>
        <s v="20489814-6" u="1"/>
        <s v="20488439-0" u="1"/>
        <s v="20919315-9" u="1"/>
        <s v="20500918-3" u="1"/>
        <s v="20115835-4" u="1"/>
        <s v="20942260-3" u="1"/>
        <s v="20776621-6" u="1"/>
        <s v="19334746-0" u="1"/>
        <s v="20275547-K" u="1"/>
        <s v="19714844-6" u="1"/>
        <s v="20782640-5" u="1"/>
        <s v="20738624-3" u="1"/>
        <s v="21003005-0" u="1"/>
        <s v="16011664-1" u="1"/>
        <s v="18108476-6" u="1"/>
        <s v="20911837-8" u="1"/>
        <s v="20655147-K" u="1"/>
        <s v="13105835-7" u="1"/>
        <s v="20950509-6" u="1"/>
        <s v="20375852-9" u="1"/>
        <s v="18411073-3" u="1"/>
        <s v="20768512-7" u="1"/>
        <s v="15216676-1" u="1"/>
        <s v="19653314-1" u="1"/>
        <s v="20940387-0" u="1"/>
        <s v="16284021-5" u="1"/>
        <s v="16916358-8" u="1"/>
        <s v="19855504-5" u="1"/>
        <s v="19645527-2" u="1"/>
        <s v="20282017-4" u="1"/>
        <s v="19855419-7" u="1"/>
        <s v="20349625-7" u="1"/>
        <s v="19798741-3" u="1"/>
        <s v="20078717-K" u="1"/>
        <s v="21554564-4" u="1"/>
        <s v="12972669-5" u="1"/>
        <s v="17541547-5" u="1"/>
        <s v="20917151-1" u="1"/>
        <s v="20938841-3" u="1"/>
        <s v="20161012-5" u="1"/>
        <s v="21271518-2" u="1"/>
        <s v="19107493-5" u="1"/>
        <s v="18405393-4" u="1"/>
        <s v="20115613-0" u="1"/>
        <s v="18855502-0" u="1"/>
        <s v="18647391-4" u="1"/>
        <s v="16765243-3" u="1"/>
        <s v="18524890-9" u="1"/>
        <s v="18173612-1" u="1"/>
        <s v="18416537-6" u="1"/>
        <s v="13103689-2" u="1"/>
        <s v="17297631-k" u="1"/>
        <s v="19223300-3" u="1"/>
        <s v="20723149-5" u="1"/>
        <s v="17416742-7" u="1"/>
        <s v="19972865-2" u="1"/>
        <s v="20550768-K" u="1"/>
        <s v="13137311-2" u="1"/>
        <s v="21123540-3" u="1"/>
        <s v="17540407-4" u="1"/>
        <s v="20021624-5" u="1"/>
        <s v="21216127-6" u="1"/>
        <s v="18271852-1" u="1"/>
        <s v="14208448-1" u="1"/>
        <s v="17614028-3" u="1"/>
        <s v="11111111-1" u="1"/>
        <s v="22222222-2" u="1"/>
        <s v="33333333-3" u="1"/>
        <s v="77777777-7" u="1"/>
        <s v="88888888-8" u="1"/>
        <s v="99999999-9" u="1"/>
        <s v="44444444-4" u="1"/>
        <s v="55555555-5" u="1"/>
        <s v="66666666-6" u="1"/>
        <s v="00000000-0" u="1"/>
        <s v="20014933-5" u="1"/>
        <s v="19531078-5" u="1"/>
        <s v="18536225-6" u="1"/>
        <s v="19730706.4" u="1"/>
        <s v="13150090 4" u="1"/>
      </sharedItems>
    </cacheField>
    <cacheField name="E_MAIL" numFmtId="0">
      <sharedItems count="369">
        <s v="andreavidalmo@gmail.com"/>
        <s v="pamelapinol21@gmail.com"/>
        <s v="noemigonzalez644@gmail.com"/>
        <s v="cpalmab00@gmail.com"/>
        <s v="mgonzalez.biologia@gmail.com"/>
        <s v="cdiazaguilera12@gmail.com"/>
        <s v="alejandroquezadacontacto@gmail.com"/>
        <s v="gonza.sandovalito@gmail.com"/>
        <s v="estebangop@gmail.com"/>
        <s v="chaminherrera2.3@gmail.com"/>
        <s v="niigvipa@gmail.com"/>
        <s v="nachogoncar02@gmail.com"/>
        <s v="carlacontreras424@gmail.com"/>
        <s v="natimsg@gmail.com"/>
        <s v="renatoandresantibanezy@gmail.com"/>
        <s v="josearavenavarrete@gmail.com"/>
        <s v="liviocarrasco@gmail.com"/>
        <s v="aneri15@gmail.com"/>
        <s v="latorrefrancisco@gmail.com"/>
        <s v="sebasper2003@gmail.com"/>
        <s v="elias.neirato@gmail.com"/>
        <s v="itecheira17@gmail.com"/>
        <s v="marcela.ivana.molina.agurto@gmail.com"/>
        <s v="mora62813@gmail.com"/>
        <s v="lisbetmatamala2001@gmail.com"/>
        <s v="khenriquezb@gmail.com"/>
        <s v="anitabravocortez7@gmail.com"/>
        <s v="antoromerocampos@gmail.com"/>
        <s v="feijooangela@gmail.com"/>
        <s v="isidorasandogut@gmail.com"/>
        <s v="javiera.jareyes@gmail.com"/>
        <s v="placenciavalenzuela@gmail.com"/>
        <s v="texiasl@gmail.com"/>
        <s v="dsheward05@gmail.com"/>
        <s v="maturana.emilia21@gmail.com"/>
        <s v="sofiaisabelmc@gmail.com"/>
        <s v="antomm002@gmail.com"/>
        <s v="c.silvamolina2@gmail.com"/>
        <s v="fbonfimm@gmail.com"/>
        <s v="angelabelenmc@gmail.com"/>
        <s v="alvarotoleseguel@gmail.com"/>
        <s v="camilafgt.cg@gmail.com"/>
        <s v="c.rodriguezvargas2@uandresbello.edu"/>
        <s v="santiagoconstenla2003@gmail.com"/>
        <s v="birlita2425@gmail.com"/>
        <s v="diego.henriquez.valenzuela@gmail.com"/>
        <s v="kathyaf2004@gmail.com"/>
        <s v="catalinatorresmunoz@gmail.com"/>
        <s v="paulina86.fuentealba@gmail.com"/>
        <s v="tio0kta721@gmail.com"/>
        <s v="antu06rodriguez@gmail.com"/>
        <s v="ferni.2102@gmail.com"/>
        <s v="nleivavillalobos@gmail.com"/>
        <s v="ignaciabelmar.m@gmail.com"/>
        <s v="utreras.rocio@gmail.com"/>
        <s v="carlandreacn@gmail.com"/>
        <s v="italovergara2003@gmail.com"/>
        <s v="gabriela.cabrera.cortez25@gmail.com"/>
        <s v="milovan283@gmail.com"/>
        <s v="erikjesusantonio@gmail.com"/>
        <s v="martinqnt05@gmail.com"/>
        <s v="rafafitamedel7@gmail.com"/>
        <s v="nicofigueroa2k04@gmail.com"/>
        <s v="sebabravo1810@gmail.com"/>
        <s v="tomasespinozamunz@gmail.com"/>
        <s v="valentinavrgs17@gmail.com"/>
        <s v="ysandovalm@gmail.com"/>
        <s v="alfredo.soto.perez@gmail.com"/>
        <s v="alainsebastian.c.v@gmail.com"/>
        <s v="psobreviav@gmail.com"/>
        <s v="daniburguz1630@gmail.com"/>
        <s v="mg.thalia.f@gmail.com"/>
        <s v="karina.martinez.navarro@gmail.com"/>
        <s v="jocefinaloyola@gmail.com"/>
        <s v="wprambs@gmail.com"/>
        <s v="stephany.concha@virginiogomez.cl"/>
        <s v="pablo.marin.05@gmail.com"/>
        <s v="thiareazapata@gmail.com"/>
        <s v="ralarconn3@gmail.com"/>
        <s v="constanza.mora.r16@gmail.com"/>
        <s v="hermosillasebastian8@gmail.com"/>
        <s v="shormazabalm7@gmail.com"/>
        <s v="aldo.arevalo.rodriguez@gmail.com"/>
        <s v="cchavez.mon@gmail.com"/>
        <s v="ivo.battaglia@gmail.com"/>
        <s v="chormazabal@guiasyscoutschile.cl"/>
        <s v="alonsovillablancaf@gmail.com"/>
        <s v="orianasaezm@gmail.com"/>
        <s v="liset.alarcon4@gmail.com"/>
        <s v="treycer_c@hotmail.com"/>
        <s v="cristianurratrabajo@gmail.com"/>
        <s v="amadridcani@gmail.com"/>
        <s v="rarnechino@guiasyscoutschile.cl"/>
        <s v="ismaelsotoespi98@gmail.com"/>
        <s v="brojas@guiasyscoutschile.cl"/>
        <s v="luisalfredoburgoscontreras@gmail.com"/>
        <s v="cami.parra.lillo@gmail.com"/>
        <s v="aabrantepe@gmail.com"/>
        <s v="eric.munoz.bel@gmail.com"/>
        <s v="brunobastian.herrera@gmail.com"/>
        <s v="rivera583@gmail.com"/>
        <s v="francine.smith.martinez@gmail.com"/>
        <s v="danibascursanhueza@gmail.com"/>
        <s v="cobes.r10729@gmail.com"/>
        <s v="bvillasolar@gmail.com"/>
        <s v="rominaandrea.de@gmail.com"/>
        <s v="alejandraaluna@gmail.com"/>
        <s v="rocamila98@gmail.com"/>
        <s v="moni.aranguiz.v@gmail.com"/>
        <s v="srojas.lla@gmail.com"/>
        <s v="macarena.manutara@gmail.com"/>
        <s v="scarletoyarzundiaz@gmail.com"/>
        <s v="barramonserrat101@gmail.com"/>
        <s v="erickrivas.macaya@gmail.com"/>
        <s v="alexis.auad@gmail.com"/>
        <s v="scarrasco@guiasyscoutschile.cl"/>
        <s v="caritoandreabarcelona@gmail.com"/>
        <s v="ang.michellod@gmail.com"/>
        <s v="donoso.ce@gmail.com"/>
        <s v="vivirodriguez.vidal@gmail.com"/>
        <s v="patricio1642@hotmail.com"/>
        <s v="pedrerosszk@gmail.com"/>
        <s v="javiera.abril3@gmail.com"/>
        <s v="clauandreasilvestremaldonado@gmail.com"/>
        <s v="gabrirose25@gmail.com"/>
        <s v="aolavezagal@gmail.com"/>
        <s v="danitza.valencia.p@gmail.com"/>
        <s v="josefarebolledogonzalez@gmail.com"/>
        <s v="barbararebolledogonzalez@gmail.com"/>
        <s v="joseantonio17092003@gmail.com"/>
        <s v="martina.araa@gmail.com"/>
        <s v="mancilla.stgo@gmail.com"/>
        <s v="manuel.borquez29@gmail.com"/>
        <s v="trinity.pfg@gmail.com"/>
        <s v="fsalas067@gmail.com"/>
        <s v="glorita_021@hotmail.com"/>
        <s v="lucasfernandez1314@gmail.com"/>
        <s v="tamiponss@gmail.com"/>
        <s v="nadiavarela79@gmail.com"/>
        <s v="ignacio.olivaresh@gmail.com"/>
        <s v="jarileivam.24@gmail.com"/>
        <s v="datroncoso1@gmail.com"/>
        <s v="sgtefhi@gmail.com"/>
        <s v="isidorajara1910@gmail.com"/>
        <s v="danielyn10@gmail.com"/>
        <s v="jaimesanhueza249@gmail.com"/>
        <s v="coniimu@gmail.com"/>
        <s v="ayannisvenegas@gmail.com"/>
        <s v="matiasessmann@gmail.com"/>
        <s v="pilotobizama@gmail.com"/>
        <s v="renata.belen.ramirez@gmail.com"/>
        <s v="marquezbarbara2018@gmail.com"/>
        <s v="d11reamy@gmail.com"/>
        <s v="broarojas@gmail.com"/>
        <s v="vichofuentest@gmail.com"/>
        <s v="javieracsv21@gmail.com"/>
        <s v="javier.dauros@gmail.com"/>
        <s v="f.lehuey97@gmail.com"/>
        <s v="chifuuuxc@gmail.com"/>
        <s v="tw.lozanopp@gmail.com"/>
        <s v="b.jullieth.meza@gmail.com"/>
        <s v="liz.fernanda.6811@gmail.com"/>
        <s v="felipeinostrozaloaiza@gmail.com"/>
        <s v="m.hunter.u05@gmail.com"/>
        <s v="mgdavinson@gmail.com"/>
        <s v="franciscaalveara@gmail.com"/>
        <s v="ibarraherrera28@gmail.com"/>
        <s v="fmoragaescobar@gmail.com"/>
        <s v="tobar3daniel@gmail.com"/>
        <s v="fran.aguima@gmail.com"/>
        <s v="ffuentes@guiasyscoutschile.cl"/>
        <s v="coca32729@gmail.com"/>
        <s v="francisca.reyesgomez@gmail.com"/>
        <s v="aylinfierrovera@gmail.com"/>
        <s v="raulbv777@gmail.com"/>
        <s v="valentina.arre2@gmail.com"/>
        <s v="bruno.isaac.medel.parra@gmail.com"/>
        <s v="a.penailillo10@gmail.com"/>
        <s v="paulaacastillotorres@gmail.com"/>
        <s v="coni.beltranfe@gmail.com"/>
        <s v="jaimesep68@gmail.com"/>
        <s v="pedrogonzalezirribarra@gmail.com"/>
        <s v="crriffopuentes@gmail.com"/>
        <s v="mavillanueva@guiasyscoutschile.cl"/>
        <s v="pinilla.belen.m@gmail.com"/>
        <s v="sebarc2015@gmail.com"/>
        <s v="clauditaderide@gmail.com"/>
        <s v="a.lizana.meza@gmail.com"/>
        <s v="ofernandezv@gmail.com"/>
        <s v="fredesa.ricardo@gmail.com"/>
        <s v="czvdelbiobio@guiasyscoutschile.cl"/>
        <s v="czadelbiobio@guiasyscoutschile.cl"/>
        <s v="k.mellaescobar@gmail.com"/>
        <s v="painostroza@gmail.com"/>
        <s v="fabiansep11@gmail.com"/>
        <s v="fletelier@guiasyscoutschile.cl"/>
        <s v="mayra.amigo@gmail.com"/>
        <s v="belenpinovives1@gmail.com"/>
        <s v="sagnerantonio1312@gmail.com"/>
        <s v="nicolgaticamartinez@gmail.com"/>
        <s v="cabreracamilapaz@gmail.com"/>
        <s v="vicentelara2@gmail.com"/>
        <s v="luciaqueveq@gmail.com"/>
        <s v="sanhueza.ambar6@gmail.com"/>
        <s v="vicente.jgonzalezs@gmail.com"/>
        <s v="ilpbustos@gmail.com"/>
        <s v="gonsalorivas@gmail.com"/>
        <s v="lucasfernandez1214@gmail.com" u="1"/>
        <s v="camilalastraa@gmail.com" u="1"/>
        <s v="patricio.privasp@gmail.com" u="1"/>
        <e v="#N/A" u="1"/>
        <s v="ahylinsantosiba@gmail.com" u="1"/>
        <s v="carlimaria.hormazabal@gmail.com" u="1"/>
        <s v="nicoalegrialeon@gmail.com" u="1"/>
        <s v="vialistolo@gmail.com" u="1"/>
        <s v="lapiezatv@gmail.com" u="1"/>
        <s v="camilavasquez.bel@gmail.com" u="1"/>
        <s v="josisla@gmail.com" u="1"/>
        <s v="fdonosoq@gmail.com" u="1"/>
        <s v="estefani.salgadosanmartin@gmail.com" u="1"/>
        <s v="parra.liliana.m@gmail.com" u="1"/>
        <s v="joako1523@gmail.com" u="1"/>
        <s v="caolivares.rivas@gmail.com" u="1"/>
        <s v="ceci.mora13@gmail.com" u="1"/>
        <s v="dani.lama.cofre@gmail.com" u="1"/>
        <s v="leonora.marquez.r@gmail.com" u="1"/>
        <s v="quintanaortizv@gmail.com" u="1"/>
        <s v="pdalideti.pdi@gmail.com" u="1"/>
        <s v="josepoblete1701@gmail.com" u="1"/>
        <s v="sofiasereymachado@gmail.com" u="1"/>
        <s v="camiloagustin2000@gmail.com" u="1"/>
        <s v="karina.lizbeth.torres@gmail.com" u="1"/>
        <s v="frlastrac@gmail.com" u="1"/>
        <s v="valentin.rm1996@gmail.com" u="1"/>
        <s v="jose.islasdod@gmail.com" u="1"/>
        <s v="j.luppi.v@gmail.com" u="1"/>
        <s v="javierasolarb@gmail.com" u="1"/>
        <s v="macayasilva@gmail.com" u="1"/>
        <s v="luna.tf2015@gmail.com" u="1"/>
        <s v="yanaraantonia19@gmail.com" u="1"/>
        <s v="fballesterosc@gmail.com" u="1"/>
        <s v="ceci.vop@gmail.com" u="1"/>
        <s v="franciscavelosom@gmail.com" u="1"/>
        <s v="patricionjss@gmail.com" u="1"/>
        <s v="pablo.villegass.80@gmail.com" u="1"/>
        <s v="matias.gajard8@gmail.com" u="1"/>
        <s v="fsfernandezl98@gmail.com" u="1"/>
        <s v="dgberoiza@gmail.com" u="1"/>
        <s v="constanzalopezgarces@gmail.com" u="1"/>
        <s v="herrera.carla805@gmail.com" u="1"/>
        <s v="ktorresvidal04@gmail.com" u="1"/>
        <s v="jumunozm97@gmail.com" u="1"/>
        <s v="javi.fuentealbaaa@gmail.com" u="1"/>
        <s v="maty.aguscastillo@gmail.com" u="1"/>
        <s v="cifigueroalopez@gmail.com" u="1"/>
        <s v="cristobalmoscosocerda@gmail.com" u="1"/>
        <s v="clauortron@gmail.com" u="1"/>
        <s v="a.infante.p@gmail.com" u="1"/>
        <s v="c.lara@guiasyscoutschile.cl" u="1"/>
        <s v="saamimrm@gmail.com" u="1"/>
        <s v="anitacatasan@gmail.com" u="1"/>
        <s v="psumunte@gmail.com" u="1"/>
        <s v="mi7kcon@gmail.com" u="1"/>
        <s v="danielaguileraguilar@gmail.com" u="1"/>
        <s v="islas.ruth@gmail.com" u="1"/>
        <s v="gab.fran2001@gmail.com" u="1"/>
        <s v="ricardo.yes.2000@gmail.com" u="1"/>
        <s v="diegovidalga34@gmail.com" u="1"/>
        <s v="cristofer.159@gmail.com" u="1"/>
        <s v="cplacenciavillouta@gmail.com" u="1"/>
        <s v="fraanbetty@gmail.com" u="1"/>
        <s v="maxdominguezc@udd.cl" u="1"/>
        <s v="cespinozabeltran@gmail.com" u="1"/>
        <s v="ischley.18@gmail.com" u="1"/>
        <s v="jorgeross2706@gmail.com" u="1"/>
        <s v="dirojas12345@gmail.com" u="1"/>
        <s v="franciscoiry@gmail.com" u="1"/>
        <s v="montoyagarridocatalina@gmail.com" u="1"/>
        <s v="levarelah@gmail.com" u="1"/>
        <s v="ani.escalonamoraga@gmail.com" u="1"/>
        <s v="fran.gonzalez.seguel@gmail.com" u="1"/>
        <s v="s.cid.crot@gmail.com" u="1"/>
        <s v="p.a.orellanar@gmail.com" u="1"/>
        <s v="nahuel.munoz.cancino@gmail.com" u="1"/>
        <s v="jocecalderon29@gmail.com" u="1"/>
        <s v="alfredopinedac9@gmail.com" u="1"/>
        <s v="lalandesanhueza4@gmail.com" u="1"/>
        <s v="consoportecotec@gmail.com" u="1"/>
        <s v="pabloramosparedes89@gmail.com" u="1"/>
        <s v="gromero@guiasyscoutschile.cl" u="1"/>
        <s v="vjarapersoglia@gmail.com" u="1"/>
        <s v="javiera.sv21@gmail.com" u="1"/>
        <s v="aarevalo@guiasyscoutschile.cl" u="1"/>
        <s v="pzambrano@mmddconcepcion.cl" u="1"/>
        <s v="andrecuevas.er@gmail.com" u="1"/>
        <s v="frammancillarios@gmail.com" u="1"/>
        <s v="munozossesa@gmail.com" u="1"/>
        <s v="el.bestia.mauro@gmail.com" u="1"/>
        <s v="es.bustos.catrileo@gmail.com" u="1"/>
        <s v="catalinaecs@gmail.com" u="1"/>
        <s v="luisalveal17@gmail.com" u="1"/>
        <s v="lmatus8@gmail.com" u="1"/>
        <s v="marianasolano32@gmail.com" u="1"/>
        <s v="maylopezs@udd.cl" u="1"/>
        <s v="fabianaastorgacapurro@gmail.com" u="1"/>
        <s v="barbaraaguilera.flores@gmail.com" u="1"/>
        <s v="estebinxd@gmail.com" u="1"/>
        <s v="nataliam.sepulveda@gmail.com" u="1"/>
        <s v="emilioutamanieto@gmail.com" u="1"/>
        <s v="fabi.gonzalezma@gmail.com" u="1"/>
        <s v="enzo.n.orellana@gmail.com" u="1"/>
        <s v="ivan.5salamanca@gmail.com" u="1"/>
        <s v="fsantanac22@gmail.com" u="1"/>
        <s v="yerkoneira0@gmail.com" u="1"/>
        <s v="me.yon43121@gmail.com" u="1"/>
        <s v="mario.g.a.orellana.s@gmail.com" u="1"/>
        <s v="claudiaroavivanco@gmail.com" u="1"/>
        <s v="monsseclaram@gmail.com" u="1"/>
        <s v="ade.matamala@gmail.com" u="1"/>
        <s v="riveragonzalez.lore@gmail.com" u="1"/>
        <s v="rociobelenacuna.2001@gmail.com" u="1"/>
        <s v="mazoresteban@gmail.com" u="1"/>
        <s v="gabii.aravena@gmail.com" u="1"/>
        <s v="marisubelen86@gmail.com" u="1"/>
        <s v="carmengloria.chandia@gmail.com" u="1"/>
        <s v="fguzsep@gmail.com" u="1"/>
        <s v="luiscarrasco1404@gmail.com" u="1"/>
        <s v="dr.luiscarvajalr@gmail.com" u="1"/>
        <s v="panina2988@gmail.com" u="1"/>
        <s v="piabelen21@gmail.com" u="1"/>
        <s v="javieralejandrolavinvega@gmail.com" u="1"/>
        <s v="camila.cubillos.alarcon@gmail.com" u="1"/>
        <s v="vivi.stmj@gmail.com" u="1"/>
        <s v="francisca.aguilar.c@gmail.com" u="1"/>
        <s v="kiommy.munozp@gmail.com" u="1"/>
        <s v="contrerasdiego040@gmail.com" u="1"/>
        <s v="bcardenas@enfermeria.ucsc.cl" u="1"/>
        <s v="nlinconir@guiasyscoutschile.cl" u="1"/>
        <s v="katterinemunozbel@gmail.com" u="1"/>
        <s v="csaac2001@gmail.com" u="1"/>
        <s v="pob.rod4@gmail.com" u="1"/>
        <s v="torresmunoz.mj@gmail.com" u="1"/>
        <s v="valentinarifoc@gmail.com" u="1"/>
        <s v="constanzamendozaayllon@gmail.com" u="1"/>
        <s v="pmartinez@guiasyscoutschile.cl" u="1"/>
        <s v="franciscavalderrama25@gmail.com" u="1"/>
        <s v="huguitosmoke@gmail.com" u="1"/>
        <s v="pcuadra@guiasyscoutschile.cl" u="1"/>
        <s v="caroardi@gmail.com" u="1"/>
        <s v="constanzanicol9311@gmail.com" u="1"/>
        <s v="jaime.barra.diaz@gmail.com" u="1"/>
        <s v="benav.sergio@gmail.com" u="1"/>
        <s v="jwalker@guiasyscoutschile.cl" u="1"/>
        <s v="daniela.vargas.caj@gmail.com" u="1"/>
        <s v="matias.perezm96@gmail.com" u="1"/>
        <s v="mariaignaciang@gmail.com" u="1"/>
        <s v="franciscapaloma1990@gmail.com" u="1"/>
        <s v="rigo.scout@gmail.com" u="1"/>
        <s v="jeysonjeus@gmail.com" u="1"/>
        <s v="pablororonoa@gmail.com" u="1"/>
        <s v="ts.carolinafigueroa@gmail.com" u="1"/>
        <s v="gabriel.ehormazabal@gmail.com" u="1"/>
        <s v="sbsepulvedag@gmail.com" u="1"/>
        <s v="smedinapass@gmail.com" u="1"/>
        <s v="cris.neira.550@gmail.com" u="1"/>
        <s v="ruthy.q.o@gmail.com" u="1"/>
        <s v="gonzalocuevas.salazar@gmail.com" u="1"/>
        <s v="naturiquelmet@gmail.com" u="1"/>
        <s v="luiscarraco1404@gmail.com" u="1"/>
      </sharedItems>
    </cacheField>
    <cacheField name="NOMBRE" numFmtId="0">
      <sharedItems count="393">
        <s v="Andrea Fernanda Vidal Morales"/>
        <s v="Pamela Elena Pino Leiva"/>
        <s v="Noemí Rosita González Marambio"/>
        <s v="Catalina Dannae Palma Bastías"/>
        <s v="Muriel Esther González Silva"/>
        <s v="Catalina Belén Díaz Aguilera"/>
        <s v="Alejandro Antonio Quezada Huenchunao"/>
        <s v="Gonzalo Peña Sandoval"/>
        <s v="Esteban Gustavo Ortiz Pezo"/>
        <s v="Benjamin Ignacio Herrera Acevedo"/>
        <s v="Nicolás Ignacio Villanueva Parodi"/>
        <s v="Ignacio Antonio González Carrasco"/>
        <s v="Carla Andrea Contreras Calderon"/>
        <s v="Natalie Magdalena Sepulveda Gomez"/>
        <s v="Renato Andres Santibañez Yevilao"/>
        <s v="José Ignacio Aravena Navarrete"/>
        <s v="Livio Alfredo Carrasco Duran"/>
        <s v="Ana Erilda Peña Orellana"/>
        <s v="Francisco Javier Latorre Zuñiga"/>
        <s v="Sebastián Alejandro Pérez Serrano"/>
        <s v="Elias Neira Torres"/>
        <s v="Ignacio Nicolás Techeira Sepúlveda"/>
        <s v="Marcela Molina Agurto"/>
        <s v="Alvaro Mora Martinez"/>
        <s v="Lisbet Almendra Matamala Sandoval"/>
        <s v="Katherin Valeska Bañados Henriquez"/>
        <s v="Anita Bravo Cortez"/>
        <s v="Antonia Belén Romero Campos"/>
        <s v="Angela Andrea Feijoo Herrerra"/>
        <s v="Isidora María Fernanda Sandoval Gutiérrez"/>
        <s v="Javiera Jacqueline Jara Reyes"/>
        <s v="Alfredo Andrés Placencia Valenzuela"/>
        <s v="Texias Nicole Lagos Navarrete"/>
        <s v="Darío Alfonso Sheward Castillo"/>
        <s v="Emilia Belén Maturana Valverde"/>
        <s v="Sofía Isabel Martínez Clavería"/>
        <s v="Antonia Isabel Venegas Larrere"/>
        <s v="Carolina Francisca Silva Molina"/>
        <s v="Fernanda Javiera Pérez Figueroa"/>
        <s v="Angela Belén Martínez Clavería"/>
        <s v="Álvaro Andrés Toledo Seguel"/>
        <s v="Camila Francisca Guala Troncoso"/>
        <s v="Camila Andrea Rodriguez Vargas"/>
        <s v="Santiago Khalil Constenla Arias"/>
        <s v="Berlangue Carolaine Weisser Caniumil"/>
        <s v="Diego Henríquez Valenzuela"/>
        <s v="Katherine Jahel Acuña Farias"/>
        <s v="Catalina Torres Muñoz"/>
        <s v="Paulina Andrea Fuentealba Gutiérrez"/>
        <s v="Octavio Antonio Cortés Lara"/>
        <s v="Antonia Belén Rodriguez Garay"/>
        <s v="Fernanda Nicol Lagos González"/>
        <s v="Nicole Belén Leiva Villalobos"/>
        <s v="Mariaignacia Paulina Belmar Manríquez"/>
        <s v="Rocío Andrea Utreras Troncoso"/>
        <s v="Carla Andrea Contreras Novoa"/>
        <s v="Italo Gustavo Vergara Pacheco"/>
        <s v="Gabriela Solange Cabrera Cortez"/>
        <s v="Milovan Christopher Jesús San Martín Manríquez"/>
        <s v="Erik Jesus Antonio Mariqueo Rodriguez"/>
        <s v="Martin Nicolas Quintana Bravo"/>
        <s v="Rafaela Medel Bustamante"/>
        <s v="Nicolás Andrés Figueroa Orellana"/>
        <s v="Sebastián Alejandro Bravo García"/>
        <s v="Tomas Alberto Espinoza Muñoz"/>
        <s v="Valentina Scarleth Vargas Rios"/>
        <s v="Yertty Karina Sandoval Muñoz"/>
        <s v="Alfredo Osvaldo Soto Perez"/>
        <s v="Alain Sebastian Cereceda Venegas"/>
        <s v="Paula Constanza Antonia Sobrevía Valenzuela"/>
        <s v="Daniela Monserrat Burgos Guzmán"/>
        <s v="Thalía Scarlett Fernández Sierra"/>
        <s v="Karina Belen Antonella Martinez Navarro"/>
        <s v="Jocefina Laura Noemí Loyola Díaz"/>
        <s v="Waleska Elizabeth Prambs Levín"/>
        <s v="Stephany Alejandra Concha Zapata"/>
        <s v="Pablo Andres Marin Mansilla"/>
        <s v="Thiare Aylin Aguilera Zapata"/>
        <s v="Renata Valentina Alarcón Muñoz"/>
        <s v="Constanza Muriel Mora Robles"/>
        <s v="Sebastián Gilberto Hermosilla Miño"/>
        <s v="Sebastián Hormazábal Madrid"/>
        <s v="Aldo Felipe Arévalo Rodríguez"/>
        <s v="Cristóbal Tomás Chávez Montoya"/>
        <s v="Ivo Pietro Battaglia Salinas"/>
        <s v="Carlos Gerardo Hormazábal Saez"/>
        <s v="Alonso Javier Villablanca Figueroa"/>
        <s v="Oriana Alejandra Saez Muñoz"/>
        <s v="Liset Scarlet Alarcón Ortega"/>
        <s v="Treycer Nivor Castillo Rojas"/>
        <s v="Cristian Julian Ernesto Urra Parra"/>
        <s v="Ana Carolina Madrid  Canivilo"/>
        <s v="Romina Paz Arnechino Arriagada"/>
        <s v="Ismael Osvaldo Espinoza Soto"/>
        <s v="Braulio Alfredo Rojas Salas"/>
        <s v="Luis Alfredo Burgos Contreras"/>
        <s v="Camila Parra Lillo"/>
        <s v="Antonia Alejandra Brante Peña"/>
        <s v="Eric Edison Eduardo Muñoz Beltran"/>
        <s v="Bruno Bastian Herrera Sobarzo"/>
        <s v="Solange Andrea Ruiz Rivera"/>
        <s v="Francine Anaís Smith Martínez"/>
        <s v="Daniela Alejandra Bascur Sanhueza"/>
        <s v="María José Sepúlveda Benedetti"/>
        <s v="Benjamin Alejandro Villa Solar"/>
        <s v="Romina Andrea Daza Espinoza"/>
        <s v="Alejandra Andrea Luna Gallardo"/>
        <s v="Camila Alejandra Roca Carvajal"/>
        <s v="Mónica Scarlett Aránguiz Venegas"/>
        <s v="Sebastián Esteban Rojas Canales"/>
        <s v="Macarena Andrea Rodriguez Vidal"/>
        <s v="Scarlet Denisse Oyarzun Diaz"/>
        <s v="Monserrat Milena Barra Hernández"/>
        <s v="Erick Alexis Rivas Macaya"/>
        <s v="Alexis Hernán Auad Díaz"/>
        <s v="Silvia Karina Carrasco Avilés"/>
        <s v="Carolina Andrea Vega Contreras"/>
        <s v="Andrés Nicolás González Michellod"/>
        <s v="Constanza Belén Donoso González"/>
        <s v="Viviana Alejandra Rodríguez Vidal"/>
        <s v="Patricio Javier Esparza Espinoza"/>
        <s v="Rodrigo Felipe Pedreros Reyes"/>
        <s v="Javiera Abril Bastías Muñoz"/>
        <s v="Claudia Andrea Silvestre Maldonado"/>
        <s v="Gabriel Alberto Faúndez Vera"/>
        <s v="Angela Alejandra Olave Zagal"/>
        <s v="Danitza Monserrat Valencia Pedreros"/>
        <s v="Josefa Catalina Rebolledo González"/>
        <s v="Bárbara Nicole Rebolledo González"/>
        <s v="José Antonio Poza Pérez"/>
        <s v="Martina Aravena Rivas"/>
        <s v="Matías Santiago Mancilla Ríos"/>
        <s v="Manuel Alejandro Borquez Maluenda"/>
        <s v="Trinidad Ferrada González"/>
        <s v="Fernanda Isidora Salas Perez"/>
        <s v="Gloria Stephanie Olave Zagal"/>
        <s v="Lucas Alfredo Fernández Vega"/>
        <s v="Tamara Patricia Ponss Riffo"/>
        <s v="Nadia Sofía Varela Meza"/>
        <s v="Ignacio Andrés Olivares Hernández"/>
        <s v="Jari Lorena Leiva Mardones"/>
        <s v="Daniel Elias Troncoso Riquelme"/>
        <s v="Estephanie Ninette Salamanca Gutiérrez"/>
        <s v="Isidora Ignacia Jara Ceballos"/>
        <s v="Daniel Alonso Sandoval Villanueva"/>
        <s v="Jaime Antonio Sanhueza Orostica"/>
        <s v="Constanza Javiera Muñoz Bello"/>
        <s v="Ayannís Mara Venegas Vargas"/>
        <s v="Matías Alejandro Castro Essmann"/>
        <s v="Lorenzo Rodrigo Bizama Muñoz"/>
        <s v="Renata Belen Ramirez Merino"/>
        <s v="Bárbara Catalina Márquez Rivas"/>
        <s v="Katherine Ayllen Castro Leiva"/>
        <s v="Benjamín Andrés Roa Rojas"/>
        <s v="Vicente Matias Fuentes Torres"/>
        <s v="Javiera Constanza Sánchez Vega"/>
        <s v="Javier Andres Dauros Hormazabal"/>
        <s v="Felipe Andrés Lehuey Cuevas"/>
        <s v="Catalina Ignacia Pérez Ramos"/>
        <s v="Ignacio Andrés Lozano Urra"/>
        <s v="Barbara Jullieth Meza Benavides"/>
        <s v="Liz Fernanda Bolomey Reske"/>
        <s v="Felipe Adrian Inostroza Loaiza"/>
        <s v="Matías Antonio Hunter Urrutia"/>
        <s v="Miguel Alfonso Gutierrez Davinson"/>
        <s v="Francisca Ivelice Alvear Aguilar"/>
        <s v="Ignacio Vicente Iñaki Ibarra Herrera"/>
        <s v="Fernanda Valeria Moraga Escobar"/>
        <s v="Daniel Octavio Tobar Henríquez"/>
        <s v="Francisca Antonia Aguilera Maldonado"/>
        <s v="Fernando Antonio Fuentes Riveros"/>
        <s v="Macarena Vanessa Lavanderos Alarcon"/>
        <s v="Francisca Nicole Reyes Gómez"/>
        <s v="Aylin Isadora Fierro Vera"/>
        <s v="Raul Andrés Benavides Videla"/>
        <s v="Valentina Andrea Arredondo Gutierrez"/>
        <s v="Bruno Isaac Medel Parra"/>
        <s v="Álvaro Antonio Peñailillo Castillo"/>
        <s v="Paula Andrea Castillo Torres"/>
        <s v="Constanza Elizabeth Beltran Fuentes"/>
        <s v="Jaime Alejandro Sepulveda Sepulveda"/>
        <s v="Pedro Ignacio González Irribarra"/>
        <s v="Cristóbal Celso Riffo Puentes"/>
        <s v="Miguel Angel Villanueva Cuevas"/>
        <s v="Catalina Belén Mardones Pinilla"/>
        <s v="Sebastián Ignacio Romero Coo"/>
        <s v="Claudia Fernanda Deride Alegría"/>
        <s v="Alejandro Esteban Lizana Meza"/>
        <s v="Orlando Ernesto Fernández Vásquez"/>
        <s v="José Ricardo Fredes Arrepol"/>
        <s v="Pablo Enrique Pesce Sánchez"/>
        <s v="Rodrigo Bustos Estrada"/>
        <s v="Krishna Alexandra Mella Escobar"/>
        <s v="Pamela Inostroza Ulloa"/>
        <s v="Fabián Alejandro Sepúlveda Aguilera"/>
        <s v="Fabiola Letelier Álvarez"/>
        <s v="Mayra Amigo Cortez"/>
        <s v="Belén Antonella Pino Vives"/>
        <s v="Antonio Felipe Sagner Puschmann"/>
        <s v="Catalina Gatica Martínez"/>
        <s v="Camila Cabrera Menares"/>
        <s v="Vicente Ignacio Lara Gutiérrez"/>
        <s v="Lucila Del Carmen Aqueveque Jara"/>
        <s v="Ámbar Camila Sanhueza Sanhueza"/>
        <s v="Vicente Javier González Silva"/>
        <s v="Ignacio Andres Lopez Bustos"/>
        <s v="Gonsalo Fabriciano Junior Rivas Betancour"/>
        <s v="Jocefina Loyola" u="1"/>
        <s v="Camila Andrea Lastra Avendaño" u="1"/>
        <s v="Patricio Andrés Rivas Pérez" u="1"/>
        <e v="#N/A" u="1"/>
        <s v="Ahylin Christiane Santos Ibáñez" u="1"/>
        <s v="Carla María Hormazábal Madrid" u="1"/>
        <s v="Nicolás Alejandro Alegría León" u="1"/>
        <s v="Vialis Toloza Alarcon" u="1"/>
        <s v="Rodrigo Felipe Barahona Muñoz" u="1"/>
        <s v="Camila Valentina Vásquez Beltrán" u="1"/>
        <s v="José Arnoldo Isla Contreras" u="1"/>
        <s v="Francisco Javier Felipe Donoso Quiroz" u="1"/>
        <s v="Estefani Nikole Katherine Salgado San Martín" u="1"/>
        <s v="Liliana Marlene Reyes Parra" u="1"/>
        <s v="Joaquin Isaac Maureira Cifuentes" u="1"/>
        <s v="Camila Monserrath Olivares Rivas" u="1"/>
        <s v="Cecilia Andrea Mora Mora" u="1"/>
        <s v="Daniela Constanza Lama Cofré" u="1"/>
        <s v="Leonora Clementina Márquez Rivas" u="1"/>
        <s v="Valentina Ignacia Quintana Ortiz" u="1"/>
        <s v="Pablo Nicolás Dalidet Inzunza" u="1"/>
        <s v="José Manuel Poblete López" u="1"/>
        <s v="Sofia Paola Serey Machado" u="1"/>
        <s v="Camilo Agustín Guerra Carrasco" u="1"/>
        <s v="Karina Lizbeth Torres Cárdenas" u="1"/>
        <s v="Fernando Raúl Lastra Cerna" u="1"/>
        <s v="Valentín Asdrúbal Ramírez Muñoz" u="1"/>
        <s v="José Luis Islas Novoa" u="1"/>
        <s v="Javier Rodrigo Luppi Vásquez" u="1"/>
        <s v="Javiera Josefa Solar Bustos" u="1"/>
        <s v="Elizabeth Sophia Macaya Silva" u="1"/>
        <s v="Lunajaviera Troncoso Franz" u="1"/>
        <s v="Yanara Antonia Leal Oportus" u="1"/>
        <s v="Francisco Sebastián Ballesteros Cárdenas" u="1"/>
        <s v="Cecilia Vanessa Pacheco Orellana" u="1"/>
        <s v="Francisca Sofía Veloso Morales" u="1"/>
        <s v="Patricio Nicolás Jesús Sepúlveda Santibáñez" u="1"/>
        <s v="Pablo Alonso Villegas Salgado" u="1"/>
        <s v="Matías Javier Gajardo Cortés" u="1"/>
        <s v="Felipe Santiago Fernandez Lillo" u="1"/>
        <s v="Diego Jorge Ignacio Beroiza Concha" u="1"/>
        <s v="Constanza Belen Lopez Garces" u="1"/>
        <s v="Carla Vetina Herrera Pulgar" u="1"/>
        <s v="Katherine Alejandra Torres Vidal" u="1"/>
        <s v="Juan Alfonso Muñoz Merino" u="1"/>
        <s v="Javiera Antonia Fuentealba Aravena" u="1"/>
        <s v="Matías Agustín Castillo Mardones" u="1"/>
        <s v="Claudia Ivonne Figueroa López" u="1"/>
        <s v="Cristóbal Alejandro Moscoso Cerda" u="1"/>
        <s v="Claudia De Lourdes Ortega Troncoso" u="1"/>
        <s v="Pamela Andrea Inostroza Ulloa" u="1"/>
        <s v="Sebastián Rojas Canales" u="1"/>
        <s v="Alexis Antonio Infante Pinto" u="1"/>
        <s v="Cristián Andrés Lara Landaeta" u="1"/>
        <s v="Samira Ayleen Saa Pacheco" u="1"/>
        <s v="Anita Catalina Sánchez Reyes" u="1"/>
        <s v="Paulo Alonso Sumonte Moreno" u="1"/>
        <s v="Matias Ignacio Valenzuela Cifuentes" u="1"/>
        <s v="Daniela Pilar Aguilera Aguilar" u="1"/>
        <s v="Ruth Alejandra Islas Novoa" u="1"/>
        <s v="Gabriel Francisco Morales Sepúlveda" u="1"/>
        <s v="Ricardo Andres Cuminao Muñoz" u="1"/>
        <s v="Diego Ignacio Vidal Silva" u="1"/>
        <s v="Cristofer Alexander Saavedra Reyes" u="1"/>
        <s v="Camila Vanesa Alejandra Placencia Villouta" u="1"/>
        <s v="Francisca Beatriz Montenegro Santana" u="1"/>
        <s v="Maximiliano Alonso Domínguez Chocano" u="1"/>
        <s v="Claudia Paz Espinoza Beltran" u="1"/>
        <s v="Ischley Cristina Melgarejo Oliva" u="1"/>
        <s v="Jorge Alejandro Rosales Venegas" u="1"/>
        <s v="Diego Alonso Rojas Aedo" u="1"/>
        <s v="Francisco Ignacio Ruiz Yañez" u="1"/>
        <s v="Catalina Antonina Montoya Garrido" u="1"/>
        <s v="Leonora Mariana Varela Hermosilla" u="1"/>
        <s v="Ana María Escalona Moraga" u="1"/>
        <s v="Francisca Antonia González Seguel" u="1"/>
        <s v="Sebastián Andrés Cid Crot" u="1"/>
        <s v="Patricio Alberto Orellana Rtamal" u="1"/>
        <s v="Nahuel Liwen Muñoz Cancino" u="1"/>
        <s v="Jocelyn Paola Calderon Vergara" u="1"/>
        <s v="Alfredo José Pineda Cancino" u="1"/>
        <s v="Martín Antonio Lalande Sanhueza" u="1"/>
        <s v="Ignacio Andrés Hernández Triviño" u="1"/>
        <s v="Pablo Andrés Ramos Paredes" u="1"/>
        <s v="Carlos Gerardo Hormazábal Sáez" u="1"/>
        <s v="Gustavo Alonso Romero Bustos" u="1"/>
        <s v="Vicente Javier Alejandro Jara Persoglia" u="1"/>
        <s v="Patricio Alejandro Zambrano Asencio" u="1"/>
        <s v="Andrés Enrique Riquelme Cuevas" u="1"/>
        <s v="Francisca Ignacia Mancilla Ríos" u="1"/>
        <s v="Ailine Alanis Muñoz Osses" u="1"/>
        <s v="Mauricio Esteban Molina Reyes" u="1"/>
        <s v="Estefany Anaís Bustos Catrileo" u="1"/>
        <s v="Catalina Elizabeth Carrasco Sánchez" u="1"/>
        <s v="Luis Alberto Alveal Mendoza" u="1"/>
        <s v="Luis Alberto Matus Fierro" u="1"/>
        <s v="Mariana Trinidad Solano Vásquez" u="1"/>
        <s v="Mayte Tamara López Sabando" u="1"/>
        <s v="Fabiana Andrea Astorga Capurro" u="1"/>
        <s v="Bárbara Javiera Aguilera Flores" u="1"/>
        <s v="Sergio Esteban García Castillo" u="1"/>
        <s v="Natalia Monserrat Sepúlveda Alarcón" u="1"/>
        <s v="Emilio Leandro Widya Capetillo Nieto" u="1"/>
        <s v="Fabiola María González Marambio" u="1"/>
        <s v="Enzo Nicolas Orellana Araya" u="1"/>
        <s v="Iván Ignacio Salamanca González" u="1"/>
        <s v="Fernanda Belén Santana Cáceres" u="1"/>
        <s v="Yerko Cristobal Neira Hidalgo" u="1"/>
        <s v="Yonatan Andrés Oyarzun Gofy" u="1"/>
        <s v="Mario Germán Alberto  Orellana Sepúlveda" u="1"/>
        <s v="Claudia Melissa Roa Vivanco" u="1"/>
        <s v="Ignacio Andres López Bustos" u="1"/>
        <s v="Monserrat Camila Lara Mendoza" u="1"/>
        <s v="Adelio Ignacio Matamala Rossel" u="1"/>
        <s v="Lorena Soledad Rivera González" u="1"/>
        <s v="Rocio Catalina Belen Acuña Montecinos" u="1"/>
        <s v="Maximiliano Esteban Acuña Sepúlveda" u="1"/>
        <s v="Gabriela Catalina Aravena Aravena" u="1"/>
        <s v="Marisú Belen Yarur Flores" u="1"/>
        <s v="Claudia Andrea Silvestre Maldondo" u="1"/>
        <s v="Carmen Gloria Chandia Ruiz" u="1"/>
        <s v="Francisco Javier Guzmán Sepulveda" u="1"/>
        <s v="Luis Edgardo Carrasco Aguilera" u="1"/>
        <s v="Eric Edison Eduardo Muñoz Beltrán" u="1"/>
        <s v="Luis Alexis Carvajal Rodriguez" u="1"/>
        <s v="Paulina Andrea Ceballos Saez" u="1"/>
        <s v="Pía Belén Flores Pino" u="1"/>
        <s v="Javier Alejandro Lavín Vega" u="1"/>
        <s v="Camila Andrea Cubillos Alarcón" u="1"/>
        <s v="Vivianne Sammy Tamara Muñoz Jorquera" u="1"/>
        <s v="Sebastian Andrés Hormazábal Madrid" u="1"/>
        <s v="Francisca Javiera Aguilar Cantero" u="1"/>
        <s v="Kiommy Muñoz Pinto" u="1"/>
        <s v="Diego Arturo Contreras Durán" u="1"/>
        <s v="Belén Montserrat Cárdenas Fuentes" u="1"/>
        <s v="Natalia Andréa Lincoñir Roa" u="1"/>
        <s v="Katterine Araceli Muñoz Beltran" u="1"/>
        <s v="Christian Sebastián Andrés Alarcón Cabezas" u="1"/>
        <s v="Rodrigo Ignacio Poblete Rebolledo" u="1"/>
        <s v="Mariajesus Muñoz Torres" u="1"/>
        <s v="Valentina Belen Rifo Concha" u="1"/>
        <s v="Constanza Alejandra Mendoza Ayllón" u="1"/>
        <s v="Pia Alejandra Martinez Maass" u="1"/>
        <s v="Francisca Marialexi Valderrama Figueroa" u="1"/>
        <s v="Carolina Soledad Ulloa Manriquez" u="1"/>
        <s v="Pablo Nicolas Cuadra Caro" u="1"/>
        <s v="Carolina Andrea Sepúlveda Melo" u="1"/>
        <s v="Maria Constanza Nicol Lagos Quevedo" u="1"/>
        <s v="Jaime Orlando Barra Diaz" u="1"/>
        <s v="Sergio Benavides Avendaño" u="1"/>
        <s v="Jimmy Alfonso Walker Vergara" u="1"/>
        <s v="Daniela Victoria Vargas Bustos" u="1"/>
        <s v="Matías Nicolás Pérez Monsalve" u="1"/>
        <s v="María Ignacia Noguera Guarderas" u="1"/>
        <s v="Anita Carolina Madrid Canivilo" u="1"/>
        <s v="Francisca Paloma Rojas Gutiérrez" u="1"/>
        <s v="Jeyson Jesús Díaz Murga" u="1"/>
        <s v="Juan Pablo Fredes Fernández" u="1"/>
        <s v="Tamara Lorena Concha Rivas" u="1"/>
        <s v="Gabriel Enrique Hormazabal Solar" u="1"/>
        <s v="Sara Belen Sepulveda Gutiérrez" u="1"/>
        <s v="Sandra Silvia Medina Rodriguez" u="1"/>
        <s v="Cristóbal Neira Scheuermann" u="1"/>
        <s v="Ruth Jesenia Quinán Olea" u="1"/>
        <s v="Gonzalo Andres Cuevas Salazar" u="1"/>
        <s v="Natalia Elizabeth Riquelme Toledo" u="1"/>
        <s v="Servicio 1" u="1"/>
        <s v="Servicio 2" u="1"/>
        <s v="Servicio 3" u="1"/>
        <s v="Servicio 7" u="1"/>
        <s v="Servicio 8" u="1"/>
        <s v="Servicio 9" u="1"/>
        <s v="Servicio 4" u="1"/>
        <s v="Servicio 5" u="1"/>
        <s v="Servicio 6" u="1"/>
        <s v="Servicio 10" u="1"/>
        <s v="Francisco Guzmán Sépulveda" u="1"/>
        <s v="Bárbara Aguilera Flores" u="1"/>
        <s v="Claudia Espinoza Beltran" u="1"/>
        <s v="Matías Castillo Mardones" u="1"/>
        <s v="Pablo Ramos Paredes" u="1"/>
        <s v="Samira Saa Pacheco" u="1"/>
        <s v="Cristobal Moscoso cerda" u="1"/>
        <s v="Matías Gajardo Cortés" u="1"/>
        <s v="Anita Sánchez Reyes" u="1"/>
        <s v="fabiana Astorga" u="1"/>
      </sharedItems>
    </cacheField>
    <cacheField name="FEC_NAC" numFmtId="14">
      <sharedItems containsSemiMixedTypes="0" containsNonDate="0" containsDate="1" containsString="0" minDate="1899-12-30T00:00:00" maxDate="2023-07-21T00:00:00" count="352">
        <d v="1994-05-24T00:00:00"/>
        <d v="2001-04-27T00:00:00"/>
        <d v="2002-01-16T00:00:00"/>
        <d v="2000-03-10T00:00:00"/>
        <d v="1990-05-27T00:00:00"/>
        <d v="2003-04-12T00:00:00"/>
        <d v="2000-04-17T00:00:00"/>
        <d v="2002-02-08T00:00:00"/>
        <d v="2005-09-02T00:00:00"/>
        <d v="2003-05-24T00:00:00"/>
        <d v="2002-11-15T00:00:00"/>
        <d v="2002-02-01T00:00:00"/>
        <d v="1985-05-08T00:00:00"/>
        <d v="2004-12-12T00:00:00"/>
        <d v="2005-05-10T00:00:00"/>
        <d v="1979-11-24T00:00:00"/>
        <d v="1989-06-26T00:00:00"/>
        <d v="1990-10-01T00:00:00"/>
        <d v="2003-08-04T00:00:00"/>
        <d v="1989-08-06T00:00:00"/>
        <d v="2000-07-09T00:00:00"/>
        <d v="2004-08-02T00:00:00"/>
        <d v="2001-12-18T00:00:00"/>
        <d v="2001-05-05T00:00:00"/>
        <d v="1995-01-26T00:00:00"/>
        <d v="2004-01-17T00:00:00"/>
        <d v="2005-06-17T00:00:00"/>
        <d v="1986-10-08T00:00:00"/>
        <d v="2004-03-27T00:00:00"/>
        <d v="1995-06-02T00:00:00"/>
        <d v="1990-11-14T00:00:00"/>
        <d v="1994-03-20T00:00:00"/>
        <d v="2005-01-07T00:00:00"/>
        <d v="2003-03-21T00:00:00"/>
        <d v="1999-02-08T00:00:00"/>
        <d v="2002-09-02T00:00:00"/>
        <d v="2002-06-01T00:00:00"/>
        <d v="2002-08-24T00:00:00"/>
        <d v="2002-10-01T00:00:00"/>
        <d v="1997-07-27T00:00:00"/>
        <d v="2005-01-31T00:00:00"/>
        <d v="2003-02-27T00:00:00"/>
        <d v="2003-09-29T00:00:00"/>
        <d v="1989-02-24T00:00:00"/>
        <d v="1998-10-10T00:00:00"/>
        <d v="2004-10-28T00:00:00"/>
        <d v="2002-04-26T00:00:00"/>
        <d v="1986-02-10T00:00:00"/>
        <d v="1999-09-19T00:00:00"/>
        <d v="2001-12-06T00:00:00"/>
        <d v="1996-07-18T00:00:00"/>
        <d v="1997-09-03T00:00:00"/>
        <d v="2005-06-29T00:00:00"/>
        <d v="2003-02-23T00:00:00"/>
        <d v="2004-06-06T00:00:00"/>
        <d v="2003-11-18T00:00:00"/>
        <d v="2002-10-08T00:00:00"/>
        <d v="2003-07-16T00:00:00"/>
        <d v="2004-07-05T00:00:00"/>
        <d v="2003-01-23T00:00:00"/>
        <d v="2004-12-07T00:00:00"/>
        <d v="2003-10-18T00:00:00"/>
        <d v="2000-11-22T00:00:00"/>
        <d v="2004-03-31T00:00:00"/>
        <d v="1982-08-23T00:00:00"/>
        <d v="2003-10-15T00:00:00"/>
        <d v="1998-08-06T00:00:00"/>
        <d v="2002-08-10T00:00:00"/>
        <d v="1984-12-16T00:00:00"/>
        <d v="1994-11-15T00:00:00"/>
        <d v="2006-04-21T00:00:00"/>
        <d v="2002-09-06T00:00:00"/>
        <d v="1983-01-30T00:00:00"/>
        <d v="1987-10-09T00:00:00"/>
        <d v="1985-12-31T00:00:00"/>
        <d v="1997-10-25T00:00:00"/>
        <d v="2000-11-23T00:00:00"/>
        <d v="2002-06-30T00:00:00"/>
        <d v="1997-06-15T00:00:00"/>
        <d v="1997-03-04T00:00:00"/>
        <d v="1979-10-08T00:00:00"/>
        <d v="2000-02-18T00:00:00"/>
        <d v="1989-08-04T00:00:00"/>
        <d v="1973-01-16T00:00:00"/>
        <d v="2001-05-30T00:00:00"/>
        <d v="1994-03-03T00:00:00"/>
        <d v="1999-06-04T00:00:00"/>
        <d v="1987-11-04T00:00:00"/>
        <d v="1973-08-20T00:00:00"/>
        <d v="1974-04-10T00:00:00"/>
        <d v="1989-08-22T00:00:00"/>
        <d v="1998-06-24T00:00:00"/>
        <d v="1989-03-09T00:00:00"/>
        <d v="1987-10-06T00:00:00"/>
        <d v="2001-07-21T00:00:00"/>
        <d v="2003-05-26T00:00:00"/>
        <d v="1995-01-04T00:00:00"/>
        <d v="1998-08-05T00:00:00"/>
        <d v="1978-07-21T00:00:00"/>
        <d v="2002-02-22T00:00:00"/>
        <d v="1993-11-13T00:00:00"/>
        <d v="1998-07-11T00:00:00"/>
        <d v="2001-09-19T00:00:00"/>
        <d v="2001-02-21T00:00:00"/>
        <d v="1988-12-24T00:00:00"/>
        <d v="1998-10-31T00:00:00"/>
        <d v="1998-01-07T00:00:00"/>
        <d v="1997-05-02T00:00:00"/>
        <d v="1994-04-29T00:00:00"/>
        <d v="1999-02-14T00:00:00"/>
        <d v="2004-01-14T00:00:00"/>
        <d v="1998-04-20T00:00:00"/>
        <d v="1978-06-16T00:00:00"/>
        <d v="1974-01-13T00:00:00"/>
        <d v="1981-12-19T00:00:00"/>
        <d v="1998-04-26T00:00:00"/>
        <d v="1997-11-17T00:00:00"/>
        <d v="1987-08-13T00:00:00"/>
        <d v="2002-01-10T00:00:00"/>
        <d v="1999-03-22T00:00:00"/>
        <d v="2004-12-05T00:00:00"/>
        <d v="2002-08-15T00:00:00"/>
        <d v="2003-03-05T00:00:00"/>
        <d v="1981-06-07T00:00:00"/>
        <d v="2002-04-03T00:00:00"/>
        <d v="2002-09-20T00:00:00"/>
        <d v="2001-08-08T00:00:00"/>
        <d v="2003-09-17T00:00:00"/>
        <d v="2001-11-15T00:00:00"/>
        <d v="2001-11-06T00:00:00"/>
        <d v="1985-08-29T00:00:00"/>
        <d v="2002-03-07T00:00:00"/>
        <d v="2002-11-26T00:00:00"/>
        <d v="1985-09-09T00:00:00"/>
        <d v="2004-07-11T00:00:00"/>
        <d v="2004-07-08T00:00:00"/>
        <d v="1979-08-31T00:00:00"/>
        <d v="2001-11-16T00:00:00"/>
        <d v="1991-05-29T00:00:00"/>
        <d v="1981-04-11T00:00:00"/>
        <d v="1998-10-15T00:00:00"/>
        <d v="2002-10-19T00:00:00"/>
        <d v="2003-12-20T00:00:00"/>
        <d v="1986-09-20T00:00:00"/>
        <d v="2002-09-13T00:00:00"/>
        <d v="2000-12-03T00:00:00"/>
        <d v="2003-03-18T00:00:00"/>
        <d v="1972-07-18T00:00:00"/>
        <d v="2002-06-18T00:00:00"/>
        <d v="1994-11-18T00:00:00"/>
        <d v="2000-10-22T00:00:00"/>
        <d v="2003-02-20T00:00:00"/>
        <d v="2006-02-20T00:00:00"/>
        <d v="1995-09-21T00:00:00"/>
        <d v="1997-02-05T00:00:00"/>
        <d v="1997-06-30T00:00:00"/>
        <d v="2002-12-20T00:00:00"/>
        <d v="2003-01-24T00:00:00"/>
        <d v="1999-03-07T00:00:00"/>
        <d v="1997-09-15T00:00:00"/>
        <d v="1988-11-14T00:00:00"/>
        <d v="2005-03-08T00:00:00"/>
        <d v="2005-09-10T00:00:00"/>
        <d v="1996-10-29T00:00:00"/>
        <d v="2002-08-28T00:00:00"/>
        <d v="2001-03-26T00:00:00"/>
        <d v="2003-01-21T00:00:00"/>
        <d v="2000-10-09T00:00:00"/>
        <d v="1979-03-19T00:00:00"/>
        <d v="1970-03-24T00:00:00"/>
        <d v="1991-09-18T00:00:00"/>
        <d v="2002-03-29T00:00:00"/>
        <d v="1986-11-14T00:00:00"/>
        <d v="2000-08-23T00:00:00"/>
        <d v="2002-07-14T00:00:00"/>
        <d v="1996-12-10T00:00:00"/>
        <d v="1987-08-14T00:00:00"/>
        <d v="2002-04-13T00:00:00"/>
        <d v="1968-04-15T00:00:00"/>
        <d v="2002-03-21T00:00:00"/>
        <d v="2001-10-07T00:00:00"/>
        <d v="1990-12-06T00:00:00"/>
        <d v="2003-09-02T00:00:00"/>
        <d v="2003-01-20T00:00:00"/>
        <d v="2004-01-13T00:00:00"/>
        <d v="2000-01-01T00:00:00"/>
        <d v="1975-07-10T00:00:00"/>
        <d v="1989-07-26T00:00:00"/>
        <d v="2001-07-31T00:00:00"/>
        <d v="1978-02-19T00:00:00"/>
        <d v="1994-06-22T00:00:00"/>
        <d v="1985-07-18T00:00:00"/>
        <d v="1987-05-15T00:00:00"/>
        <d v="2005-04-12T00:00:00"/>
        <d v="2001-03-24T00:00:00"/>
        <d v="1999-06-26T00:00:00"/>
        <d v="1990-09-05T00:00:00"/>
        <d v="1998-11-02T00:00:00"/>
        <d v="1987-10-04T00:00:00"/>
        <d v="2007-02-06T00:00:00"/>
        <d v="1999-01-22T00:00:00"/>
        <d v="2000-11-21T00:00:00"/>
        <d v="2000-08-02T00:00:00"/>
        <d v="1899-12-30T00:00:00" u="1"/>
        <d v="1997-05-26T00:00:00" u="1"/>
        <d v="1977-09-02T00:00:00" u="1"/>
        <d v="2000-09-08T00:00:00" u="1"/>
        <d v="1999-11-29T00:00:00" u="1"/>
        <d v="1994-08-01T00:00:00" u="1"/>
        <d v="1977-07-20T00:00:00" u="1"/>
        <d v="1970-12-25T00:00:00" u="1"/>
        <d v="2001-01-26T00:00:00" u="1"/>
        <d v="1986-07-08T00:00:00" u="1"/>
        <d v="1989-03-19T00:00:00" u="1"/>
        <d v="2000-05-06T00:00:00" u="1"/>
        <d v="1998-03-09T00:00:00" u="1"/>
        <d v="2000-02-14T00:00:00" u="1"/>
        <d v="2001-04-21T00:00:00" u="1"/>
        <d v="1993-10-13T00:00:00" u="1"/>
        <d v="1999-07-13T00:00:00" u="1"/>
        <d v="1999-02-23T00:00:00" u="1"/>
        <d v="1999-06-07T00:00:00" u="1"/>
        <d v="2000-02-09T00:00:00" u="1"/>
        <d v="2001-01-17T00:00:00" u="1"/>
        <d v="1999-02-10T00:00:00" u="1"/>
        <d v="2000-11-25T00:00:00" u="1"/>
        <d v="1998-02-25T00:00:00" u="1"/>
        <d v="1996-07-15T00:00:00" u="1"/>
        <d v="1985-09-06T00:00:00" u="1"/>
        <d v="2000-12-12T00:00:00" u="1"/>
        <d v="2001-05-25T00:00:00" u="1"/>
        <d v="1999-08-04T00:00:00" u="1"/>
        <d v="2001-01-30T00:00:00" u="1"/>
        <d v="2001-12-19T00:00:00" u="1"/>
        <d v="2000-01-17T00:00:00" u="1"/>
        <d v="2000-07-10T00:00:00" u="1"/>
        <d v="1999-03-26T00:00:00" u="1"/>
        <d v="1999-11-17T00:00:00" u="1"/>
        <d v="1999-03-31T00:00:00" u="1"/>
        <d v="1995-03-25T00:00:00" u="1"/>
        <d v="1998-10-23T00:00:00" u="1"/>
        <d v="2000-02-06T00:00:00" u="1"/>
        <d v="1995-11-24T00:00:00" u="1"/>
        <d v="1988-08-31T00:00:00" u="1"/>
        <d v="2000-10-03T00:00:00" u="1"/>
        <d v="1997-10-20T00:00:00" u="1"/>
        <d v="2002-08-08T00:00:00" u="1"/>
        <d v="2002-09-12T00:00:00" u="1"/>
        <d v="1985-10-20T00:00:00" u="1"/>
        <d v="2001-11-12T00:00:00" u="1"/>
        <d v="2001-01-11T00:00:00" u="1"/>
        <d v="1976-02-04T00:00:00" u="1"/>
        <d v="1967-11-28T00:00:00" u="1"/>
        <d v="1998-08-04T00:00:00" u="1"/>
        <d v="1996-03-04T00:00:00" u="1"/>
        <d v="1998-03-12T00:00:00" u="1"/>
        <d v="1999-09-06T00:00:00" u="1"/>
        <d v="1975-04-11T00:00:00" u="1"/>
        <d v="1989-02-03T00:00:00" u="1"/>
        <d v="2001-10-27T00:00:00" u="1"/>
        <d v="2000-09-30T00:00:00" u="1"/>
        <d v="2000-12-20T00:00:00" u="1"/>
        <d v="1997-02-03T00:00:00" u="1"/>
        <d v="2000-06-22T00:00:00" u="1"/>
        <d v="2001-11-19T00:00:00" u="1"/>
        <d v="2001-07-03T00:00:00" u="1"/>
        <d v="1991-03-05T00:00:00" u="1"/>
        <d v="1997-06-25T00:00:00" u="1"/>
        <d v="2001-06-27T00:00:00" u="1"/>
        <d v="2000-11-07T00:00:00" u="1"/>
        <d v="1995-06-08T00:00:00" u="1"/>
        <d v="2001-08-13T00:00:00" u="1"/>
        <d v="1995-12-14T00:00:00" u="1"/>
        <d v="2000-09-29T00:00:00" u="1"/>
        <d v="2002-11-09T00:00:00" u="1"/>
        <d v="2000-07-31T00:00:00" u="1"/>
        <d v="2002-06-11T00:00:00" u="1"/>
        <d v="1990-02-12T00:00:00" u="1"/>
        <d v="2001-08-15T00:00:00" u="1"/>
        <d v="1989-01-11T00:00:00" u="1"/>
        <d v="1989-08-18T00:00:00" u="1"/>
        <d v="1992-07-24T00:00:00" u="1"/>
        <d v="1999-04-17T00:00:00" u="1"/>
        <d v="1969-04-24T00:00:00" u="1"/>
        <d v="1999-12-14T00:00:00" u="1"/>
        <d v="1999-09-03T00:00:00" u="1"/>
        <d v="1997-05-05T00:00:00" u="1"/>
        <d v="2000-11-15T00:00:00" u="1"/>
        <d v="2001-02-13T00:00:00" u="1"/>
        <d v="1998-08-14T00:00:00" u="1"/>
        <d v="2000-08-17T00:00:00" u="1"/>
        <d v="1996-08-10T00:00:00" u="1"/>
        <d v="2000-10-29T00:00:00" u="1"/>
        <d v="2000-07-19T00:00:00" u="1"/>
        <d v="2001-11-29T00:00:00" u="1"/>
        <d v="1999-02-25T00:00:00" u="1"/>
        <d v="2001-12-28T00:00:00" u="1"/>
        <d v="2001-05-23T00:00:00" u="1"/>
        <d v="1996-08-18T00:00:00" u="1"/>
        <d v="2000-02-04T00:00:00" u="1"/>
        <d v="1997-06-14T00:00:00" u="1"/>
        <d v="2001-07-27T00:00:00" u="1"/>
        <d v="2002-04-17T00:00:00" u="1"/>
        <d v="1985-07-30T00:00:00" u="1"/>
        <d v="1992-04-07T00:00:00" u="1"/>
        <d v="2001-11-09T00:00:00" u="1"/>
        <d v="2001-01-03T00:00:00" u="1"/>
        <d v="1976-03-25T00:00:00" u="1"/>
        <d v="2002-01-09T00:00:00" u="1"/>
        <d v="2000-11-06T00:00:00" u="1"/>
        <d v="1993-07-24T00:00:00" u="1"/>
        <d v="1982-08-27T00:00:00" u="1"/>
        <d v="1998-01-21T00:00:00" u="1"/>
        <d v="2001-12-17T00:00:00" u="1"/>
        <d v="1986-11-27T00:00:00" u="1"/>
        <d v="1988-01-29T00:00:00" u="1"/>
        <d v="1998-10-29T00:00:00" u="1"/>
        <d v="1997-02-24T00:00:00" u="1"/>
        <d v="2000-11-09T00:00:00" u="1"/>
        <d v="1998-07-29T00:00:00" u="1"/>
        <d v="2000-07-04T00:00:00" u="1"/>
        <d v="1999-08-16T00:00:00" u="1"/>
        <d v="2004-04-16T00:00:00" u="1"/>
        <d v="1976-01-27T00:00:00" u="1"/>
        <d v="1990-10-25T00:00:00" u="1"/>
        <d v="2001-11-20T00:00:00" u="1"/>
        <d v="1999-06-14T00:00:00" u="1"/>
        <d v="2003-04-07T00:00:00" u="1"/>
        <d v="1994-09-17T00:00:00" u="1"/>
        <d v="1993-03-05T00:00:00" u="1"/>
        <d v="1998-12-25T00:00:00" u="1"/>
        <d v="1994-12-29T00:00:00" u="1"/>
        <d v="1994-07-05T00:00:00" u="1"/>
        <d v="1987-10-25T00:00:00" u="1"/>
        <d v="1993-11-05T00:00:00" u="1"/>
        <d v="1992-08-26T00:00:00" u="1"/>
        <d v="1993-07-10T00:00:00" u="1"/>
        <d v="1976-05-11T00:00:00" u="1"/>
        <d v="1989-06-28T00:00:00" u="1"/>
        <d v="1996-05-20T00:00:00" u="1"/>
        <d v="2001-02-27T00:00:00" u="1"/>
        <d v="1990-01-13T00:00:00" u="1"/>
        <d v="2001-01-05T00:00:00" u="1"/>
        <d v="2001-01-25T00:00:00" u="1"/>
        <d v="1977-03-09T00:00:00" u="1"/>
        <d v="2002-09-03T00:00:00" u="1"/>
        <d v="1990-07-23T00:00:00" u="1"/>
        <d v="1999-01-15T00:00:00" u="1"/>
        <d v="1992-10-15T00:00:00" u="1"/>
        <d v="1981-11-24T00:00:00" u="1"/>
        <d v="1991-01-16T00:00:00" u="1"/>
        <d v="2023-07-20T00:00:00" u="1"/>
      </sharedItems>
    </cacheField>
    <cacheField name="DIRECCION" numFmtId="0">
      <sharedItems/>
    </cacheField>
    <cacheField name="COMUNA" numFmtId="0">
      <sharedItems count="52">
        <s v="San Pedro De La Paz"/>
        <s v="Los Ángeles"/>
        <s v="Chiguayante"/>
        <s v="Hualpén"/>
        <s v="Concepción"/>
        <s v="Talcahuano"/>
        <s v="Curico"/>
        <s v="Purranque"/>
        <s v="Lautaro"/>
        <s v="Conchali"/>
        <s v="El Carmen"/>
        <s v="Chillán"/>
        <s v="Lota"/>
        <s v="Penco"/>
        <s v="Los Álamos"/>
        <s v="Cañete"/>
        <s v="Coronel"/>
        <s v="Tome"/>
        <s v="Arauco"/>
        <s v="Chillán Viejo"/>
        <s v="Yumbel"/>
        <s v="Valdivia"/>
        <s v="Lebu"/>
        <s v="Temuco"/>
        <s v="Xxxxxx"/>
        <s v="Angol"/>
        <s v="Valle Escondido De Paicavi, Concepción" u="1"/>
        <s v="Colón 8185 Depto 208 B Parque Ligure Hualpén" u="1"/>
        <s v="Hualpen" u="1"/>
        <s v="El Carmen, Ñuble" u="1"/>
        <s v="Concepción .." u="1"/>
        <s v="Concepcion" u="1"/>
        <s v="Chillan" u="1"/>
        <s v="Los Angeles" u="1"/>
        <e v="#N/A" u="1"/>
        <s v="Los Alamos" u="1"/>
        <s v="Santa Juana" u="1"/>
        <s v="Coihueco" u="1"/>
        <s v="Diguillín" u="1"/>
        <s v="Biobío" u="1"/>
        <s v="Santiago" u="1"/>
        <s v="Osorno" u="1"/>
        <s v="Quilpue" u="1"/>
        <s v="Puerto Varas" u="1"/>
        <s v="Ñuñoa" u="1"/>
        <s v="4230000" u="1"/>
        <s v="Bio bio Los Ángeles" u="1"/>
        <s v="XXXXXXXX" u="1"/>
        <s v="Concepción." u="1"/>
        <s v="Chillan Viejo" u="1"/>
        <s v="San Pedro" u="1"/>
        <s v="Comncepción" u="1"/>
      </sharedItems>
    </cacheField>
    <cacheField name="TIPO_FONO" numFmtId="0">
      <sharedItems/>
    </cacheField>
    <cacheField name="FONO" numFmtId="0">
      <sharedItems count="370">
        <s v="+56933728882"/>
        <s v="+56946993024"/>
        <s v="+56956656604"/>
        <s v="+56932294127"/>
        <s v="+56940010332"/>
        <s v="+56956959880"/>
        <s v="+56933932949"/>
        <s v="+56974531813"/>
        <s v="+56964856859"/>
        <s v="+56949310990"/>
        <s v="+56957805108"/>
        <s v="+56953133620"/>
        <s v="+56982309761"/>
        <s v="+56969084323"/>
        <s v="+56934950948"/>
        <s v="+56965518943"/>
        <s v="+56988118402"/>
        <s v="+56989709230"/>
        <s v="+56995142816"/>
        <s v="+56973352622"/>
        <s v="+56997800817"/>
        <s v="+56951562182"/>
        <s v="+56965416672"/>
        <s v="+56966748869"/>
        <s v="+56946450576"/>
        <s v="+56971041512"/>
        <s v="+56954996048"/>
        <s v="+56934418140"/>
        <s v="+56985920688"/>
        <s v="+56973953441"/>
        <s v="+56988893472"/>
        <s v="+56971954811"/>
        <s v="+56954600260"/>
        <s v="+56950170657"/>
        <s v="+56978779116"/>
        <s v="+56999225725"/>
        <s v="+56942538502"/>
        <s v="+56966604575"/>
        <s v="+56936336569"/>
        <s v="+56950112060"/>
        <s v="+56978485507"/>
        <s v="+56981509663"/>
        <s v="+56933499983"/>
        <s v="+56933855952"/>
        <s v="+56984087831"/>
        <s v="+56978893177"/>
        <s v="+56920403606"/>
        <s v="+56990901635"/>
        <s v="+56977088145"/>
        <s v="+56944222693"/>
        <s v="+56991291269"/>
        <s v="+56958015932"/>
        <s v="+56975867205"/>
        <s v="+56972887651"/>
        <s v="+56944373252"/>
        <s v="+56964778314"/>
        <s v="+56934467257"/>
        <s v="+56971623617"/>
        <s v="+56949327487"/>
        <s v="+56957461773"/>
        <s v="+56967020262"/>
        <s v="+56944773131"/>
        <s v="+56957143597"/>
        <s v="+56993960099"/>
        <s v="+56995536960"/>
        <s v="+56934109286"/>
        <s v="+56954687949"/>
        <s v="+56954189051"/>
        <s v="+56937824627"/>
        <s v="+56957002094"/>
        <s v="+56994922124"/>
        <s v="+56941568452"/>
        <s v="+56996814332"/>
        <s v="+56975908017"/>
        <s v="+56994861311"/>
        <s v="+56947608082"/>
        <s v="+56926339785"/>
        <s v="+56968146979"/>
        <s v="+56990138737"/>
        <s v="+56988947281"/>
        <s v="+56967391936"/>
        <s v="+56993326025"/>
        <s v="+56987329470"/>
        <s v="+56983409835"/>
        <s v="+56978235800"/>
        <s v="+56962191513"/>
        <s v="+56966862742"/>
        <s v="+56999300814"/>
        <s v="+56974928049"/>
        <s v="+56992368169"/>
        <s v="+56977809683"/>
        <s v="+56993509234"/>
        <s v="+56948671716"/>
        <s v="+56987889287"/>
        <s v="+56967877580"/>
        <s v="+56977008466"/>
        <s v="+56956731068"/>
        <s v="+56942943701"/>
        <s v="+56985377591"/>
        <s v="+56965835382"/>
        <s v="+56952054822"/>
        <s v="+56940174341"/>
        <s v="+56950856213"/>
        <s v="+56989465054"/>
        <s v="+56957767911"/>
        <s v="+56990602354"/>
        <s v="+56979775151"/>
        <s v="+56958573099"/>
        <s v="+56990350961"/>
        <s v="+56966669088"/>
        <s v="+56977422201"/>
        <s v="+56978458127"/>
        <s v="+56956699258"/>
        <s v="+56997735872"/>
        <s v="+56988077917"/>
        <s v="+56999912803"/>
        <s v="+56956030526"/>
        <s v="+56957612676"/>
        <s v="+56995041101"/>
        <s v="+56996444971"/>
        <s v="+56962003621"/>
        <s v="+56995886415"/>
        <s v="+56964967222"/>
        <s v="+56961368501"/>
        <s v="+56949483106"/>
        <s v="+56981567659"/>
        <s v="+56964030087"/>
        <s v="+56973073309"/>
        <s v="+56973073235"/>
        <s v="+56961559967"/>
        <s v="+56969065236"/>
        <s v="+56953951030"/>
        <s v="+56982295437"/>
        <s v="+56962470347"/>
        <s v="+56945300995"/>
        <s v="+56975756741"/>
        <s v="+56933979124"/>
        <s v="+56939046628"/>
        <s v="+56974975657"/>
        <s v="+56940658180"/>
        <s v="+56982795248"/>
        <s v="±56976866115"/>
        <s v="+56945755832"/>
        <s v="+56998999503"/>
        <s v="+56944550102"/>
        <s v="+56952186469"/>
        <s v="+56965963744"/>
        <s v="+56926324484"/>
        <s v="+56944723273"/>
        <s v="+56953737037"/>
        <s v="+56971088769"/>
        <s v="+56933969452"/>
        <s v="+56976643685"/>
        <s v="+56996378248"/>
        <s v="+56999065330"/>
        <s v="+56997711144"/>
        <s v="+56998047156"/>
        <s v="+56974188677"/>
        <s v="+56973834520"/>
        <s v="+56973309179"/>
        <s v="+56981528180"/>
        <s v="+56957939592"/>
        <s v="+56966537314"/>
        <s v="+56949173132"/>
        <s v="+56935807934"/>
        <s v="+56977546707"/>
        <s v="+56941686052"/>
        <s v="+56978217655"/>
        <s v="+56964515907"/>
        <s v="+56976704907"/>
        <s v="+56978096807"/>
        <s v="+56998425807"/>
        <s v="+56999164403"/>
        <s v="+56986440986"/>
        <s v="+56942198380"/>
        <s v="+56920298323"/>
        <s v="+56934876772"/>
        <s v="+56971599609"/>
        <s v="+56951394372"/>
        <s v="+56945936163"/>
        <s v="+56940714170"/>
        <s v="+56989183192"/>
        <s v="+56957345251"/>
        <s v="+56951585457"/>
        <s v="+56920047215"/>
        <s v="+56990129371"/>
        <s v="+56987300867"/>
        <s v="+56926375827"/>
        <s v="+56990781445"/>
        <s v="+56995078893"/>
        <s v="+56998745724"/>
        <s v="+56992178581"/>
        <s v="+56996908157"/>
        <s v="+56984597052"/>
        <s v="+56948539347"/>
        <s v="+56963413456"/>
        <s v="+56954094654"/>
        <s v="+56933510891"/>
        <s v="+56921751597"/>
        <s v="+56973698952"/>
        <s v="+56942050953"/>
        <s v="+56937890998"/>
        <s v="+56977509011"/>
        <s v="+56933992361"/>
        <s v="+56977760821"/>
        <s v="+56969030061"/>
        <s v="+56957631673"/>
        <s v="+56998436978" u="1"/>
        <s v="+56922492767" u="1"/>
        <e v="#N/A" u="1"/>
        <s v="+56948502089" u="1"/>
        <s v="+56940411145" u="1"/>
        <s v="+56944565933" u="1"/>
        <s v="+56983705231" u="1"/>
        <s v="+56940294673" u="1"/>
        <s v="+56948758067" u="1"/>
        <s v="+56977676460" u="1"/>
        <s v="+56992997360" u="1"/>
        <s v="+56963574690" u="1"/>
        <s v="+56991317482" u="1"/>
        <s v="+56957452538" u="1"/>
        <s v="+56989793313" u="1"/>
        <s v="+56973926591" u="1"/>
        <s v="+56962258227" u="1"/>
        <s v="+56962197599" u="1"/>
        <s v="+56985731405" u="1"/>
        <s v="+56978990013" u="1"/>
        <s v="+56966483265" u="1"/>
        <s v="+56955878343" u="1"/>
        <s v="+56967523094" u="1"/>
        <s v="+56979542194" u="1"/>
        <s v="+56950544223" u="1"/>
        <s v="+56975270915" u="1"/>
        <s v="+56934197347" u="1"/>
        <s v="+56967570457" u="1"/>
        <s v="+56983948254" u="1"/>
        <s v="+56965412745" u="1"/>
        <s v="+56984805377" u="1"/>
        <s v="+56999315209" u="1"/>
        <s v="+56974030084" u="1"/>
        <s v="+56999954539" u="1"/>
        <s v="+56984220492" u="1"/>
        <s v="+56993119215" u="1"/>
        <s v="+56962231803" u="1"/>
        <s v="+56967979678" u="1"/>
        <s v="+56975507082" u="1"/>
        <s v="+56954034333" u="1"/>
        <s v="+56979277288" u="1"/>
        <s v="+56995382767" u="1"/>
        <s v="+56995002443" u="1"/>
        <s v="+56966991139" u="1"/>
        <s v="+56975698682" u="1"/>
        <s v="+56978889559" u="1"/>
        <s v="+56967012444" u="1"/>
        <s v="+56978973182" u="1"/>
        <s v="+56994238209" u="1"/>
        <s v="+56995372559" u="1"/>
        <s v="+56994923774" u="1"/>
        <s v="+56942423484" u="1"/>
        <s v="+56965666196" u="1"/>
        <s v="+56984037259" u="1"/>
        <s v="+56975700149" u="1"/>
        <s v="+56958702278" u="1"/>
        <s v="+56987524293" u="1"/>
        <s v="+56991459756" u="1"/>
        <s v="+56961860161" u="1"/>
        <s v="+56965574818" u="1"/>
        <s v="+56941597507" u="1"/>
        <s v="+56954226454" u="1"/>
        <s v="+56957543812" u="1"/>
        <s v="+56945373141" u="1"/>
        <s v="+56984394188" u="1"/>
        <s v="+56982589007" u="1"/>
        <s v="+56930845190" u="1"/>
        <s v="+56972193288" u="1"/>
        <s v="+56999263385" u="1"/>
        <s v="+56954233812" u="1"/>
        <s v="+56973662306" u="1"/>
        <s v="+56984190714" u="1"/>
        <s v="+56944812165" u="1"/>
        <s v="+56985005982" u="1"/>
        <s v="+56945505949" u="1"/>
        <s v="+56942675217" u="1"/>
        <s v="+56996707322" u="1"/>
        <s v="+56975849127" u="1"/>
        <s v="+56977596165" u="1"/>
        <s v="+56983394704" u="1"/>
        <s v="+56942542374" u="1"/>
        <s v="+56963274213" u="1"/>
        <s v="+56982578273" u="1"/>
        <s v="+56967781316" u="1"/>
        <s v="+56965376101" u="1"/>
        <s v="+56974406728" u="1"/>
        <s v="+56979698081" u="1"/>
        <s v="+56945496701" u="1"/>
        <s v="+56976550402" u="1"/>
        <s v="+56965874999" u="1"/>
        <s v="+56991347345" u="1"/>
        <s v="+56969182156" u="1"/>
        <s v="+56967654089" u="1"/>
        <s v="+56413188835" u="1"/>
        <s v="+56948483954" u="1"/>
        <s v="+56949221101" u="1"/>
        <s v="+56973769692" u="1"/>
        <s v="+56966047708" u="1"/>
        <s v="+56988373806" u="1"/>
        <s v="+56936642878" u="1"/>
        <s v="+56950721713" u="1"/>
        <s v="+56982163556" u="1"/>
        <s v="+56945128026" u="1"/>
        <s v="+56931426996" u="1"/>
        <s v="+56938823362" u="1"/>
        <s v="+56993629545" u="1"/>
        <s v="+56976697498" u="1"/>
        <s v="+56967863799" u="1"/>
        <s v="+56968122431" u="1"/>
        <s v="+56957841843" u="1"/>
        <s v="+56930363129" u="1"/>
        <s v="+56971388683" u="1"/>
        <s v="+56954520909" u="1"/>
        <s v="+56976189394" u="1"/>
        <s v="+56986790601" u="1"/>
        <s v="+56983651502" u="1"/>
        <s v="+56995984057" u="1"/>
        <s v="+56941057104" u="1"/>
        <s v="+56992940863" u="1"/>
        <s v="+56930723834" u="1"/>
        <s v="+56966615531" u="1"/>
        <s v="+56933817708" u="1"/>
        <s v="+56956552231" u="1"/>
        <s v="+56956458058" u="1"/>
        <s v="+56957244868" u="1"/>
        <s v="+56950633418" u="1"/>
        <s v="+56992966019" u="1"/>
        <s v="+56987955454" u="1"/>
        <s v="+56981390927" u="1"/>
        <s v="+56965005138" u="1"/>
        <s v="+56973670634" u="1"/>
        <s v="+56982250856" u="1"/>
        <s v="+56992147123" u="1"/>
        <s v="+56982029010" u="1"/>
        <s v="+56931484319" u="1"/>
        <s v="+56954679316" u="1"/>
        <s v="+56976610672" u="1"/>
        <s v="+56966676938" u="1"/>
        <s v="+56992149942" u="1"/>
        <s v="+56977659856" u="1"/>
        <s v="+56984352733" u="1"/>
        <s v="+56966792632" u="1"/>
        <s v="+56966884073" u="1"/>
        <s v="+56959613219" u="1"/>
        <s v="+56982421304" u="1"/>
        <s v="+56993508234" u="1"/>
        <s v="+56952252453" u="1"/>
        <s v="+56958507396" u="1"/>
        <s v="+56957159264" u="1"/>
        <s v="+56948135663" u="1"/>
        <s v="+56983907394" u="1"/>
        <s v="+56962097835" u="1"/>
        <s v="+56975528084" u="1"/>
        <s v="+56952428211" u="1"/>
        <s v="+56992104200" u="1"/>
        <s v="+56991392212" u="1"/>
        <s v="+56964026648" u="1"/>
        <s v="+569 44565933" u="1"/>
        <s v="+569 83705231" u="1"/>
        <s v="±56995382767" u="1"/>
        <s v="Falta" u="1"/>
        <s v="+56 9 9500 2443" u="1"/>
        <s v="±56944812165" u="1"/>
      </sharedItems>
    </cacheField>
    <cacheField name="ROL" numFmtId="0">
      <sharedItems count="7">
        <s v="Participante"/>
        <s v="Formador(a)"/>
        <s v="Apoyo a Formadores"/>
        <s v="Equipo Organizador"/>
        <s v="Equipo de Servicio"/>
        <s v="Equipo de Salud"/>
        <e v="#N/A" u="1"/>
      </sharedItems>
    </cacheField>
    <cacheField name="GRUPO" numFmtId="0">
      <sharedItems count="80">
        <s v="Huilliche"/>
        <s v="Mahuidanche"/>
        <s v="San Ignacio de Loyola"/>
        <s v="Helen Keller"/>
        <s v="Rañileufu"/>
        <s v="Salesianos Concepción"/>
        <s v="Alfa Cruz"/>
        <s v="Nuestra señora del pilar"/>
        <s v="San Mateo"/>
        <s v="Aliwen kimün"/>
        <s v="Rucapeñihue"/>
        <s v="La Montaña"/>
        <s v="Sagrados Corazones"/>
        <s v="Santa Bárbara"/>
        <s v="Espíritu Santo"/>
        <s v="Sagrada Familia"/>
        <s v="San Bartolomé"/>
        <s v="San Francisco"/>
        <s v="Santa Cecilia"/>
        <s v="Namuncura"/>
        <s v="Inmaculada Concepción de Talcahuano"/>
        <s v="Salesiano"/>
        <s v="Monte Kenya"/>
        <s v="Comisión rama golondrina"/>
        <s v="Equipo Nacional"/>
        <s v="Buen Pastor"/>
        <s v="Equipo distrital biobio"/>
        <s v="Programas internacionales y especiales"/>
        <s v="Pehuen"/>
        <s v="La Asunción"/>
        <s v="Manutara"/>
        <s v="Liceo Alemán del Verbo Divino"/>
        <s v="San Vicente"/>
        <s v="San Sebastian"/>
        <s v="Tricolor Chileno"/>
        <s v="Peulla"/>
        <s v="PADRE ISMAEL CRUZ"/>
        <s v="Fresia Müller Ruiz"/>
        <s v="Alcatipay"/>
        <s v="Repudauken"/>
        <s v="Halcones Negros"/>
        <s v="Dr. Clemente Holzapfel"/>
        <s v="Terranova"/>
        <s v="Santa María"/>
        <s v="Enrique Valdebenito"/>
        <s v="Andalien"/>
        <s v="Equipo Zonal"/>
        <s v="Buena Aventura"/>
        <s v="La Ascensión" u="1"/>
        <s v="Grupo Guías y Scout San Mateo, Osorno" u="1"/>
        <s v="San Mateo Osorno" u="1"/>
        <s v="San Francisco - Ñuble" u="1"/>
        <s v="GRUPO PADRE ISMAEL CRUZ" u="1"/>
        <s v="San Francisco De Chillán" u="1"/>
        <s v="Terranova Zona Ñuble" u="1"/>
        <s v="San bartolome" u="1"/>
        <s v="San Bartolomé de Chillán" u="1"/>
        <s v="San Bartolomé, Chillan" u="1"/>
        <s v="San Bartolomé, Chillán" u="1"/>
        <s v="San Bartolomé Chillán" u="1"/>
        <e v="#N/A" u="1"/>
        <s v="San Pablo" u="1"/>
        <s v="Sin grupo" u="1"/>
        <s v="Rosa de los Vientos" u="1"/>
        <s v="San Bernardo" u="1"/>
        <s v="Weni Mapu" u="1"/>
        <s v="Registro Individual" u="1"/>
        <s v="Madres Dominicas" u="1"/>
        <s v="Catiray" u="1"/>
        <s v="Equipo nacional de salud" u="1"/>
        <s v="Individual" u="1"/>
        <s v="Santa Inés Valdivia" u="1"/>
        <s v="Universidad Austral Valdivia" u="1"/>
        <s v="Santa Inés" u="1"/>
        <s v="Comisión Golondrinas" u="1"/>
        <s v="Lemu Inalaf" u="1"/>
        <s v="Madres Dominicas de Concepción" u="1"/>
        <s v="Zona unidistrital Ñuble" u="1"/>
        <s v="San vicente Chillan" u="1"/>
        <s v="San Vicente, Chillán" u="1"/>
      </sharedItems>
    </cacheField>
    <cacheField name="RAMA_CURSO" numFmtId="0">
      <sharedItems count="10">
        <s v="Guias"/>
        <s v="Pioneros"/>
        <s v="Caminantes"/>
        <s v="Lobatos"/>
        <s v="Scouts"/>
        <s v="Golondrinas"/>
        <s v="Equipo Organizador"/>
        <e v="#N/A" u="1"/>
        <s v="Equipo de Salud" u="1"/>
        <s v="Equipo de Servicio" u="1"/>
      </sharedItems>
    </cacheField>
    <cacheField name="DISTRITO" numFmtId="0">
      <sharedItems count="24">
        <s v="Nahuelbuta"/>
        <s v="Biobío"/>
        <s v="Concepción"/>
        <s v="Talcahuano - Hualpén"/>
        <s v="Rio Andalién"/>
        <s v="Zona Maule"/>
        <s v="Zona Los Lagos"/>
        <s v="Zona La Frontera"/>
        <s v="Zona Ñuble"/>
        <s v="Equipo Zonal"/>
        <s v="Equipo Nacional"/>
        <s v="Zona de los Rios"/>
        <s v="Los Rios"/>
        <s v="Talcahuano" u="1"/>
        <s v="Maule" u="1"/>
        <s v="Osorno, Zona Los Lagos" u="1"/>
        <s v="La Frontera" u="1"/>
        <s v="Osorno" u="1"/>
        <e v="#N/A" u="1"/>
        <s v="Ñuble" u="1"/>
        <s v="Nacional" u="1"/>
        <s v="Los Rioas" u="1"/>
        <s v="Valdivia" u="1"/>
        <s v="Macul" u="1"/>
      </sharedItems>
    </cacheField>
    <cacheField name="ALIMENTACION" numFmtId="0">
      <sharedItems count="4">
        <s v="Alimentación Tradicional"/>
        <s v="Sin Almuerzo"/>
        <s v="Alimentación Vegetariana"/>
        <s v="Alimentación para Celiac@s"/>
      </sharedItems>
    </cacheField>
    <cacheField name="ALERGIA_ENFERMEDAD" numFmtId="0">
      <sharedItems count="45">
        <s v="Ninguna"/>
        <s v="Alergia a las nueces"/>
        <s v="Alergica a la Penicilina e Ibuprofeno"/>
        <s v="Lactosa"/>
        <s v="Intolerancia a la lactosa"/>
        <s v="Gentamicina y ciprofloxacino"/>
        <s v="Intolerancia a Lactosa"/>
        <s v="Alergia a Penicilina e insectos"/>
        <s v="a la dipirona"/>
        <s v="Alergia al huevo"/>
        <s v="Hipertensión, alergia a la lidocaina"/>
        <s v="Mariscos"/>
        <s v="Frutos secos"/>
        <s v="Intolerancia a la lactosa, alergia al cerdo, alergia leche en polvo"/>
        <s v="Alimentaria: Intoterancia a la lactosa, apio, coco, nueces. Medicamentos: pseudoefedrina, ranitidina, ciprofloxacino, penicilina, clorfenamina, prednisona.  Otras: yodo.,"/>
        <s v="Anemia ferropenica. Hiperlordosis lumbar."/>
        <s v="Huevo frito, huevo revuelto, huevo pochado"/>
        <s v="alergia al diclofenaco"/>
        <s v="El Latex y metales"/>
        <s v="Epilepsia"/>
        <s v="Alergia a los productos del mar, excepto pescados"/>
        <s v="Diabetes - Hipertensión - Colesterol Alto"/>
        <s v="Morrón/Pimentón"/>
        <s v="Alergia a los mariscos y asma"/>
        <s v="Miel"/>
        <s v="Asulfa"/>
        <s v="MIGRAÑA CRONICA"/>
        <s v="sulfa"/>
        <s v="Hipertensa , alérgica a la penicilina y al picante (ají )"/>
        <s v="Ácido clavulánico"/>
        <s v="Intolerante a la lactosa"/>
        <s v="Alergia Al pasto"/>
        <s v="Alérgica a la penicilina"/>
        <s v="ambiental, polvo, gatos"/>
        <s v="Cotrimoxazol y amoxicilina"/>
        <s v="Tomate crudo"/>
        <s v="Hipotiroidismo"/>
        <s v="Resistencia a la Insulina"/>
        <s v="Pasto, polvo"/>
        <s v="alergia a los mariscos"/>
        <s v="ácaros, pastos"/>
        <s v="Síndrome de kartagener"/>
        <s v="Asma"/>
        <s v="Sin Lactosa"/>
        <s v="Al diclofenaco y ketoprofeno"/>
      </sharedItems>
    </cacheField>
    <cacheField name="LIMITACION" numFmtId="0">
      <sharedItems count="19">
        <s v="Ninguna"/>
        <s v="Movilidad poco limitada"/>
        <s v="Asma"/>
        <s v="No lo sé"/>
        <s v="Subluxación patelofemoral ambas rodillas"/>
        <s v="Movilidad poco limitada, Artrosis, ruptura de meniscos, discopatía"/>
        <s v="Movilidad poco limitada, Rotura Masiva del manguito rotador"/>
        <s v="Embarazo"/>
        <e v="#N/A" u="1"/>
        <s v="Movilidad medio limitada" u="1"/>
        <s v="Problemas a la espalda" u="1"/>
        <s v="rodilla y hombro derechos con lesiones crónicas" u="1"/>
        <s v="Lesiones crónicas en rodilla izquierda y hombro derecho" u="1"/>
        <s v="No considero que él asma sea una limitación física para mi" u="1"/>
        <s v="Operación brazo izquierdo" u="1"/>
        <s v="Asma, Movilidad poco limitada" u="1"/>
        <s v="Ninguna," u="1"/>
        <s v="Dificultad en subir escaleras" u="1"/>
        <s v="Asma, asma controlada con puf de salbutamol" u="1"/>
      </sharedItems>
    </cacheField>
    <cacheField name="EMERGENCIA" numFmtId="0">
      <sharedItems/>
    </cacheField>
    <cacheField name="EXTRA" numFmtId="0">
      <sharedItems/>
    </cacheField>
    <cacheField name="FICHA_MEDICA" numFmtId="0">
      <sharedItems/>
    </cacheField>
    <cacheField name="NIVEL" numFmtId="0">
      <sharedItems/>
    </cacheField>
    <cacheField name="NUMERO_MMAA" numFmtId="0">
      <sharedItems/>
    </cacheField>
    <cacheField name="RAMA_NIVEL_MEDIO" numFmtId="0">
      <sharedItems/>
    </cacheField>
    <cacheField name="RAMA_NIVEL_AVANZADO" numFmtId="0">
      <sharedItems/>
    </cacheField>
    <cacheField name="FORMADOR" numFmtId="0">
      <sharedItems/>
    </cacheField>
    <cacheField name="HABIL_I" numFmtId="0">
      <sharedItems/>
    </cacheField>
    <cacheField name="HABIL_II" numFmtId="0">
      <sharedItems/>
    </cacheField>
    <cacheField name="VERIFICADOR" numFmtId="0">
      <sharedItems/>
    </cacheField>
    <cacheField name="INSTITUCIONAL" numFmtId="0">
      <sharedItems/>
    </cacheField>
    <cacheField name="CUENTA" numFmtId="0">
      <sharedItems containsSemiMixedTypes="0" containsString="0" containsNumber="1" containsInteger="1" minValue="1" maxValue="1"/>
    </cacheField>
    <cacheField name="AVISADO" numFmtId="0">
      <sharedItems containsBlank="1" count="11">
        <s v="SI"/>
        <s v="SI - Anulado"/>
        <s v="SI - En Espera" u="1"/>
        <m u="1"/>
        <s v="SI - Asignado" u="1"/>
        <s v="En Espera" u="1"/>
        <s v="SI - Email" u="1"/>
        <s v="SI -  Pendiente" u="1"/>
        <s v="NO" u="1"/>
        <s v="SI - Pendiente" u="1"/>
        <s v="ESPERA" u="1"/>
      </sharedItems>
    </cacheField>
    <cacheField name="ESTADO" numFmtId="0">
      <sharedItems containsBlank="1" count="7">
        <s v="Vigente"/>
        <s v="NO Vigente"/>
        <s v="En Espera" u="1"/>
        <s v="Falta Pago" u="1"/>
        <s v="Sobrecupo" u="1"/>
        <m u="1"/>
        <e v="#N/A" u="1"/>
      </sharedItems>
    </cacheField>
    <cacheField name="TRANSPORTE" numFmtId="0">
      <sharedItems containsNonDate="0" containsString="0" containsBlank="1"/>
    </cacheField>
    <cacheField name="MARCA_VEHICULO" numFmtId="0">
      <sharedItems/>
    </cacheField>
    <cacheField name="MODELO_VEHICULO" numFmtId="0">
      <sharedItems/>
    </cacheField>
    <cacheField name="PATENTE_VEHICULO" numFmtId="0">
      <sharedItems/>
    </cacheField>
    <cacheField name="NECESITA_CAMA" numFmtId="0">
      <sharedItems containsBlank="1" count="3">
        <s v="No"/>
        <s v="SI"/>
        <m u="1"/>
      </sharedItems>
    </cacheField>
    <cacheField name="CONFIRMA_CAMA" numFmtId="0">
      <sharedItems containsBlank="1" count="4">
        <s v="No"/>
        <s v="SI"/>
        <s v="Por Confirmar" u="1"/>
        <m u="1"/>
      </sharedItems>
    </cacheField>
    <cacheField name="PAGA_CUOTA" numFmtId="164">
      <sharedItems containsSemiMixedTypes="0" containsString="0" containsNumber="1" containsInteger="1" minValue="-1" maxValue="55000" count="16">
        <n v="50000"/>
        <n v="0"/>
        <n v="36500"/>
        <n v="15000"/>
        <n v="-1"/>
        <n v="20000"/>
        <n v="6000"/>
        <n v="35000" u="1"/>
        <n v="55000" u="1"/>
        <n v="45000" u="1"/>
        <n v="25000" u="1"/>
        <n v="40000" u="1"/>
        <n v="23000" u="1"/>
        <n v="30000" u="1"/>
        <n v="38000" u="1"/>
        <n v="33500" u="1"/>
      </sharedItems>
    </cacheField>
    <cacheField name="REGISTRO" numFmtId="0">
      <sharedItems containsBlank="1" count="6">
        <s v="SI"/>
        <s v="NO Vigente"/>
        <s v="NO"/>
        <s v="Falta" u="1"/>
        <m u="1"/>
        <s v="ANULADO" u="1"/>
      </sharedItems>
    </cacheField>
    <cacheField name="ACREDITADO" numFmtId="0">
      <sharedItems containsBlank="1" count="4">
        <s v="Si"/>
        <s v="No"/>
        <s v="Por Confirmar" u="1"/>
        <m u="1"/>
      </sharedItems>
    </cacheField>
    <cacheField name="OBSERVACION" numFmtId="0">
      <sharedItems containsBlank="1"/>
    </cacheField>
    <cacheField name="CARGO_VIGENTE" numFmtId="0">
      <sharedItems containsNonDate="0" containsBlank="1" count="12">
        <m/>
        <s v="Participante" u="1"/>
        <s v="Formador(a)" u="1"/>
        <s v="Director(a) Curso" u="1"/>
        <s v="CZ de Voluntariado" u="1"/>
        <s v="CZ  de Administración" u="1"/>
        <s v="CZ de Operaciones" u="1"/>
        <s v="Director(a) Zonal" u="1"/>
        <s v="CZ de Comunicaciones y RR.II." u="1"/>
        <s v="Apoyo Salud" u="1"/>
        <s v="Apoyo Operaciones" u="1"/>
        <s v="CZ de Rama" u="1"/>
      </sharedItems>
    </cacheField>
    <cacheField name="DOMINIO" numFmtId="0">
      <sharedItems count="9">
        <s v="@gmail.com"/>
        <s v="@uandresbello.edu"/>
        <s v="@virginiogomez.cl"/>
        <s v="@guiasyscoutschile.cl"/>
        <s v="@hotmail.com"/>
        <e v="#N/A" u="1"/>
        <s v="@udd.cl" u="1"/>
        <s v="@mmddconcepcion.cl" u="1"/>
        <s v="@enfermeria.ucsc.cl" u="1"/>
      </sharedItems>
    </cacheField>
    <cacheField name="EDAD" numFmtId="0">
      <sharedItems containsMixedTypes="1" containsNumber="1" containsInteger="1" minValue="0" maxValue="0" count="34">
        <s v="31"/>
        <s v="24"/>
        <s v="23"/>
        <s v="25"/>
        <s v="35"/>
        <s v="22"/>
        <s v="19"/>
        <s v="40"/>
        <s v="20"/>
        <s v="45"/>
        <s v="36"/>
        <s v="34"/>
        <s v="21"/>
        <s v="30"/>
        <s v="38"/>
        <s v="26"/>
        <s v="27"/>
        <s v="39"/>
        <s v="28"/>
        <s v="42"/>
        <s v="37"/>
        <s v="52"/>
        <s v="51"/>
        <s v="46"/>
        <s v="47"/>
        <s v="43"/>
        <s v="44"/>
        <s v="29"/>
        <s v="55"/>
        <s v="33"/>
        <s v="57"/>
        <s v="49"/>
        <s v="18"/>
        <n v="0" u="1"/>
      </sharedItems>
    </cacheField>
    <cacheField name="PROFESION" numFmtId="0">
      <sharedItems count="132">
        <s v="Psicóloga"/>
        <s v="Enfermera"/>
        <s v="Estudiante"/>
        <s v="Estudiante de enfermeria"/>
        <s v="Profesora de Biología"/>
        <s v="Estudiante de enfermería"/>
        <s v="Comunicador Audiovisual"/>
        <s v="Tens"/>
        <s v="Ingeniero en maquinaria pesada y vehículos automotrices"/>
        <s v="Diseñadora gráfica"/>
        <s v="Contadora"/>
        <s v="Estudiante de biologia"/>
        <s v="No tengo, soy estudiante"/>
        <s v="Ingeniero Civil en Informática"/>
        <s v="Profesora media en matemática"/>
        <s v="Estudiante de derecho"/>
        <s v="No tengo"/>
        <s v="No aplica"/>
        <s v="Carabinero"/>
        <s v="Ingeniera civil industrial"/>
        <s v="Publicidad, Fotógrafa"/>
        <s v="Kinesióloga"/>
        <s v="Profesor de matemáticas"/>
        <s v="Kinesiologa"/>
        <s v="Estudiante de Trabajo Social"/>
        <s v="Estudiante universitaria"/>
        <s v="Estudiante Medicina Veterinaria"/>
        <s v="Nutricionista"/>
        <s v="Tecnico parvulo"/>
        <s v="Ingeniería civil informática"/>
        <s v="profesora"/>
        <s v="Estudiante universitario"/>
        <s v="Técnico en enfermería y estudiando ingeniería en administración de empresas"/>
        <s v="Profesora de Educación Diferencial"/>
        <s v="Cosmetóloga"/>
        <s v="Gastronomo"/>
        <s v="Educadora de parvulos"/>
        <s v="Estudiante de Psicología"/>
        <s v="Bachiller en Comunicación"/>
        <s v="Administrador en ecoturismo"/>
        <s v="Artesana"/>
        <s v="estudiante de ingeniería comercial"/>
        <s v="ingeniero en finanzas-tesorero"/>
        <s v="Técnico en Educación Especial"/>
        <s v="T.U AGROPECUARIA"/>
        <s v="Estudiante de obstetricia"/>
        <s v="Estudiante de Terapia Ocupacional"/>
        <s v="Prevencionista de riesgos"/>
        <s v="ninguna"/>
        <s v="Ing en biotecnologia vegetal"/>
        <s v="Ingeniero de Ejecución en Mecánica"/>
        <s v="Ingeniero Ambiental"/>
        <s v="Ingeniero en Computación e Informática"/>
        <s v="Ingeniero Civil Industrial"/>
        <s v="Ingeniero Geomático"/>
        <s v="Psicólogo"/>
        <s v="Enfermero"/>
        <s v="Psicóloga - Tecnico en Adm de Empresas"/>
        <s v="Educadora de párvulos"/>
        <s v="Licenciado en Ciencias Forestales"/>
        <s v="tecnico en construccion"/>
        <s v="Estudiante en trabajo social"/>
        <s v="Ingeniero Civil Electrónico"/>
        <s v="Geofisico"/>
        <s v="Estudiante de arquitectura"/>
        <s v="Bioquímico"/>
        <s v="Nutricionista Clínica"/>
        <s v="Kinesiologo"/>
        <s v="Estudiante de Kinesiología"/>
        <s v="Ingeniera en Administración"/>
        <s v="Ingeniero Constructor"/>
        <s v="Profesor de Educación Media en Matemática"/>
        <s v="INGENIERO COMERCIAL - INGENIERO DE EJECUCIÓN EN ADMINISTRACIÓN DE EMPRESAS"/>
        <s v="cosmetologa"/>
        <s v="Estudiante de Medicina Veterinaria"/>
        <s v="Guardia de seguridad"/>
        <s v="Ing. Experto Prevencion de Riesgos"/>
        <s v="Mg en Actividad física y deporte adaptado, profesora de Educación Física"/>
        <s v="Tens y podóloga"/>
        <s v="Profesora de Historia y Geografía"/>
        <s v="Estudiante de Geología"/>
        <s v="Estudiante de nutrición y dietética"/>
        <s v="Químico"/>
        <s v="Estudiante de ingeniería civil industrial"/>
        <s v="Tecnico mecanicoen mantencion industrial"/>
        <s v="Estudiante arquitectura"/>
        <s v="TEC. EN ENFERMERIA"/>
        <s v="Profesora de Ingles"/>
        <s v="Podologa"/>
        <s v="Electricista"/>
        <s v="Ingeniera en Biotecnología"/>
        <s v="No tengo todavía, soy estudiante"/>
        <s v="conductor de municipalidad"/>
        <s v="estudiate"/>
        <s v="Tec. en educación parvularia y primer ciclo de enseñanza básica"/>
        <s v="Piloto de Marina Mercante"/>
        <s v="-"/>
        <s v="Estudiante Psicologia"/>
        <s v="Profesora de Artes Visuales"/>
        <s v="Ingeniero en recursos naturales"/>
        <s v="Profesora en formación de educación diferencial"/>
        <s v="Administrador Gastronomico"/>
        <s v="Profesora de matemática"/>
        <s v="Ingeniero informático"/>
        <s v="Ingeniera Ambiental"/>
        <s v="Chef"/>
        <s v="Desempleado"/>
        <s v="ingeniero en Maderas"/>
        <s v="Sociologa"/>
        <s v="Fonoaudióloga"/>
        <s v="Estudiante de Ingeniería Civil"/>
        <s v="Independiente"/>
        <s v="Terapeuta Ocupacional"/>
        <s v="Profesor de Matemática"/>
        <s v="Ing.de Ejecución en Administración"/>
        <s v="estudiantes universitario"/>
        <s v="constructor"/>
        <s v="Sin profesión"/>
        <s v="Estudiante educación superior"/>
        <s v="Ingeniero Civil Químico"/>
        <s v="Estudiante de psicopedagogia"/>
        <s v="Estudiante Bioquímica"/>
        <s v="XXXXXX"/>
        <s v="Tecnóloga Médica"/>
        <s v="Ingeniera Informática"/>
        <s v="mueblista"/>
        <s v="Contador Auditor"/>
        <s v="Odontología"/>
        <s v="Arquitecto"/>
        <s v="Auxiliar"/>
        <s v="Estudiante Geofísica"/>
        <s v="TÉCNICO EN ADMINISTRACIÓN"/>
      </sharedItems>
    </cacheField>
    <cacheField name="TIEMPO_NNAJ" numFmtId="0">
      <sharedItems count="63">
        <s v="3 años"/>
        <s v="Desde los 12 años hasta los 20 aprox (8 años aprox)"/>
        <s v="8 años"/>
        <s v="No fui MMBB"/>
        <s v="5 años"/>
        <s v="7 años"/>
        <s v="Desde los 9 a 21 años"/>
        <s v="7 años aprox"/>
        <s v="8 años y 4 meses"/>
        <s v="6 años"/>
        <s v="No"/>
        <s v="14 años aprox"/>
        <s v="11 años"/>
        <s v="3 meses"/>
        <s v="0"/>
        <s v="12 años"/>
        <s v="Fui beneficiario 9 años"/>
        <s v="10 años"/>
        <s v="9 años"/>
        <s v="2 años"/>
        <s v="2 años y medio"/>
        <s v="13 años"/>
        <s v="15 años"/>
        <s v="8 años aprox"/>
        <s v="No fui beneficiaria"/>
        <s v="5 años y medio"/>
        <s v="+10 años"/>
        <s v="Marzo 2011 a enero 2024"/>
        <s v="aprox 8-9 años"/>
        <s v="Alrededor de 2 años"/>
        <s v="Diez años"/>
        <s v="No fui beneficiario"/>
        <s v="4"/>
        <s v="no lo fui"/>
        <s v="4 años"/>
        <s v="6"/>
        <s v="10"/>
        <s v="9"/>
        <s v="ninguno"/>
        <s v="0 años"/>
        <s v="de los 7 en lobatos hasta la ruta 19 años"/>
        <s v="14 años"/>
        <s v="Aprox 16 años"/>
        <s v="SI, 14 AÑOS"/>
        <s v="8"/>
        <s v=" No fui beneficiario"/>
        <s v="De bandada a ruta"/>
        <s v="10años"/>
        <s v="12años"/>
        <s v="3 a 4 años"/>
        <s v="10 años fui beneficiaria"/>
        <s v="16 años"/>
        <s v="Ingresé en 2006, no recuerdo hasta cuando"/>
        <s v="2 años aproximadamente"/>
        <s v="11 años aproximadamente."/>
        <s v="13"/>
        <s v="1 año"/>
        <s v="10 años como beneficiario"/>
        <s v="12"/>
        <s v="0 años."/>
        <s v="XXXXXX"/>
        <s v="Si, 1 año"/>
        <s v="Si"/>
      </sharedItems>
    </cacheField>
    <cacheField name="TIEMPO_ADULTO" numFmtId="0">
      <sharedItems count="90">
        <s v="1 año"/>
        <s v="Solo lo que llevo trabajando como asistente de compañia, por mi profesión, no."/>
        <s v="10"/>
        <s v="5 Meses"/>
        <s v="2 años"/>
        <s v="0"/>
        <s v="2 años y 5 meses"/>
        <s v="2años"/>
        <s v="Como dirigente: 2 meses. En otras actividades: 5 años"/>
        <s v="Este año y algunos voluntariados cortos"/>
        <s v="3"/>
        <s v="6 años"/>
        <s v="1 año y medio"/>
        <s v="14 años"/>
        <s v="4 años"/>
        <s v="Meses"/>
        <s v="8 años"/>
        <s v="No Aplica"/>
        <s v="3 años"/>
        <s v="5 años"/>
        <s v="4 meses"/>
        <s v="13"/>
        <s v="Desde marzo de 2025- Este semestre"/>
        <s v="2 años y medio"/>
        <s v="1 año y un semestre"/>
        <s v="Casi 2 años"/>
        <s v="2 años (este será mi cuarto semestre)"/>
        <s v="Trabajo de un año y hasta la fecha en voluntario de psicología"/>
        <s v="1 año y 6 meses"/>
        <s v="1 semestre y medio"/>
        <s v="8 años fundacion integra, rucapeñihue lobatos  4 meses"/>
        <s v="1 mes"/>
        <s v="13 años"/>
        <s v="+ 1 año"/>
        <s v="10 años"/>
        <s v="1 año 2 meses"/>
        <s v="aprox un año y medio"/>
        <s v="No"/>
        <s v="Nunca"/>
        <s v="Si, he trabajo con NNAJ como dirigente Scout durante 2 años"/>
        <s v="3 meses"/>
        <s v="."/>
        <s v="9 años"/>
        <s v="3.5 años"/>
        <s v="2 años 2meses"/>
        <s v="Trabaje uña año en Bandada y dos en Manada"/>
        <s v="6 meses"/>
        <s v="2 meses"/>
        <s v="2"/>
        <s v="9"/>
        <s v="24 años"/>
        <s v="5"/>
        <s v="25 años"/>
        <s v="30 añoa"/>
        <s v="-"/>
        <s v="7 años"/>
        <s v="BANDADA 6 MESES, COMPAÑÍA 6 MESES, MANADA 1 AÑO Y MEDIO, CLAN 1 AÑO"/>
        <s v="6"/>
        <s v="34 años"/>
        <s v="3 años y medio"/>
        <s v="1 Años y 3 meses"/>
        <s v="1 año y 3 meses"/>
        <s v="3años"/>
        <s v="5 años (otras act fuera del movimiento)"/>
        <s v="9 meses"/>
        <s v="22 años"/>
        <s v="4 años y 3 meses"/>
        <s v="Sólo he trabajo en scout con niños y ha sido por 3 años"/>
        <s v="12 años"/>
        <s v="los meses que llevo siendo guiadora, tres veces por semana"/>
        <s v="1año y 6 meses"/>
        <s v="Tuve años que trabajé intermitente (no recuerdo años ni periodos) regresé de vuelta de pandemia en 2022"/>
        <s v="Mas de un año"/>
        <s v=" 2 años siendo dirigente, y durante mi formacion universitaria."/>
        <s v="1 año y 2 meses"/>
        <s v="1 año y 2 mesea"/>
        <s v="7"/>
        <s v="1 semestre"/>
        <s v="los sabados"/>
        <s v="25"/>
        <s v="10 años en catequesis"/>
        <s v="10 años."/>
        <s v="20 años"/>
        <s v="XXXXXX"/>
        <s v="15 años"/>
        <s v="17 años"/>
        <s v="4 hrs los sabados"/>
        <s v="Como parte del movimiento 3 años, en otras actividades grupales, voluntariados, entre otros, desde los 15 años"/>
        <s v="15"/>
        <s v="1año"/>
      </sharedItems>
    </cacheField>
    <cacheField name="ESTADO_CIVIL" numFmtId="0">
      <sharedItems count="5">
        <s v="Conviviente Civil"/>
        <s v="Soltero(a)"/>
        <s v="Casado(a)"/>
        <s v="Viudo(a)"/>
        <s v="XXXXXX"/>
      </sharedItems>
    </cacheField>
    <cacheField name="RELIGION" numFmtId="0">
      <sharedItems count="14">
        <s v="Ninguna"/>
        <s v="Católica"/>
        <s v="Evangélica"/>
        <s v="Catolica"/>
        <s v="Catolicismo"/>
        <s v="catolico"/>
        <s v="Evangelica"/>
        <s v="Católico"/>
        <s v="cristiano"/>
        <s v="METODISTA"/>
        <s v="Cristiana evangélica"/>
        <s v="Pagana"/>
        <s v="Evangelico"/>
        <s v="XXXXXX"/>
      </sharedItems>
    </cacheField>
    <cacheField name="APODO" numFmtId="0">
      <sharedItems count="176">
        <s v="Andrea"/>
        <s v="Pame"/>
        <s v="Noe"/>
        <s v="Cata"/>
        <s v="Muriel"/>
        <s v="Ale"/>
        <s v="Golazo"/>
        <s v="MOAI"/>
        <s v="Herrera"/>
        <s v="Niko"/>
        <s v="Nacho"/>
        <s v="Carlita"/>
        <s v="Naty"/>
        <s v="Patito"/>
        <s v="Jose"/>
        <s v="Livio"/>
        <s v="Anny"/>
        <s v="Panxo"/>
        <s v="Seba"/>
        <s v="Elias"/>
        <s v="Teche"/>
        <s v="Marce"/>
        <s v="Morita"/>
        <s v="Lisbet"/>
        <s v="Kati"/>
        <s v="Anita"/>
        <s v="Anto R"/>
        <s v="Angela &quot;Ayeka&quot; Feijoo"/>
        <s v="Isi"/>
        <s v="JJ"/>
        <s v="Supremo Lider"/>
        <s v="Texias o Te-te"/>
        <s v="Sheward"/>
        <s v="Emi"/>
        <s v="Sofi M"/>
        <s v="Anto"/>
        <s v="Caro"/>
        <s v="Fer"/>
        <s v="Angela"/>
        <s v="AlvaroTole"/>
        <s v="Cami Guala"/>
        <s v="Neta"/>
        <s v="Santi"/>
        <s v="Berlan"/>
        <s v="Diego"/>
        <s v="Kathy"/>
        <s v="Pauly"/>
        <s v="Okta"/>
        <s v="Feña"/>
        <s v="Nicole"/>
        <s v="Nachita"/>
        <s v="CHIO ♪(๑ᴖ◡ᴖ๑)♪"/>
        <s v="Italo"/>
        <s v="Gaby"/>
        <s v="Miloo"/>
        <s v="Eriii"/>
        <s v="Martín"/>
        <s v="Rafa"/>
        <s v="Tomás"/>
        <s v="Vale"/>
        <s v="Kary"/>
        <s v="Alfredo"/>
        <s v="Alain"/>
        <s v="Paula"/>
        <s v="Yeye"/>
        <s v="Taly"/>
        <s v="Kari"/>
        <s v="Jocee"/>
        <s v="Waleska"/>
        <s v="Stefy"/>
        <s v="Pablo"/>
        <s v="Thiare"/>
        <s v="Reno"/>
        <s v="Coni mora"/>
        <s v="Aldo"/>
        <s v="Cris"/>
        <s v="Ivo B."/>
        <s v="Carlos"/>
        <s v="Alonsetee"/>
        <s v="Ori"/>
        <s v="Liseet"/>
        <s v="Titi"/>
        <s v="Cristian"/>
        <s v="Romi"/>
        <s v="Ismael"/>
        <s v="Braulio"/>
        <s v="luis, lucho"/>
        <s v="Cami"/>
        <s v="Antonia"/>
        <s v="Eric"/>
        <s v="Kazé(br1)"/>
        <s v="Sole"/>
        <s v="Francine"/>
        <s v="Daniela Bascur"/>
        <s v="Cote"/>
        <s v="Benllamon"/>
        <s v="Luna"/>
        <s v="Moni"/>
        <s v="Seba Rojas"/>
        <s v="MACA"/>
        <s v="Calee"/>
        <s v="Monse"/>
        <s v="ninguna"/>
        <s v="Alexis"/>
        <s v="Chivi"/>
        <s v="Carito"/>
        <s v="Andrés"/>
        <s v="Conita Donoso"/>
        <s v="Vivi"/>
        <s v="Pato"/>
        <s v="RodrigoFelipe"/>
        <s v="Javi"/>
        <s v="Cloudy"/>
        <s v="Gabris"/>
        <s v="Danii"/>
        <s v="Chichi"/>
        <s v="Barbi"/>
        <s v="José Antonio"/>
        <s v="Martu"/>
        <s v="Manu"/>
        <s v="Trini"/>
        <s v="GLORIA"/>
        <s v="Lucas"/>
        <s v="Tami ♥"/>
        <s v="Nadia"/>
        <s v="Ignacio"/>
        <s v="Jari"/>
        <s v="Dany"/>
        <s v="Tefi"/>
        <s v="dani sandoval"/>
        <s v="antonio"/>
        <s v="coni"/>
        <s v="Ayannís"/>
        <s v="Matías"/>
        <s v="Lorenzo"/>
        <s v="Rena"/>
        <s v="Babi"/>
        <s v="Benja."/>
        <s v="Vicente"/>
        <s v="Dauros"/>
        <s v="Felipe"/>
        <s v="Catita P."/>
        <s v="Liz"/>
        <s v="MatiHU"/>
        <s v="Remi"/>
        <s v="Fran"/>
        <s v="Rulis"/>
        <s v="Tobar"/>
        <s v="Coca"/>
        <s v="Aylin"/>
        <s v="Tío ponchito"/>
        <s v="Bruno"/>
        <s v="Penta"/>
        <s v="Pau"/>
        <s v="coni be"/>
        <s v="Jaimito"/>
        <s v="Pedro"/>
        <s v="Riffo"/>
        <s v="Miguel"/>
        <s v="Catalina"/>
        <s v="Nina"/>
        <s v="Clau"/>
        <s v="XXXXXX"/>
        <s v="Kishi"/>
        <s v="Fabián"/>
        <s v="Faby"/>
        <s v="Mayra"/>
        <s v="Belén Pino"/>
        <s v="Sagner"/>
        <s v="Cata G"/>
        <s v="Cami Cabrera"/>
        <s v="Vicho"/>
        <s v="Lucila"/>
        <s v="Ámbar"/>
        <s v="Cato"/>
        <s v="Gonsalo"/>
      </sharedItems>
    </cacheField>
    <cacheField name="MANUAL" numFmtId="0">
      <sharedItems/>
    </cacheField>
    <cacheField name="FECHA_HORA_INSCRITO" numFmtId="168">
      <sharedItems containsSemiMixedTypes="0" containsNonDate="0" containsDate="1" containsString="0" minDate="2025-05-01T00:00:00" maxDate="2025-06-19T10:32:03"/>
    </cacheField>
    <cacheField name="CURSO_INSTITUCIONAL" numFmtId="0">
      <sharedItems count="3">
        <s v="Presencial"/>
        <s v="NO"/>
        <s v="Online"/>
      </sharedItems>
    </cacheField>
  </cacheFields>
  <extLst>
    <ext xmlns:x14="http://schemas.microsoft.com/office/spreadsheetml/2009/9/main" uri="{725AE2AE-9491-48be-B2B4-4EB974FC3084}">
      <x14:pivotCacheDefinition pivotCacheId="1619521275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blo Pesce" refreshedDate="45842.549970949076" createdVersion="8" refreshedVersion="8" minRefreshableVersion="3" recordCount="128" xr:uid="{2C188FEC-DC06-4F8E-BE67-90914A7E824C}">
  <cacheSource type="worksheet">
    <worksheetSource name="T_Materiales"/>
  </cacheSource>
  <cacheFields count="9">
    <cacheField name="Rama" numFmtId="0">
      <sharedItems count="7">
        <s v="Golondrinas"/>
        <s v="Guias"/>
        <s v="Lobatos"/>
        <s v="Pioner@s"/>
        <s v="Scouts"/>
        <s v="Organizador"/>
        <s v="Caminantes"/>
      </sharedItems>
    </cacheField>
    <cacheField name="Tipo" numFmtId="0">
      <sharedItems count="62">
        <s v="Pliego Papelógrafo"/>
        <s v="Pegote"/>
        <s v="Plumón Permanente Negro"/>
        <s v="Plumón Permanente Verde"/>
        <s v="Plumón Permanente Azul"/>
        <s v="Tijera"/>
        <s v="Pegamento en Barra"/>
        <s v="Corchetera y Corchetes"/>
        <s v="Hoja Carta"/>
        <s v="Plumón Pizarra Azul"/>
        <s v="Plumón Pizarra Negro"/>
        <s v="Plumón Pizarra Rojo"/>
        <s v="Lapiz Pasta"/>
        <s v="Post IT 5 colores"/>
        <s v="Sobre Cartulina"/>
        <s v="Sobre Papel Entretenido"/>
        <s v="Set Plumón para Pintar"/>
        <s v="Dulces (100) Bolsa Grande"/>
        <s v="Pliego Cartulina Blanca Grande"/>
        <s v="Pliego Cartulina Color Azul Rey"/>
        <s v="Paquete Goma Eva Distinto Colores"/>
        <s v="Bandera de Golondrinas"/>
        <s v="Piola Bandera"/>
        <s v="Carpeta de Carton Azul Rey"/>
        <s v="Termoláminas (COMPRADAS)"/>
        <s v="Alargador Multiple"/>
        <s v="Bandera de Guias"/>
        <s v="Pliego Cartulina Cyan"/>
        <s v="Pliego Cartulina"/>
        <s v="Plumón Permanente Rojo"/>
        <s v="Borrador de pizarra "/>
        <s v="Perforadora "/>
        <s v="Parlante Pequeño"/>
        <s v="Rollo Lana"/>
        <s v="Caja Fósforo"/>
        <s v="Pote Pop Corn (Marco Polo - 250gr.)"/>
        <s v="Termoláminas 170 micrones"/>
        <s v="Block Dibujo Grande"/>
        <s v="Tempera Sólida 6 colores"/>
        <s v="Sobre Cartulina de Colores"/>
        <s v="Pliego Cartulina Amarilla"/>
        <s v="Pelota de Tennis"/>
        <s v="Cartonero"/>
        <s v="Tonner Impresora Canon LBP6000"/>
        <s v="Bandera de Lobatos"/>
        <s v="Cuerda 1 a 2 mts."/>
        <s v="Clips"/>
        <s v="Mini Imanes"/>
        <s v="Piola metros"/>
        <s v="Bandera de Pioneros"/>
        <s v="Globos"/>
        <s v="Bandera de Scouts"/>
        <s v="Tinta Botella Impresora"/>
        <s v="Vasos Plásticos"/>
        <s v="Paquete Elásticos"/>
        <s v="Cinta Adhesiva"/>
        <s v="Cuerda algodón 15 m"/>
        <s v="Tonner Impresora ?????" u="1"/>
        <s v="Termoláminas" u="1"/>
        <s v="Piola Bandera metros" u="1"/>
        <s v="Dulces (100)" u="1"/>
        <s v="Cuerda ?????" u="1"/>
      </sharedItems>
    </cacheField>
    <cacheField name="Descripción" numFmtId="0">
      <sharedItems/>
    </cacheField>
    <cacheField name="Cantidad" numFmtId="0">
      <sharedItems containsSemiMixedTypes="0" containsString="0" containsNumber="1" containsInteger="1" minValue="1" maxValue="3000"/>
    </cacheField>
    <cacheField name="Valor" numFmtId="42">
      <sharedItems containsSemiMixedTypes="0" containsString="0" containsNumber="1" containsInteger="1" minValue="0" maxValue="20000"/>
    </cacheField>
    <cacheField name="Total" numFmtId="42">
      <sharedItems containsSemiMixedTypes="0" containsString="0" containsNumber="1" containsInteger="1" minValue="0" maxValue="60000"/>
    </cacheField>
    <cacheField name="Entregado" numFmtId="0">
      <sharedItems containsString="0" containsBlank="1" containsNumber="1" containsInteger="1" minValue="1" maxValue="19"/>
    </cacheField>
    <cacheField name="Observación" numFmtId="0">
      <sharedItems containsBlank="1"/>
    </cacheField>
    <cacheField name="Total2" numFmtId="0" formula="Cantidad*Valo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m/>
    <x v="0"/>
    <s v="Almuerzo"/>
    <x v="0"/>
    <x v="0"/>
    <n v="34"/>
    <n v="0"/>
    <n v="34"/>
  </r>
  <r>
    <d v="2023-06-24T00:00:00"/>
    <x v="1"/>
    <s v="Desayuno"/>
    <x v="1"/>
    <x v="0"/>
    <n v="0"/>
    <n v="0"/>
    <n v="0"/>
  </r>
  <r>
    <d v="2023-06-24T00:00:00"/>
    <x v="1"/>
    <s v="Almuerzo"/>
    <x v="2"/>
    <x v="1"/>
    <n v="128"/>
    <n v="28"/>
    <n v="156"/>
  </r>
  <r>
    <m/>
    <x v="1"/>
    <s v="Almuerzo"/>
    <x v="3"/>
    <x v="2"/>
    <n v="17"/>
    <n v="0"/>
    <n v="17"/>
  </r>
  <r>
    <m/>
    <x v="1"/>
    <s v="Almuerzo"/>
    <x v="4"/>
    <x v="0"/>
    <n v="0"/>
    <n v="0"/>
    <n v="0"/>
  </r>
  <r>
    <m/>
    <x v="1"/>
    <s v="Almuerzo"/>
    <x v="5"/>
    <x v="1"/>
    <n v="1"/>
    <n v="0"/>
    <n v="1"/>
  </r>
  <r>
    <d v="2023-06-24T00:00:00"/>
    <x v="1"/>
    <s v="Once"/>
    <x v="1"/>
    <x v="0"/>
    <n v="0"/>
    <n v="0"/>
    <n v="0"/>
  </r>
  <r>
    <d v="2023-06-24T00:00:00"/>
    <x v="1"/>
    <s v="Cena"/>
    <x v="1"/>
    <x v="0"/>
    <n v="0"/>
    <n v="0"/>
    <n v="0"/>
  </r>
  <r>
    <m/>
    <x v="2"/>
    <s v="Desayuno"/>
    <x v="1"/>
    <x v="0"/>
    <n v="0"/>
    <n v="0"/>
    <n v="0"/>
  </r>
  <r>
    <m/>
    <x v="2"/>
    <s v="Almuerzo"/>
    <x v="2"/>
    <x v="3"/>
    <n v="128"/>
    <n v="28"/>
    <n v="156"/>
  </r>
  <r>
    <m/>
    <x v="2"/>
    <s v="Almuerzo"/>
    <x v="3"/>
    <x v="4"/>
    <n v="17"/>
    <n v="0"/>
    <n v="17"/>
  </r>
  <r>
    <m/>
    <x v="2"/>
    <s v="Almuerzo"/>
    <x v="4"/>
    <x v="0"/>
    <n v="0"/>
    <n v="0"/>
    <n v="0"/>
  </r>
  <r>
    <m/>
    <x v="2"/>
    <s v="Almuerzo"/>
    <x v="5"/>
    <x v="3"/>
    <n v="1"/>
    <n v="0"/>
    <n v="1"/>
  </r>
  <r>
    <m/>
    <x v="2"/>
    <s v="Once"/>
    <x v="1"/>
    <x v="0"/>
    <n v="0"/>
    <n v="0"/>
    <n v="0"/>
  </r>
  <r>
    <m/>
    <x v="2"/>
    <s v="Cena"/>
    <x v="1"/>
    <x v="0"/>
    <n v="0"/>
    <n v="0"/>
    <n v="0"/>
  </r>
  <r>
    <m/>
    <x v="3"/>
    <s v="Desayuno"/>
    <x v="1"/>
    <x v="0"/>
    <n v="0"/>
    <n v="0"/>
    <n v="0"/>
  </r>
  <r>
    <d v="2023-06-25T00:00:00"/>
    <x v="3"/>
    <s v="Almuerzo"/>
    <x v="2"/>
    <x v="5"/>
    <n v="128"/>
    <n v="28"/>
    <n v="156"/>
  </r>
  <r>
    <d v="2023-06-25T00:00:00"/>
    <x v="3"/>
    <s v="Almuerzo"/>
    <x v="3"/>
    <x v="6"/>
    <n v="17"/>
    <n v="0"/>
    <n v="17"/>
  </r>
  <r>
    <d v="2023-06-26T00:00:00"/>
    <x v="3"/>
    <s v="Almuerzo"/>
    <x v="4"/>
    <x v="0"/>
    <n v="0"/>
    <n v="0"/>
    <n v="0"/>
  </r>
  <r>
    <d v="2023-06-26T00:00:00"/>
    <x v="3"/>
    <s v="Almuerzo"/>
    <x v="5"/>
    <x v="7"/>
    <n v="1"/>
    <n v="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s v="18799920-0"/>
    <x v="0"/>
    <n v="20000"/>
    <n v="15000"/>
    <n v="15000"/>
    <n v="50000"/>
    <n v="1"/>
    <x v="0"/>
    <m/>
    <s v="+56933728882"/>
    <s v="Huilliche"/>
    <x v="0"/>
    <s v="Alimentación Tradicional"/>
  </r>
  <r>
    <s v="20677699-4"/>
    <x v="1"/>
    <n v="20000"/>
    <n v="15000"/>
    <n v="15000"/>
    <n v="50000"/>
    <n v="1"/>
    <x v="1"/>
    <m/>
    <s v="+56946993024"/>
    <s v="Mahuidanche"/>
    <x v="0"/>
    <s v="Alimentación Tradicional"/>
  </r>
  <r>
    <s v="20958325-9"/>
    <x v="2"/>
    <n v="20000"/>
    <n v="15000"/>
    <n v="15000"/>
    <n v="50000"/>
    <n v="1"/>
    <x v="2"/>
    <m/>
    <s v="+56956656604"/>
    <s v="San Ignacio de Loyola"/>
    <x v="0"/>
    <s v="Alimentación Tradicional"/>
  </r>
  <r>
    <s v="20259006-3"/>
    <x v="3"/>
    <n v="20000"/>
    <n v="15000"/>
    <n v="15000"/>
    <n v="50000"/>
    <n v="1"/>
    <x v="3"/>
    <m/>
    <s v="+56932294127"/>
    <s v="San Ignacio de Loyola"/>
    <x v="0"/>
    <s v="Alimentación Tradicional"/>
  </r>
  <r>
    <s v="17199729-1"/>
    <x v="4"/>
    <n v="20000"/>
    <n v="15000"/>
    <n v="15000"/>
    <n v="50000"/>
    <n v="1"/>
    <x v="4"/>
    <m/>
    <s v="+56940010332"/>
    <s v="Helen Keller"/>
    <x v="0"/>
    <s v="Alimentación Tradicional"/>
  </r>
  <r>
    <s v="21276054-4"/>
    <x v="5"/>
    <n v="20000"/>
    <n v="15000"/>
    <n v="15000"/>
    <n v="50000"/>
    <n v="1"/>
    <x v="5"/>
    <m/>
    <s v="+56956959880"/>
    <s v="San Ignacio de Loyola"/>
    <x v="0"/>
    <s v="Alimentación Tradicional"/>
  </r>
  <r>
    <s v="20447788-4"/>
    <x v="6"/>
    <n v="20000"/>
    <n v="15000"/>
    <n v="15000"/>
    <n v="50000"/>
    <n v="1"/>
    <x v="6"/>
    <m/>
    <s v="+56933932949"/>
    <s v="Mahuidanche"/>
    <x v="0"/>
    <s v="Alimentación Tradicional"/>
  </r>
  <r>
    <s v="20951673-K"/>
    <x v="7"/>
    <n v="20000"/>
    <n v="15000"/>
    <n v="15000"/>
    <n v="50000"/>
    <n v="1"/>
    <x v="7"/>
    <m/>
    <s v="+56974531813"/>
    <s v="Helen Keller"/>
    <x v="0"/>
    <s v="Alimentación Tradicional"/>
  </r>
  <r>
    <s v="20968446-2"/>
    <x v="8"/>
    <n v="0"/>
    <n v="0"/>
    <n v="0"/>
    <n v="0"/>
    <n v="1"/>
    <x v="8"/>
    <m/>
    <s v="+56964856859"/>
    <s v="Rañileufu"/>
    <x v="1"/>
    <s v="Alimentación Tradicional"/>
  </r>
  <r>
    <s v="21921293-3"/>
    <x v="9"/>
    <n v="20000"/>
    <n v="15000"/>
    <n v="15000"/>
    <n v="50000"/>
    <n v="1"/>
    <x v="9"/>
    <m/>
    <s v="+56949310990"/>
    <s v="Salesianos Concepción"/>
    <x v="0"/>
    <s v="Alimentación Tradicional"/>
  </r>
  <r>
    <s v="21304861-9"/>
    <x v="10"/>
    <n v="0"/>
    <n v="0"/>
    <n v="0"/>
    <n v="0"/>
    <n v="1"/>
    <x v="10"/>
    <m/>
    <s v="+56957805108"/>
    <s v="Alfa Cruz"/>
    <x v="1"/>
    <s v="Sin Almuerzo"/>
  </r>
  <r>
    <s v="21166830-K"/>
    <x v="11"/>
    <n v="20000"/>
    <n v="15000"/>
    <n v="15000"/>
    <n v="50000"/>
    <n v="1"/>
    <x v="11"/>
    <m/>
    <s v="+56953133620"/>
    <s v="Salesianos Concepción"/>
    <x v="0"/>
    <s v="Alimentación Tradicional"/>
  </r>
  <r>
    <s v="20757965-3"/>
    <x v="12"/>
    <n v="20000"/>
    <n v="15000"/>
    <n v="15000"/>
    <n v="50000"/>
    <n v="1"/>
    <x v="12"/>
    <m/>
    <s v="+56982309761"/>
    <s v="Nuestra señora del pilar"/>
    <x v="0"/>
    <s v="Alimentación Tradicional"/>
  </r>
  <r>
    <s v="16003635-4"/>
    <x v="13"/>
    <n v="20000"/>
    <n v="15000"/>
    <n v="15000"/>
    <n v="50000"/>
    <n v="1"/>
    <x v="13"/>
    <m/>
    <s v="+56969084323"/>
    <s v="Nuestra señora del pilar"/>
    <x v="0"/>
    <s v="Alimentación Tradicional"/>
  </r>
  <r>
    <s v="21727177-0"/>
    <x v="14"/>
    <n v="20000"/>
    <n v="15000"/>
    <n v="15000"/>
    <n v="50000"/>
    <n v="1"/>
    <x v="14"/>
    <m/>
    <s v="+56934950948"/>
    <s v="Salesianos Concepción"/>
    <x v="0"/>
    <s v="Alimentación Tradicional"/>
  </r>
  <r>
    <s v="21835332-0"/>
    <x v="15"/>
    <n v="20000"/>
    <n v="15000"/>
    <n v="15000"/>
    <n v="50000"/>
    <n v="1"/>
    <x v="15"/>
    <m/>
    <s v="+56965518943"/>
    <s v="Salesianos Concepción"/>
    <x v="0"/>
    <s v="Alimentación Vegetariana"/>
  </r>
  <r>
    <s v="13734880-2"/>
    <x v="16"/>
    <n v="0"/>
    <n v="0"/>
    <n v="0"/>
    <n v="0"/>
    <n v="1"/>
    <x v="16"/>
    <m/>
    <s v="+56988118402"/>
    <s v="San Mateo"/>
    <x v="1"/>
    <s v="Alimentación Tradicional"/>
  </r>
  <r>
    <s v="17220413-9"/>
    <x v="17"/>
    <n v="20000"/>
    <n v="15000"/>
    <n v="15000"/>
    <n v="50000"/>
    <n v="1"/>
    <x v="17"/>
    <m/>
    <s v="+56989709230"/>
    <s v="Aliwen kimün"/>
    <x v="0"/>
    <s v="Alimentación Tradicional"/>
  </r>
  <r>
    <s v="17349336-3"/>
    <x v="18"/>
    <n v="20000"/>
    <n v="15000"/>
    <n v="15000"/>
    <n v="50000"/>
    <n v="1"/>
    <x v="18"/>
    <m/>
    <s v="+56995142816"/>
    <s v="Rañileufu"/>
    <x v="0"/>
    <s v="Alimentación Tradicional"/>
  </r>
  <r>
    <s v="21359566-0"/>
    <x v="19"/>
    <n v="20000"/>
    <n v="16500"/>
    <n v="0"/>
    <n v="36500"/>
    <n v="1"/>
    <x v="19"/>
    <m/>
    <s v="+56973352622"/>
    <s v="Rucapeñihue"/>
    <x v="0"/>
    <s v="Sin Almuerzo"/>
  </r>
  <r>
    <s v="17199463-2"/>
    <x v="20"/>
    <n v="20000"/>
    <n v="15000"/>
    <n v="15000"/>
    <n v="50000"/>
    <n v="1"/>
    <x v="20"/>
    <m/>
    <s v="+56997800817"/>
    <s v="Rañileufu"/>
    <x v="0"/>
    <s v="Alimentación Tradicional"/>
  </r>
  <r>
    <s v="20488355-6"/>
    <x v="21"/>
    <n v="20000"/>
    <n v="16500"/>
    <n v="0"/>
    <n v="36500"/>
    <n v="1"/>
    <x v="21"/>
    <m/>
    <s v="+56951562182"/>
    <s v="Rucapeñihue"/>
    <x v="0"/>
    <s v="Sin Almuerzo"/>
  </r>
  <r>
    <s v="21631373-7"/>
    <x v="22"/>
    <n v="0"/>
    <n v="0"/>
    <n v="0"/>
    <n v="0"/>
    <n v="1"/>
    <x v="22"/>
    <m/>
    <s v="No Existe"/>
    <s v="No Existe"/>
    <x v="2"/>
    <s v="No Existe"/>
  </r>
  <r>
    <s v="20852142-K"/>
    <x v="23"/>
    <n v="20000"/>
    <n v="15000"/>
    <n v="15000"/>
    <n v="50000"/>
    <n v="1"/>
    <x v="23"/>
    <m/>
    <s v="+56966748869"/>
    <s v="La Montaña"/>
    <x v="0"/>
    <s v="Alimentación Tradicional"/>
  </r>
  <r>
    <s v="20648561-2"/>
    <x v="24"/>
    <n v="20000"/>
    <n v="15000"/>
    <n v="15000"/>
    <n v="50000"/>
    <n v="1"/>
    <x v="24"/>
    <m/>
    <s v="+56946450576"/>
    <s v="La Montaña"/>
    <x v="0"/>
    <s v="Alimentación Tradicional"/>
  </r>
  <r>
    <s v="18962018-7"/>
    <x v="25"/>
    <n v="20000"/>
    <n v="15000"/>
    <n v="15000"/>
    <n v="50000"/>
    <n v="1"/>
    <x v="25"/>
    <m/>
    <s v="+56971041512"/>
    <s v="Helen Keller"/>
    <x v="0"/>
    <s v="Alimentación Tradicional"/>
  </r>
  <r>
    <s v="21486862-8"/>
    <x v="26"/>
    <n v="20000"/>
    <n v="15000"/>
    <n v="15000"/>
    <n v="50000"/>
    <n v="1"/>
    <x v="26"/>
    <m/>
    <s v="+56954996048"/>
    <s v="La Montaña"/>
    <x v="0"/>
    <s v="Alimentación Tradicional"/>
  </r>
  <r>
    <s v="21861091-9"/>
    <x v="27"/>
    <n v="20000"/>
    <n v="15000"/>
    <n v="15000"/>
    <n v="50000"/>
    <n v="1"/>
    <x v="27"/>
    <m/>
    <s v="+56934418140"/>
    <s v="La Montaña"/>
    <x v="0"/>
    <s v="Alimentación Tradicional"/>
  </r>
  <r>
    <s v="16489970-5"/>
    <x v="28"/>
    <n v="20000"/>
    <n v="15000"/>
    <n v="15000"/>
    <n v="50000"/>
    <n v="1"/>
    <x v="28"/>
    <m/>
    <s v="+56985920688"/>
    <s v="Rañileufu"/>
    <x v="0"/>
    <s v="Alimentación Vegetariana"/>
  </r>
  <r>
    <s v="21537964-7"/>
    <x v="29"/>
    <n v="20000"/>
    <n v="15000"/>
    <n v="15000"/>
    <n v="50000"/>
    <n v="1"/>
    <x v="29"/>
    <m/>
    <s v="+56973953441"/>
    <s v="La Montaña"/>
    <x v="0"/>
    <s v="Alimentación Tradicional"/>
  </r>
  <r>
    <s v="19088730-8"/>
    <x v="30"/>
    <n v="20000"/>
    <n v="15000"/>
    <n v="15000"/>
    <n v="50000"/>
    <n v="1"/>
    <x v="30"/>
    <m/>
    <s v="+56988893472"/>
    <s v="Huilliche"/>
    <x v="0"/>
    <s v="Alimentación Tradicional"/>
  </r>
  <r>
    <s v="17641213-5"/>
    <x v="31"/>
    <n v="20000"/>
    <n v="15000"/>
    <n v="15000"/>
    <n v="50000"/>
    <n v="1"/>
    <x v="31"/>
    <m/>
    <s v="+56971954811"/>
    <s v="Huilliche"/>
    <x v="0"/>
    <s v="Alimentación Tradicional"/>
  </r>
  <r>
    <s v="18770447-2"/>
    <x v="32"/>
    <n v="0"/>
    <n v="0"/>
    <n v="0"/>
    <n v="0"/>
    <n v="1"/>
    <x v="32"/>
    <m/>
    <s v="+56954600260"/>
    <s v="La Montaña"/>
    <x v="1"/>
    <s v="Alimentación Tradicional"/>
  </r>
  <r>
    <s v="21748001-9"/>
    <x v="33"/>
    <n v="20000"/>
    <n v="16500"/>
    <n v="0"/>
    <n v="36500"/>
    <n v="1"/>
    <x v="33"/>
    <m/>
    <s v="+56950170657"/>
    <s v="Rucapeñihue"/>
    <x v="0"/>
    <s v="Sin Almuerzo"/>
  </r>
  <r>
    <s v="21261995-7"/>
    <x v="34"/>
    <n v="20000"/>
    <n v="15000"/>
    <n v="15000"/>
    <n v="50000"/>
    <n v="1"/>
    <x v="34"/>
    <m/>
    <s v="+56978779116"/>
    <s v="Sagrados Corazones"/>
    <x v="0"/>
    <s v="Alimentación Vegetariana"/>
  </r>
  <r>
    <s v="20021994-5"/>
    <x v="35"/>
    <n v="20000"/>
    <n v="16500"/>
    <n v="0"/>
    <n v="36500"/>
    <n v="1"/>
    <x v="35"/>
    <m/>
    <s v="+56999225725"/>
    <s v="Rucapeñihue"/>
    <x v="0"/>
    <s v="Sin Almuerzo"/>
  </r>
  <r>
    <s v="21098317-1"/>
    <x v="36"/>
    <n v="20000"/>
    <n v="15000"/>
    <n v="15000"/>
    <n v="50000"/>
    <n v="1"/>
    <x v="36"/>
    <m/>
    <s v="+56942538502"/>
    <s v="Sagrados Corazones"/>
    <x v="0"/>
    <s v="Alimentación Tradicional"/>
  </r>
  <r>
    <s v="21027384-0"/>
    <x v="37"/>
    <n v="20000"/>
    <n v="16500"/>
    <n v="0"/>
    <n v="36500"/>
    <n v="1"/>
    <x v="37"/>
    <m/>
    <s v="+56966604575"/>
    <s v="Rucapeñihue"/>
    <x v="0"/>
    <s v="Sin Almuerzo"/>
  </r>
  <r>
    <s v="19157712-4"/>
    <x v="38"/>
    <n v="20000"/>
    <n v="16500"/>
    <n v="0"/>
    <n v="36500"/>
    <n v="1"/>
    <x v="38"/>
    <m/>
    <s v="+56936336569"/>
    <s v="Rucapeñihue"/>
    <x v="0"/>
    <s v="Sin Almuerzo"/>
  </r>
  <r>
    <s v="21137969-3"/>
    <x v="39"/>
    <n v="20000"/>
    <n v="16500"/>
    <n v="0"/>
    <n v="36500"/>
    <n v="1"/>
    <x v="39"/>
    <m/>
    <s v="+56950112060"/>
    <s v="Rucapeñihue"/>
    <x v="0"/>
    <s v="Sin Almuerzo"/>
  </r>
  <r>
    <s v="19725767-9"/>
    <x v="40"/>
    <n v="20000"/>
    <n v="15000"/>
    <n v="15000"/>
    <n v="50000"/>
    <n v="1"/>
    <x v="40"/>
    <m/>
    <s v="+56978485507"/>
    <s v="La Montaña"/>
    <x v="0"/>
    <s v="Alimentación Vegetariana"/>
  </r>
  <r>
    <s v="21765475-0"/>
    <x v="41"/>
    <n v="20000"/>
    <n v="16500"/>
    <n v="0"/>
    <n v="36500"/>
    <n v="1"/>
    <x v="41"/>
    <m/>
    <s v="+56981509663"/>
    <s v="Rucapeñihue"/>
    <x v="0"/>
    <s v="Sin Almuerzo"/>
  </r>
  <r>
    <s v="21254120-6"/>
    <x v="42"/>
    <n v="20000"/>
    <n v="16500"/>
    <n v="0"/>
    <n v="36500"/>
    <n v="1"/>
    <x v="42"/>
    <m/>
    <s v="+56933499983"/>
    <s v="Rucapeñihue"/>
    <x v="0"/>
    <s v="Sin Almuerzo"/>
  </r>
  <r>
    <s v="21951620-7"/>
    <x v="43"/>
    <n v="20000"/>
    <n v="16500"/>
    <n v="0"/>
    <n v="36500"/>
    <n v="1"/>
    <x v="43"/>
    <m/>
    <s v="+56933855952"/>
    <s v="Rucapeñihue"/>
    <x v="0"/>
    <s v="Sin Almuerzo"/>
  </r>
  <r>
    <s v="17206911-8"/>
    <x v="44"/>
    <n v="0"/>
    <n v="0"/>
    <n v="0"/>
    <n v="0"/>
    <n v="1"/>
    <x v="44"/>
    <m/>
    <s v="+56984087831"/>
    <s v="Rucapeñihue"/>
    <x v="1"/>
    <s v="Sin Almuerzo"/>
  </r>
  <r>
    <s v="20019984-7"/>
    <x v="45"/>
    <n v="20000"/>
    <n v="16500"/>
    <n v="0"/>
    <n v="36500"/>
    <n v="1"/>
    <x v="45"/>
    <m/>
    <s v="+56978893177"/>
    <s v="Rucapeñihue"/>
    <x v="0"/>
    <s v="Sin Almuerzo"/>
  </r>
  <r>
    <s v="21698615-6"/>
    <x v="46"/>
    <n v="20000"/>
    <n v="15000"/>
    <n v="15000"/>
    <n v="50000"/>
    <n v="1"/>
    <x v="46"/>
    <m/>
    <s v="+56920403606"/>
    <s v="Santa Bárbara"/>
    <x v="0"/>
    <s v="Alimentación Tradicional"/>
  </r>
  <r>
    <s v="21006509-1"/>
    <x v="47"/>
    <n v="20000"/>
    <n v="16500"/>
    <n v="0"/>
    <n v="36500"/>
    <n v="1"/>
    <x v="47"/>
    <m/>
    <s v="+56990901635"/>
    <s v="Santa Bárbara"/>
    <x v="0"/>
    <s v="Sin Almuerzo"/>
  </r>
  <r>
    <s v="16139761-K"/>
    <x v="48"/>
    <n v="20000"/>
    <n v="15000"/>
    <n v="15000"/>
    <n v="50000"/>
    <n v="1"/>
    <x v="48"/>
    <m/>
    <s v="+56977088145"/>
    <s v="Huilliche"/>
    <x v="0"/>
    <s v="Alimentación Tradicional"/>
  </r>
  <r>
    <s v="20195612-9"/>
    <x v="49"/>
    <n v="20000"/>
    <n v="15000"/>
    <n v="15000"/>
    <n v="50000"/>
    <n v="1"/>
    <x v="49"/>
    <m/>
    <s v="+56944222693"/>
    <s v="San Ignacio de Loyola"/>
    <x v="0"/>
    <s v="Alimentación Tradicional"/>
  </r>
  <r>
    <s v="20921553-5"/>
    <x v="50"/>
    <n v="20000"/>
    <n v="15000"/>
    <n v="15000"/>
    <n v="50000"/>
    <n v="1"/>
    <x v="50"/>
    <m/>
    <s v="+56991291269"/>
    <s v="La Montaña"/>
    <x v="0"/>
    <s v="Alimentación Tradicional"/>
  </r>
  <r>
    <s v="19425691-4"/>
    <x v="51"/>
    <n v="20000"/>
    <n v="15000"/>
    <n v="15000"/>
    <n v="50000"/>
    <n v="1"/>
    <x v="51"/>
    <m/>
    <s v="+56958015932"/>
    <s v="Espíritu Santo"/>
    <x v="0"/>
    <s v="Alimentación Tradicional"/>
  </r>
  <r>
    <s v="19715480-2"/>
    <x v="52"/>
    <n v="20000"/>
    <n v="16500"/>
    <n v="0"/>
    <n v="36500"/>
    <n v="1"/>
    <x v="52"/>
    <m/>
    <s v="+56975867205"/>
    <s v="Sagrada Familia"/>
    <x v="0"/>
    <s v="Sin Almuerzo"/>
  </r>
  <r>
    <s v="21875658-1"/>
    <x v="53"/>
    <n v="20000"/>
    <n v="15000"/>
    <n v="15000"/>
    <n v="50000"/>
    <n v="1"/>
    <x v="53"/>
    <m/>
    <s v="+56972887651"/>
    <s v="La Montaña"/>
    <x v="0"/>
    <s v="Alimentación Tradicional"/>
  </r>
  <r>
    <s v="21239488-2"/>
    <x v="54"/>
    <n v="20000"/>
    <n v="16500"/>
    <n v="0"/>
    <n v="36500"/>
    <n v="1"/>
    <x v="54"/>
    <m/>
    <s v="+56944373252"/>
    <s v="Rucapeñihue"/>
    <x v="0"/>
    <s v="Sin Almuerzo"/>
  </r>
  <r>
    <s v="21591571-9"/>
    <x v="55"/>
    <n v="20000"/>
    <n v="16500"/>
    <n v="0"/>
    <n v="36500"/>
    <n v="1"/>
    <x v="55"/>
    <m/>
    <s v="+56964778314"/>
    <s v="San Bartolomé"/>
    <x v="0"/>
    <s v="Sin Almuerzo"/>
  </r>
  <r>
    <s v="21448774-8"/>
    <x v="56"/>
    <n v="20000"/>
    <n v="15000"/>
    <n v="15000"/>
    <n v="50000"/>
    <n v="1"/>
    <x v="56"/>
    <m/>
    <s v="+56934467257"/>
    <s v="Sagrada Familia"/>
    <x v="0"/>
    <s v="Alimentación Tradicional"/>
  </r>
  <r>
    <s v="18828110-9"/>
    <x v="57"/>
    <n v="0"/>
    <n v="0"/>
    <n v="0"/>
    <n v="0"/>
    <n v="1"/>
    <x v="57"/>
    <m/>
    <s v="+56971623617"/>
    <s v="Espíritu Santo"/>
    <x v="1"/>
    <s v="Alimentación Tradicional"/>
  </r>
  <r>
    <s v="21099023-2"/>
    <x v="58"/>
    <n v="20000"/>
    <n v="16500"/>
    <n v="0"/>
    <n v="36500"/>
    <n v="1"/>
    <x v="58"/>
    <m/>
    <s v="+56949327487"/>
    <s v="San Bartolomé"/>
    <x v="0"/>
    <s v="Sin Almuerzo"/>
  </r>
  <r>
    <s v="21338943-2"/>
    <x v="59"/>
    <n v="20000"/>
    <n v="15000"/>
    <n v="15000"/>
    <n v="50000"/>
    <n v="1"/>
    <x v="59"/>
    <m/>
    <s v="+56957461773"/>
    <s v="La Montaña"/>
    <x v="0"/>
    <s v="Alimentación Tradicional"/>
  </r>
  <r>
    <s v="21609731-9"/>
    <x v="60"/>
    <n v="20000"/>
    <n v="16500"/>
    <n v="0"/>
    <n v="36500"/>
    <n v="1"/>
    <x v="60"/>
    <m/>
    <s v="+56967020262"/>
    <s v="San Bartolomé"/>
    <x v="0"/>
    <s v="Sin Almuerzo"/>
  </r>
  <r>
    <s v="21218725-9"/>
    <x v="61"/>
    <n v="20000"/>
    <n v="16500"/>
    <n v="0"/>
    <n v="36500"/>
    <n v="1"/>
    <x v="61"/>
    <m/>
    <s v="+56944773131"/>
    <s v="San Bartolomé"/>
    <x v="0"/>
    <s v="Sin Almuerzo"/>
  </r>
  <r>
    <s v="21721885-3"/>
    <x v="62"/>
    <n v="20000"/>
    <n v="16500"/>
    <n v="0"/>
    <n v="36500"/>
    <n v="1"/>
    <x v="62"/>
    <m/>
    <s v="+56957143597"/>
    <s v="San Bartolomé"/>
    <x v="0"/>
    <s v="Sin Almuerzo"/>
  </r>
  <r>
    <s v="21412999-K"/>
    <x v="63"/>
    <n v="20000"/>
    <n v="16500"/>
    <n v="0"/>
    <n v="36500"/>
    <n v="1"/>
    <x v="63"/>
    <m/>
    <s v="+56993960099"/>
    <s v="San Bartolomé"/>
    <x v="0"/>
    <s v="Sin Almuerzo"/>
  </r>
  <r>
    <s v="20618777-8"/>
    <x v="64"/>
    <n v="20000"/>
    <n v="16500"/>
    <n v="0"/>
    <n v="36500"/>
    <n v="1"/>
    <x v="64"/>
    <m/>
    <s v="+56995536960"/>
    <s v="Sagrada Familia"/>
    <x v="0"/>
    <s v="Sin Almuerzo"/>
  </r>
  <r>
    <s v="21540865-5"/>
    <x v="65"/>
    <n v="20000"/>
    <n v="16500"/>
    <n v="0"/>
    <n v="36500"/>
    <n v="1"/>
    <x v="65"/>
    <m/>
    <s v="+56934109286"/>
    <s v="Sagrada Familia"/>
    <x v="0"/>
    <s v="Sin Almuerzo"/>
  </r>
  <r>
    <s v="15206532-9"/>
    <x v="66"/>
    <n v="20000"/>
    <n v="15000"/>
    <n v="15000"/>
    <n v="50000"/>
    <n v="1"/>
    <x v="66"/>
    <m/>
    <s v="+56954687949"/>
    <s v="Mahuidanche"/>
    <x v="0"/>
    <s v="Alimentación Tradicional"/>
  </r>
  <r>
    <s v="21437691-1"/>
    <x v="67"/>
    <n v="20000"/>
    <n v="16500"/>
    <n v="0"/>
    <n v="36500"/>
    <n v="1"/>
    <x v="67"/>
    <m/>
    <s v="+56954189051"/>
    <s v="Rucapeñihue"/>
    <x v="0"/>
    <s v="Sin Almuerzo"/>
  </r>
  <r>
    <s v="20000855-3"/>
    <x v="68"/>
    <n v="20000"/>
    <n v="15000"/>
    <n v="15000"/>
    <n v="50000"/>
    <n v="1"/>
    <x v="68"/>
    <m/>
    <s v="+56937824627"/>
    <s v="San Francisco"/>
    <x v="0"/>
    <s v="Alimentación Tradicional"/>
  </r>
  <r>
    <s v="21089732-1"/>
    <x v="69"/>
    <n v="20000"/>
    <n v="15000"/>
    <n v="15000"/>
    <n v="50000"/>
    <n v="1"/>
    <x v="69"/>
    <m/>
    <s v="+56957002094"/>
    <s v="Salesianos Concepción"/>
    <x v="0"/>
    <s v="Alimentación Tradicional"/>
  </r>
  <r>
    <s v="16009047-2"/>
    <x v="70"/>
    <n v="20000"/>
    <n v="15000"/>
    <n v="15000"/>
    <n v="50000"/>
    <n v="1"/>
    <x v="70"/>
    <m/>
    <s v="+56994922124"/>
    <s v="Santa Cecilia"/>
    <x v="0"/>
    <s v="Alimentación Tradicional"/>
  </r>
  <r>
    <s v="18947308-7"/>
    <x v="71"/>
    <n v="20000"/>
    <n v="15000"/>
    <n v="15000"/>
    <n v="50000"/>
    <n v="1"/>
    <x v="71"/>
    <m/>
    <s v="+56941568452"/>
    <s v="Namuncura"/>
    <x v="0"/>
    <s v="Alimentación Tradicional"/>
  </r>
  <r>
    <s v="22098684-5"/>
    <x v="72"/>
    <n v="20000"/>
    <n v="15000"/>
    <n v="15000"/>
    <n v="50000"/>
    <n v="1"/>
    <x v="72"/>
    <m/>
    <s v="+56996814332"/>
    <s v="Sagrada Familia"/>
    <x v="0"/>
    <s v="Alimentación Tradicional"/>
  </r>
  <r>
    <s v="21125989-2"/>
    <x v="73"/>
    <n v="20000"/>
    <n v="15000"/>
    <n v="15000"/>
    <n v="50000"/>
    <n v="1"/>
    <x v="73"/>
    <m/>
    <s v="+56975908017"/>
    <s v="Sagrada Familia"/>
    <x v="0"/>
    <s v="Alimentación Tradicional"/>
  </r>
  <r>
    <s v="15687768-9"/>
    <x v="74"/>
    <n v="0"/>
    <n v="0"/>
    <n v="0"/>
    <n v="0"/>
    <n v="1"/>
    <x v="74"/>
    <m/>
    <s v="+56994861311"/>
    <s v="San Mateo"/>
    <x v="1"/>
    <s v="Alimentación Tradicional"/>
  </r>
  <r>
    <s v="16774006-5"/>
    <x v="75"/>
    <n v="20000"/>
    <n v="16500"/>
    <n v="0"/>
    <n v="36500"/>
    <n v="1"/>
    <x v="75"/>
    <m/>
    <s v="+56947608082"/>
    <s v="Espíritu Santo"/>
    <x v="0"/>
    <s v="Sin Almuerzo"/>
  </r>
  <r>
    <s v="16139416-5"/>
    <x v="76"/>
    <n v="20000"/>
    <n v="15000"/>
    <n v="15000"/>
    <n v="50000"/>
    <n v="1"/>
    <x v="76"/>
    <m/>
    <s v="+56926339785"/>
    <s v="Espíritu Santo"/>
    <x v="0"/>
    <s v="Alimentación Tradicional"/>
  </r>
  <r>
    <s v="19736352-5"/>
    <x v="77"/>
    <n v="20000"/>
    <n v="15000"/>
    <n v="15000"/>
    <n v="50000"/>
    <n v="1"/>
    <x v="77"/>
    <m/>
    <s v="+56968146979"/>
    <s v="Mahuidanche"/>
    <x v="0"/>
    <s v="Alimentación Vegetariana"/>
  </r>
  <r>
    <s v="20623385-0"/>
    <x v="78"/>
    <n v="20000"/>
    <n v="15000"/>
    <n v="15000"/>
    <n v="50000"/>
    <n v="1"/>
    <x v="78"/>
    <m/>
    <s v="+56990138737"/>
    <s v="Santa Bárbara"/>
    <x v="0"/>
    <s v="Alimentación Tradicional"/>
  </r>
  <r>
    <s v="21065520-4"/>
    <x v="79"/>
    <n v="15000"/>
    <n v="0"/>
    <n v="0"/>
    <n v="15000"/>
    <n v="1"/>
    <x v="79"/>
    <m/>
    <s v="+56988947281"/>
    <s v="Mahuidanche"/>
    <x v="1"/>
    <s v="Alimentación Tradicional"/>
  </r>
  <r>
    <s v="19598321-6"/>
    <x v="80"/>
    <n v="20000"/>
    <n v="15000"/>
    <n v="15000"/>
    <n v="50000"/>
    <n v="1"/>
    <x v="80"/>
    <m/>
    <s v="+56967391936"/>
    <s v="Inmaculada Concepción de Talcahuano"/>
    <x v="0"/>
    <s v="Alimentación Tradicional"/>
  </r>
  <r>
    <s v="16765815-6"/>
    <x v="81"/>
    <n v="20000"/>
    <n v="15000"/>
    <n v="15000"/>
    <n v="50000"/>
    <n v="1"/>
    <x v="81"/>
    <m/>
    <s v="+56992368169"/>
    <s v="Huilliche"/>
    <x v="0"/>
    <s v="Alimentación Tradicional"/>
  </r>
  <r>
    <s v="12700415-3"/>
    <x v="82"/>
    <n v="20000"/>
    <n v="0"/>
    <n v="0"/>
    <n v="20000"/>
    <n v="1"/>
    <x v="82"/>
    <m/>
    <s v="+56977809683"/>
    <s v="Monte Kenya"/>
    <x v="1"/>
    <s v="Alimentación Tradicional"/>
  </r>
  <r>
    <s v="16490600-0"/>
    <x v="83"/>
    <n v="20000"/>
    <n v="15000"/>
    <n v="15000"/>
    <n v="50000"/>
    <n v="1"/>
    <x v="83"/>
    <m/>
    <s v="+56977008466"/>
    <s v="Helen Keller"/>
    <x v="0"/>
    <s v="Alimentación Tradicional"/>
  </r>
  <r>
    <s v="20823656-3"/>
    <x v="84"/>
    <n v="0"/>
    <n v="0"/>
    <n v="0"/>
    <n v="0"/>
    <n v="1"/>
    <x v="84"/>
    <m/>
    <s v="+56956731068"/>
    <s v="Rañileufu"/>
    <x v="1"/>
    <s v="Sin Almuerzo"/>
  </r>
  <r>
    <s v="21305751-0"/>
    <x v="85"/>
    <n v="20000"/>
    <n v="16500"/>
    <n v="0"/>
    <n v="36500"/>
    <n v="1"/>
    <x v="85"/>
    <m/>
    <s v="+56942943701"/>
    <s v="Rañileufu"/>
    <x v="0"/>
    <s v="Sin Almuerzo"/>
  </r>
  <r>
    <s v="19765737-5"/>
    <x v="86"/>
    <n v="0"/>
    <n v="0"/>
    <n v="0"/>
    <n v="0"/>
    <n v="1"/>
    <x v="86"/>
    <m/>
    <s v="+56965835382"/>
    <s v="Alfa Cruz"/>
    <x v="1"/>
    <s v="Sin Almuerzo"/>
  </r>
  <r>
    <s v="13387134-9"/>
    <x v="87"/>
    <n v="20000"/>
    <n v="15000"/>
    <n v="15000"/>
    <n v="50000"/>
    <n v="1"/>
    <x v="87"/>
    <m/>
    <s v="+56952054822"/>
    <s v="Buen Pastor"/>
    <x v="0"/>
    <s v="Alimentación Tradicional"/>
  </r>
  <r>
    <s v="20973166-5"/>
    <x v="88"/>
    <n v="20000"/>
    <n v="15000"/>
    <n v="15000"/>
    <n v="50000"/>
    <n v="1"/>
    <x v="88"/>
    <m/>
    <s v="+56940174341"/>
    <s v="San Ignacio de Loyola"/>
    <x v="0"/>
    <s v="Alimentación Vegetariana"/>
  </r>
  <r>
    <s v="20680877-2"/>
    <x v="89"/>
    <n v="20000"/>
    <n v="15000"/>
    <n v="15000"/>
    <n v="50000"/>
    <n v="1"/>
    <x v="89"/>
    <m/>
    <s v="+56957767911"/>
    <s v="Santa Cecilia"/>
    <x v="0"/>
    <s v="Alimentación Tradicional"/>
  </r>
  <r>
    <s v="16738221-5"/>
    <x v="90"/>
    <n v="0"/>
    <n v="0"/>
    <n v="0"/>
    <n v="0"/>
    <n v="1"/>
    <x v="90"/>
    <m/>
    <s v="+56990602354"/>
    <s v="Helen Keller"/>
    <x v="1"/>
    <s v="Alimentación Vegetariana"/>
  </r>
  <r>
    <s v="16898721-8"/>
    <x v="91"/>
    <n v="20000"/>
    <n v="15000"/>
    <n v="15000"/>
    <n v="50000"/>
    <n v="1"/>
    <x v="91"/>
    <m/>
    <s v="+56979775151"/>
    <s v="Helen Keller"/>
    <x v="0"/>
    <s v="Alimentación Tradicional"/>
  </r>
  <r>
    <s v="20020612-6"/>
    <x v="92"/>
    <n v="20000"/>
    <n v="15000"/>
    <n v="15000"/>
    <n v="50000"/>
    <n v="1"/>
    <x v="92"/>
    <m/>
    <s v="+56958573099"/>
    <s v="Pehuen"/>
    <x v="0"/>
    <s v="Alimentación Tradicional"/>
  </r>
  <r>
    <s v="18807829-K"/>
    <x v="93"/>
    <n v="20000"/>
    <n v="16500"/>
    <n v="0"/>
    <n v="36500"/>
    <n v="1"/>
    <x v="93"/>
    <m/>
    <s v="+56977422201"/>
    <s v="Manutara"/>
    <x v="0"/>
    <s v="Sin Almuerzo"/>
  </r>
  <r>
    <s v="19615529-5"/>
    <x v="94"/>
    <n v="20000"/>
    <n v="16500"/>
    <n v="0"/>
    <n v="36500"/>
    <n v="1"/>
    <x v="94"/>
    <m/>
    <s v="+56978458127"/>
    <s v="Manutara"/>
    <x v="0"/>
    <s v="Sin Almuerzo"/>
  </r>
  <r>
    <s v="21483687-4"/>
    <x v="95"/>
    <n v="20000"/>
    <n v="15000"/>
    <n v="15000"/>
    <n v="50000"/>
    <n v="1"/>
    <x v="95"/>
    <m/>
    <s v="+56956699258"/>
    <s v="San Bartolomé"/>
    <x v="0"/>
    <s v="Alimentación Vegetariana"/>
  </r>
  <r>
    <s v="19835330-2"/>
    <x v="96"/>
    <n v="6000"/>
    <n v="0"/>
    <n v="0"/>
    <n v="6000"/>
    <n v="1"/>
    <x v="96"/>
    <m/>
    <s v="+56997735872"/>
    <s v="Manutara"/>
    <x v="1"/>
    <s v="Sin Almuerzo"/>
  </r>
  <r>
    <s v="14028528-5"/>
    <x v="97"/>
    <n v="20000"/>
    <n v="15000"/>
    <n v="15000"/>
    <n v="50000"/>
    <n v="1"/>
    <x v="97"/>
    <m/>
    <s v="+56956030526"/>
    <s v="San Bartolomé"/>
    <x v="0"/>
    <s v="Alimentación Tradicional"/>
  </r>
  <r>
    <s v="19835395-7"/>
    <x v="98"/>
    <n v="20000"/>
    <n v="15000"/>
    <n v="15000"/>
    <n v="50000"/>
    <n v="1"/>
    <x v="98"/>
    <m/>
    <s v="+56957612676"/>
    <s v="La Asunción"/>
    <x v="0"/>
    <s v="Alimentación Tradicional"/>
  </r>
  <r>
    <s v="19834316-1"/>
    <x v="99"/>
    <n v="20000"/>
    <n v="15000"/>
    <n v="15000"/>
    <n v="50000"/>
    <n v="1"/>
    <x v="99"/>
    <m/>
    <s v="+56995041101"/>
    <s v="La Asunción"/>
    <x v="0"/>
    <s v="Alimentación Vegetariana"/>
  </r>
  <r>
    <s v="16764087-7"/>
    <x v="100"/>
    <n v="20000"/>
    <n v="16500"/>
    <n v="0"/>
    <n v="36500"/>
    <n v="1"/>
    <x v="100"/>
    <m/>
    <s v="+56996444971"/>
    <s v="Manutara"/>
    <x v="0"/>
    <s v="Sin Almuerzo"/>
  </r>
  <r>
    <s v="20949468-K"/>
    <x v="101"/>
    <n v="20000"/>
    <n v="15000"/>
    <n v="15000"/>
    <n v="50000"/>
    <n v="1"/>
    <x v="101"/>
    <m/>
    <s v="+56962003621"/>
    <s v="San Bartolomé"/>
    <x v="0"/>
    <s v="Alimentación Tradicional"/>
  </r>
  <r>
    <s v="21572281-3"/>
    <x v="102"/>
    <n v="0"/>
    <n v="0"/>
    <n v="0"/>
    <n v="0"/>
    <n v="1"/>
    <x v="102"/>
    <m/>
    <s v="+56964967222"/>
    <s v="San Bartolomé"/>
    <x v="1"/>
    <s v="Sin Almuerzo"/>
  </r>
  <r>
    <s v="21313286-5"/>
    <x v="103"/>
    <n v="20000"/>
    <n v="15000"/>
    <n v="15000"/>
    <n v="50000"/>
    <n v="1"/>
    <x v="103"/>
    <m/>
    <s v="+56961368501"/>
    <s v="San Sebastian"/>
    <x v="0"/>
    <s v="Alimentación Vegetariana"/>
  </r>
  <r>
    <s v="21252064-0"/>
    <x v="104"/>
    <n v="20000"/>
    <n v="16500"/>
    <n v="0"/>
    <n v="36500"/>
    <n v="1"/>
    <x v="104"/>
    <m/>
    <s v="+56949483106"/>
    <s v="San Bartolomé"/>
    <x v="0"/>
    <s v="Sin Almuerzo"/>
  </r>
  <r>
    <s v="12073270-6"/>
    <x v="105"/>
    <n v="20000"/>
    <n v="15000"/>
    <n v="15000"/>
    <n v="50000"/>
    <n v="1"/>
    <x v="105"/>
    <m/>
    <s v="+56981567659"/>
    <s v="Tricolor Chileno"/>
    <x v="0"/>
    <s v="Alimentación Tradicional"/>
  </r>
  <r>
    <s v="21129923-1"/>
    <x v="106"/>
    <n v="20000"/>
    <n v="15000"/>
    <n v="15000"/>
    <n v="50000"/>
    <n v="1"/>
    <x v="106"/>
    <m/>
    <s v="+56973073309"/>
    <s v="Sagrados Corazones"/>
    <x v="0"/>
    <s v="Alimentación Tradicional"/>
  </r>
  <r>
    <s v="20827682-4"/>
    <x v="107"/>
    <n v="20000"/>
    <n v="15000"/>
    <n v="15000"/>
    <n v="50000"/>
    <n v="1"/>
    <x v="107"/>
    <m/>
    <s v="+56973073235"/>
    <s v="Sagrados Corazones"/>
    <x v="0"/>
    <s v="Alimentación Tradicional"/>
  </r>
  <r>
    <s v="21388383-6"/>
    <x v="108"/>
    <n v="20000"/>
    <n v="15000"/>
    <n v="15000"/>
    <n v="50000"/>
    <n v="1"/>
    <x v="108"/>
    <m/>
    <s v="+56961559967"/>
    <s v="Sagrados Corazones"/>
    <x v="0"/>
    <s v="Alimentación Tradicional"/>
  </r>
  <r>
    <s v="20917350-6"/>
    <x v="109"/>
    <n v="0"/>
    <n v="0"/>
    <n v="0"/>
    <n v="0"/>
    <n v="1"/>
    <x v="109"/>
    <m/>
    <s v="+56969065236"/>
    <s v="Peulla"/>
    <x v="1"/>
    <s v="Sin Almuerzo"/>
  </r>
  <r>
    <s v="20911665-0"/>
    <x v="110"/>
    <n v="20000"/>
    <n v="15000"/>
    <n v="15000"/>
    <n v="50000"/>
    <n v="1"/>
    <x v="110"/>
    <m/>
    <s v="+56953951030"/>
    <s v="Santa Cecilia"/>
    <x v="0"/>
    <s v="Alimentación Tradicional"/>
  </r>
  <r>
    <s v="16037886-7"/>
    <x v="111"/>
    <n v="20000"/>
    <n v="15000"/>
    <n v="15000"/>
    <n v="50000"/>
    <n v="1"/>
    <x v="111"/>
    <m/>
    <s v="+56982295437"/>
    <s v="Manutara"/>
    <x v="0"/>
    <s v="Alimentación Tradicional"/>
  </r>
  <r>
    <s v="20983670-K"/>
    <x v="112"/>
    <n v="20000"/>
    <n v="15000"/>
    <n v="15000"/>
    <n v="50000"/>
    <n v="1"/>
    <x v="112"/>
    <m/>
    <s v="+56962470347"/>
    <s v="San Bartolomé"/>
    <x v="0"/>
    <s v="Alimentación Tradicional"/>
  </r>
  <r>
    <s v="21179860-2"/>
    <x v="113"/>
    <n v="20000"/>
    <n v="15000"/>
    <n v="15000"/>
    <n v="50000"/>
    <n v="1"/>
    <x v="113"/>
    <m/>
    <s v="+56945300995"/>
    <s v="Sagrados Corazones"/>
    <x v="0"/>
    <s v="Alimentación Tradicional"/>
  </r>
  <r>
    <s v="16229438-5"/>
    <x v="114"/>
    <n v="20000"/>
    <n v="15000"/>
    <n v="15000"/>
    <n v="50000"/>
    <n v="1"/>
    <x v="114"/>
    <m/>
    <s v="+56975756741"/>
    <s v="Tricolor Chileno"/>
    <x v="0"/>
    <s v="Alimentación Tradicional"/>
  </r>
  <r>
    <s v="21613232-7"/>
    <x v="115"/>
    <n v="0"/>
    <n v="0"/>
    <n v="0"/>
    <n v="0"/>
    <n v="1"/>
    <x v="115"/>
    <m/>
    <s v="+56933979124"/>
    <s v="San Bartolomé"/>
    <x v="1"/>
    <s v="Sin Almuerzo"/>
  </r>
  <r>
    <s v="21616122-K"/>
    <x v="116"/>
    <n v="20000"/>
    <n v="15000"/>
    <n v="15000"/>
    <n v="50000"/>
    <n v="1"/>
    <x v="116"/>
    <m/>
    <s v="+56939046628"/>
    <s v="Santa Cecilia"/>
    <x v="0"/>
    <s v="Alimentación Tradicional"/>
  </r>
  <r>
    <s v="18413346-6"/>
    <x v="117"/>
    <n v="20000"/>
    <n v="15000"/>
    <n v="15000"/>
    <n v="50000"/>
    <n v="1"/>
    <x v="117"/>
    <m/>
    <s v="+56974975657"/>
    <s v="Tricolor Chileno"/>
    <x v="0"/>
    <s v="Alimentación Tradicional"/>
  </r>
  <r>
    <s v="20913656-2"/>
    <x v="118"/>
    <n v="20000"/>
    <n v="15000"/>
    <n v="15000"/>
    <n v="50000"/>
    <n v="1"/>
    <x v="118"/>
    <m/>
    <s v="+56940658180"/>
    <s v="Peulla"/>
    <x v="0"/>
    <s v="Alimentación Tradicional"/>
  </r>
  <r>
    <s v="17869632-7"/>
    <x v="119"/>
    <n v="20000"/>
    <n v="15000"/>
    <n v="15000"/>
    <n v="50000"/>
    <n v="1"/>
    <x v="119"/>
    <m/>
    <s v="+56982795248"/>
    <s v="Mahuidanche"/>
    <x v="0"/>
    <s v="Alimentación Tradicional"/>
  </r>
  <r>
    <s v="14545408-5"/>
    <x v="120"/>
    <n v="20000"/>
    <n v="15000"/>
    <n v="15000"/>
    <n v="50000"/>
    <n v="1"/>
    <x v="120"/>
    <m/>
    <s v="±56976866115"/>
    <s v="Mahuidanche"/>
    <x v="0"/>
    <s v="Alimentación Tradicional"/>
  </r>
  <r>
    <s v="20114528-7"/>
    <x v="121"/>
    <n v="20000"/>
    <n v="15000"/>
    <n v="15000"/>
    <n v="50000"/>
    <n v="1"/>
    <x v="121"/>
    <m/>
    <s v="+56945755832"/>
    <s v="Mahuidanche"/>
    <x v="0"/>
    <s v="Alimentación Tradicional"/>
  </r>
  <r>
    <s v="21149119-1"/>
    <x v="122"/>
    <n v="0"/>
    <n v="0"/>
    <n v="0"/>
    <n v="0"/>
    <n v="1"/>
    <x v="122"/>
    <m/>
    <s v="+56998999503"/>
    <s v="Peulla"/>
    <x v="1"/>
    <s v="Sin Almuerzo"/>
  </r>
  <r>
    <s v="21467393-2"/>
    <x v="123"/>
    <n v="20000"/>
    <n v="15000"/>
    <n v="15000"/>
    <n v="50000"/>
    <n v="1"/>
    <x v="123"/>
    <m/>
    <s v="+56944550102"/>
    <s v="Mahuidanche"/>
    <x v="0"/>
    <s v="Alimentación Tradicional"/>
  </r>
  <r>
    <s v="16395741-8"/>
    <x v="124"/>
    <n v="20000"/>
    <n v="15000"/>
    <n v="15000"/>
    <n v="50000"/>
    <n v="1"/>
    <x v="124"/>
    <m/>
    <s v="+56952186469"/>
    <s v="Mahuidanche"/>
    <x v="0"/>
    <s v="Alimentación Tradicional"/>
  </r>
  <r>
    <s v="21130967-9"/>
    <x v="125"/>
    <n v="20000"/>
    <n v="15000"/>
    <n v="15000"/>
    <n v="50000"/>
    <n v="1"/>
    <x v="125"/>
    <m/>
    <s v="+56965963744"/>
    <s v="Sagrados Corazones"/>
    <x v="0"/>
    <s v="Alimentación Tradicional"/>
  </r>
  <r>
    <s v="20346662-5"/>
    <x v="126"/>
    <n v="20000"/>
    <n v="15000"/>
    <n v="15000"/>
    <n v="50000"/>
    <n v="1"/>
    <x v="126"/>
    <m/>
    <s v="+56926324484"/>
    <s v="PADRE ISMAEL CRUZ"/>
    <x v="0"/>
    <s v="Alimentación Tradicional"/>
  </r>
  <r>
    <s v="21262310-5"/>
    <x v="127"/>
    <n v="20000"/>
    <n v="15000"/>
    <n v="15000"/>
    <n v="50000"/>
    <n v="1"/>
    <x v="127"/>
    <m/>
    <s v="+56944723273"/>
    <s v="Sagrados Corazones"/>
    <x v="0"/>
    <s v="Alimentación Tradicional"/>
  </r>
  <r>
    <s v="12303496-1"/>
    <x v="128"/>
    <n v="20000"/>
    <n v="15000"/>
    <n v="15000"/>
    <n v="50000"/>
    <n v="1"/>
    <x v="128"/>
    <m/>
    <s v="+56953737037"/>
    <s v="Tricolor Chileno"/>
    <x v="0"/>
    <s v="Alimentación Tradicional"/>
  </r>
  <r>
    <s v="21044758-K"/>
    <x v="129"/>
    <n v="0"/>
    <n v="0"/>
    <n v="0"/>
    <n v="0"/>
    <n v="1"/>
    <x v="129"/>
    <m/>
    <s v="+56971088769"/>
    <s v="Sagrados Corazones"/>
    <x v="1"/>
    <s v="Alimentación Tradicional"/>
  </r>
  <r>
    <s v="18800211-0"/>
    <x v="130"/>
    <n v="0"/>
    <n v="0"/>
    <n v="0"/>
    <n v="0"/>
    <n v="1"/>
    <x v="130"/>
    <m/>
    <s v="+56933969452"/>
    <s v="Sagrada Familia"/>
    <x v="1"/>
    <s v="Alimentación Tradicional"/>
  </r>
  <r>
    <s v="20515958-4"/>
    <x v="131"/>
    <n v="0"/>
    <n v="0"/>
    <n v="0"/>
    <n v="0"/>
    <n v="1"/>
    <x v="131"/>
    <m/>
    <s v="+56976643685"/>
    <s v="Fresia Müller Ruiz"/>
    <x v="1"/>
    <s v="Alimentación Tradicional"/>
  </r>
  <r>
    <s v="21236548-3"/>
    <x v="132"/>
    <n v="0"/>
    <n v="0"/>
    <n v="0"/>
    <n v="0"/>
    <n v="1"/>
    <x v="132"/>
    <m/>
    <s v="+56996378248"/>
    <s v="Sagrados Corazones"/>
    <x v="1"/>
    <s v="Alimentación Tradicional"/>
  </r>
  <r>
    <s v="22060019-K"/>
    <x v="133"/>
    <n v="20000"/>
    <n v="15000"/>
    <n v="15000"/>
    <n v="50000"/>
    <n v="1"/>
    <x v="133"/>
    <m/>
    <s v="+56999065330"/>
    <s v="Tricolor Chileno"/>
    <x v="0"/>
    <s v="Alimentación Tradicional"/>
  </r>
  <r>
    <s v="19596163-8"/>
    <x v="134"/>
    <n v="20000"/>
    <n v="15000"/>
    <n v="15000"/>
    <n v="50000"/>
    <n v="1"/>
    <x v="134"/>
    <m/>
    <s v="+56998047156"/>
    <s v="La Asunción"/>
    <x v="0"/>
    <s v="Alimentación Tradicional"/>
  </r>
  <r>
    <s v="21198146-6"/>
    <x v="135"/>
    <n v="20000"/>
    <n v="15000"/>
    <n v="15000"/>
    <n v="50000"/>
    <n v="1"/>
    <x v="135"/>
    <m/>
    <s v="+56973834520"/>
    <s v="La Asunción"/>
    <x v="0"/>
    <s v="Alimentación Tradicional"/>
  </r>
  <r>
    <s v="21219951-6"/>
    <x v="136"/>
    <n v="20000"/>
    <n v="15000"/>
    <n v="15000"/>
    <n v="50000"/>
    <n v="1"/>
    <x v="136"/>
    <m/>
    <s v="+56973309179"/>
    <s v="La Asunción"/>
    <x v="0"/>
    <s v="Alimentación Tradicional"/>
  </r>
  <r>
    <s v="19808577-4"/>
    <x v="137"/>
    <n v="20000"/>
    <n v="15000"/>
    <n v="15000"/>
    <n v="50000"/>
    <n v="1"/>
    <x v="137"/>
    <m/>
    <s v="+56957939592"/>
    <s v="Santa Cecilia"/>
    <x v="0"/>
    <s v="Alimentación Tradicional"/>
  </r>
  <r>
    <s v="17040813-6"/>
    <x v="138"/>
    <n v="20000"/>
    <n v="15000"/>
    <n v="15000"/>
    <n v="50000"/>
    <n v="1"/>
    <x v="138"/>
    <m/>
    <s v="+56966537314"/>
    <s v="San Vicente"/>
    <x v="0"/>
    <s v="Alimentación Tradicional"/>
  </r>
  <r>
    <s v="21789622-3"/>
    <x v="139"/>
    <n v="0"/>
    <n v="0"/>
    <n v="0"/>
    <n v="0"/>
    <n v="1"/>
    <x v="139"/>
    <m/>
    <s v="+56949173132"/>
    <s v="Rucapeñihue"/>
    <x v="1"/>
    <s v="Alimentación Tradicional"/>
  </r>
  <r>
    <s v="21931418-3"/>
    <x v="140"/>
    <n v="20000"/>
    <n v="15000"/>
    <n v="15000"/>
    <n v="50000"/>
    <n v="1"/>
    <x v="140"/>
    <m/>
    <s v="+56935807934"/>
    <s v="Monte Kenya"/>
    <x v="0"/>
    <s v="Alimentación Tradicional"/>
  </r>
  <r>
    <s v="19336099-8"/>
    <x v="141"/>
    <n v="20000"/>
    <n v="15000"/>
    <n v="15000"/>
    <n v="50000"/>
    <n v="1"/>
    <x v="141"/>
    <m/>
    <s v="+56977546707"/>
    <s v="Sagrados Corazones"/>
    <x v="0"/>
    <s v="Alimentación Tradicional"/>
  </r>
  <r>
    <s v="20977871-8"/>
    <x v="142"/>
    <n v="20000"/>
    <n v="15000"/>
    <n v="15000"/>
    <n v="50000"/>
    <n v="1"/>
    <x v="142"/>
    <m/>
    <s v="+56941686052"/>
    <s v="La Asunción"/>
    <x v="0"/>
    <s v="Alimentación Tradicional"/>
  </r>
  <r>
    <s v="20727528-K"/>
    <x v="143"/>
    <n v="20000"/>
    <n v="15000"/>
    <n v="15000"/>
    <n v="50000"/>
    <n v="1"/>
    <x v="143"/>
    <m/>
    <s v="+56978217655"/>
    <s v="Sagrados Corazones"/>
    <x v="0"/>
    <s v="Alimentación Vegetariana"/>
  </r>
  <r>
    <s v="21216333-3"/>
    <x v="144"/>
    <n v="20000"/>
    <n v="15000"/>
    <n v="15000"/>
    <n v="50000"/>
    <n v="1"/>
    <x v="144"/>
    <m/>
    <s v="+56964515907"/>
    <s v="Sagrados Corazones"/>
    <x v="0"/>
    <s v="Alimentación Tradicional"/>
  </r>
  <r>
    <s v="20489410-8"/>
    <x v="145"/>
    <n v="20000"/>
    <n v="15000"/>
    <n v="15000"/>
    <n v="50000"/>
    <n v="1"/>
    <x v="145"/>
    <m/>
    <s v="+56976704907"/>
    <s v="Sagrados Corazones"/>
    <x v="0"/>
    <s v="Alimentación Vegetariana"/>
  </r>
  <r>
    <s v="14417326-0"/>
    <x v="146"/>
    <n v="20000"/>
    <n v="15000"/>
    <n v="15000"/>
    <n v="50000"/>
    <n v="1"/>
    <x v="146"/>
    <m/>
    <s v="+56998425807"/>
    <s v="Espíritu Santo"/>
    <x v="0"/>
    <s v="Alimentación Tradicional"/>
  </r>
  <r>
    <s v="18214617-K"/>
    <x v="147"/>
    <n v="20000"/>
    <n v="15000"/>
    <n v="15000"/>
    <n v="50000"/>
    <n v="1"/>
    <x v="147"/>
    <m/>
    <s v="+56999164403"/>
    <s v="Terranova"/>
    <x v="0"/>
    <s v="Alimentación Vegetariana"/>
  </r>
  <r>
    <s v="20992153-7"/>
    <x v="148"/>
    <n v="0"/>
    <n v="0"/>
    <n v="0"/>
    <n v="0"/>
    <n v="1"/>
    <x v="148"/>
    <m/>
    <s v="+56986440986"/>
    <s v="San Francisco"/>
    <x v="1"/>
    <s v="Alimentación Tradicional"/>
  </r>
  <r>
    <s v="16396404-K"/>
    <x v="149"/>
    <n v="20000"/>
    <n v="15000"/>
    <n v="15000"/>
    <n v="50000"/>
    <n v="1"/>
    <x v="149"/>
    <m/>
    <s v="+56942198380"/>
    <s v="Buen Pastor"/>
    <x v="0"/>
    <s v="Alimentación Tradicional"/>
  </r>
  <r>
    <s v="20375255-5"/>
    <x v="150"/>
    <n v="20000"/>
    <n v="15000"/>
    <n v="15000"/>
    <n v="50000"/>
    <n v="1"/>
    <x v="150"/>
    <m/>
    <s v="+56920298323"/>
    <s v="San Bartolomé"/>
    <x v="0"/>
    <s v="Alimentación Tradicional"/>
  </r>
  <r>
    <s v="21073153-9"/>
    <x v="151"/>
    <n v="20000"/>
    <n v="15000"/>
    <n v="15000"/>
    <n v="50000"/>
    <n v="1"/>
    <x v="151"/>
    <m/>
    <s v="+56934876772"/>
    <s v="Santa Cecilia"/>
    <x v="0"/>
    <s v="Alimentación Tradicional"/>
  </r>
  <r>
    <s v="19595070-9"/>
    <x v="152"/>
    <n v="20000"/>
    <n v="15000"/>
    <n v="15000"/>
    <n v="50000"/>
    <n v="1"/>
    <x v="152"/>
    <m/>
    <s v="+56971599609"/>
    <s v="Santa Cecilia"/>
    <x v="0"/>
    <s v="Alimentación Tradicional"/>
  </r>
  <r>
    <s v="16734885-8"/>
    <x v="153"/>
    <n v="20000"/>
    <n v="15000"/>
    <n v="15000"/>
    <n v="50000"/>
    <n v="1"/>
    <x v="153"/>
    <m/>
    <s v="+56951394372"/>
    <s v="San Vicente"/>
    <x v="0"/>
    <s v="Alimentación Tradicional"/>
  </r>
  <r>
    <s v="20999968-4"/>
    <x v="154"/>
    <n v="20000"/>
    <n v="16500"/>
    <n v="0"/>
    <n v="36500"/>
    <n v="1"/>
    <x v="154"/>
    <m/>
    <s v="+56945936163"/>
    <s v="Buen Pastor"/>
    <x v="0"/>
    <s v="Sin Almuerzo"/>
  </r>
  <r>
    <s v="12078390-4"/>
    <x v="155"/>
    <n v="0"/>
    <n v="0"/>
    <n v="0"/>
    <n v="0"/>
    <n v="1"/>
    <x v="155"/>
    <m/>
    <s v="+56940714170"/>
    <s v="Terranova"/>
    <x v="1"/>
    <s v="Alimentación Tradicional"/>
  </r>
  <r>
    <s v="20988214-0"/>
    <x v="156"/>
    <n v="0"/>
    <n v="0"/>
    <n v="0"/>
    <n v="0"/>
    <n v="1"/>
    <x v="156"/>
    <m/>
    <s v="+56989183192"/>
    <s v="Santa María"/>
    <x v="1"/>
    <s v="Alimentación Tradicional"/>
  </r>
  <r>
    <s v="20881296-3"/>
    <x v="157"/>
    <n v="20000"/>
    <n v="15000"/>
    <n v="15000"/>
    <n v="50000"/>
    <n v="1"/>
    <x v="157"/>
    <m/>
    <s v="+56957345251"/>
    <s v="San Francisco"/>
    <x v="0"/>
    <s v="Alimentación Tradicional"/>
  </r>
  <r>
    <s v="21382811-8"/>
    <x v="158"/>
    <n v="0"/>
    <n v="0"/>
    <n v="0"/>
    <n v="0"/>
    <n v="1"/>
    <x v="158"/>
    <m/>
    <s v="+56920047215"/>
    <s v="Enrique Valdebenito"/>
    <x v="1"/>
    <s v="Alimentación Tradicional"/>
  </r>
  <r>
    <s v="21218527-2"/>
    <x v="159"/>
    <n v="20000"/>
    <n v="16500"/>
    <n v="0"/>
    <n v="36500"/>
    <n v="1"/>
    <x v="159"/>
    <m/>
    <s v="+56990129371"/>
    <s v="Rucapeñihue"/>
    <x v="0"/>
    <s v="Sin Almuerzo"/>
  </r>
  <r>
    <s v="21482816-2"/>
    <x v="160"/>
    <n v="20000"/>
    <n v="16500"/>
    <n v="0"/>
    <n v="36500"/>
    <n v="1"/>
    <x v="160"/>
    <m/>
    <s v="+56987300867"/>
    <s v="Rañileufu"/>
    <x v="0"/>
    <s v="Sin Almuerzo"/>
  </r>
  <r>
    <s v="18771058-8"/>
    <x v="161"/>
    <n v="20000"/>
    <n v="15000"/>
    <n v="15000"/>
    <n v="50000"/>
    <n v="1"/>
    <x v="161"/>
    <m/>
    <s v="+56948539347"/>
    <s v="Terranova"/>
    <x v="0"/>
    <s v="Alimentación Tradicional"/>
  </r>
  <r>
    <s v="21040156-3"/>
    <x v="162"/>
    <n v="20000"/>
    <n v="16500"/>
    <n v="0"/>
    <n v="36500"/>
    <n v="1"/>
    <x v="162"/>
    <m/>
    <s v="+56921751597"/>
    <s v="Rucapeñihue"/>
    <x v="0"/>
    <s v="Alimentación Tradicional"/>
  </r>
  <r>
    <s v="20155115-3"/>
    <x v="163"/>
    <n v="0"/>
    <n v="0"/>
    <n v="0"/>
    <n v="0"/>
    <n v="1"/>
    <x v="163"/>
    <m/>
    <s v="+56973698952"/>
    <s v="Alcatipay"/>
    <x v="1"/>
    <s v="Alimentación Vegetariana"/>
  </r>
  <r>
    <s v="19837040-1"/>
    <x v="164"/>
    <n v="20000"/>
    <n v="15000"/>
    <n v="15000"/>
    <n v="50000"/>
    <n v="1"/>
    <x v="164"/>
    <m/>
    <s v="+56937890998"/>
    <s v="Espíritu Santo"/>
    <x v="0"/>
    <s v="Alimentación Tradicional"/>
  </r>
  <r>
    <s v="16600798-4"/>
    <x v="165"/>
    <n v="20000"/>
    <n v="15000"/>
    <n v="15000"/>
    <n v="50000"/>
    <n v="1"/>
    <x v="165"/>
    <m/>
    <s v="+56977509011"/>
    <s v="Espíritu Santo"/>
    <x v="0"/>
    <s v="Alimentación Tradicional"/>
  </r>
  <r>
    <s v="22331921-1"/>
    <x v="166"/>
    <n v="20000"/>
    <n v="15000"/>
    <n v="15000"/>
    <n v="50000"/>
    <n v="1"/>
    <x v="166"/>
    <m/>
    <s v="+56933992361"/>
    <s v="Buena Aventura"/>
    <x v="0"/>
    <s v="Alimentación Vegetariana"/>
  </r>
  <r>
    <s v="20439723-6"/>
    <x v="167"/>
    <n v="20000"/>
    <n v="15000"/>
    <n v="15000"/>
    <n v="50000"/>
    <n v="1"/>
    <x v="167"/>
    <m/>
    <s v="+56969030061"/>
    <s v="Alcatipay"/>
    <x v="0"/>
    <s v="Alimentación Tradicional"/>
  </r>
  <r>
    <s v="20550642-K"/>
    <x v="168"/>
    <n v="20000"/>
    <n v="15000"/>
    <n v="15000"/>
    <n v="50000"/>
    <n v="1"/>
    <x v="168"/>
    <m/>
    <s v="+56957631673"/>
    <s v="Pehuen"/>
    <x v="0"/>
    <s v="Alimentación Tradicional"/>
  </r>
  <r>
    <s v="21631374-7"/>
    <x v="169"/>
    <n v="20000"/>
    <n v="16500"/>
    <n v="0"/>
    <n v="36500"/>
    <n v="1"/>
    <x v="169"/>
    <m/>
    <s v="+56965416672"/>
    <s v="Rucapeñihue"/>
    <x v="0"/>
    <s v="Sin Almuerz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7">
  <r>
    <x v="0"/>
    <x v="0"/>
    <x v="0"/>
    <x v="0"/>
    <s v="Avda Los Parques 704"/>
    <x v="0"/>
    <s v="Celular"/>
    <x v="0"/>
    <x v="0"/>
    <x v="0"/>
    <x v="0"/>
    <x v="0"/>
    <x v="0"/>
    <x v="0"/>
    <x v="0"/>
    <s v="Alvaro Palma Vallejos / 987783166"/>
    <s v="Ninguna"/>
    <s v="https://drive.google.com/open?id=1h1rdavJKiZozh6e2jgRtXBi9OyY2HFeo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0"/>
    <x v="0"/>
    <x v="0"/>
    <x v="0"/>
    <x v="0"/>
    <x v="0"/>
    <x v="0"/>
    <s v="No"/>
    <d v="2025-05-02T15:57:06"/>
    <x v="0"/>
  </r>
  <r>
    <x v="1"/>
    <x v="1"/>
    <x v="1"/>
    <x v="1"/>
    <s v="Los halcones, Parcela Z-11 Country Santa Eliana"/>
    <x v="1"/>
    <s v="Celular"/>
    <x v="1"/>
    <x v="0"/>
    <x v="1"/>
    <x v="0"/>
    <x v="1"/>
    <x v="0"/>
    <x v="0"/>
    <x v="0"/>
    <s v="Victoria Leiva (mi mamá) +56993887014"/>
    <s v=""/>
    <s v="https://drive.google.com/open?id=1_qAlapZ63JaY43jo9j-_-2VXyoWSWgav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1"/>
    <x v="1"/>
    <x v="1"/>
    <x v="1"/>
    <x v="1"/>
    <x v="1"/>
    <s v="No"/>
    <d v="2025-05-02T16:52:04"/>
    <x v="0"/>
  </r>
  <r>
    <x v="2"/>
    <x v="2"/>
    <x v="2"/>
    <x v="2"/>
    <s v="Reinoguelen #63 Villa San Pedro"/>
    <x v="0"/>
    <s v="Celular"/>
    <x v="2"/>
    <x v="0"/>
    <x v="2"/>
    <x v="0"/>
    <x v="2"/>
    <x v="0"/>
    <x v="1"/>
    <x v="0"/>
    <s v="Rosa Marambio 988373803"/>
    <s v=""/>
    <s v="https://drive.google.com/open?id=1Kr4b5P3MOpMGNgqO743qXarh7OjMljo2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2"/>
    <x v="2"/>
    <x v="0"/>
    <x v="1"/>
    <x v="1"/>
    <x v="2"/>
    <s v="No"/>
    <d v="2025-05-02T17:14:41"/>
    <x v="0"/>
  </r>
  <r>
    <x v="3"/>
    <x v="3"/>
    <x v="3"/>
    <x v="3"/>
    <s v="Av. Manuel Rodríguez 966"/>
    <x v="2"/>
    <s v="Celular"/>
    <x v="3"/>
    <x v="0"/>
    <x v="2"/>
    <x v="1"/>
    <x v="2"/>
    <x v="0"/>
    <x v="0"/>
    <x v="0"/>
    <s v="Vicente Gonzalez +56977760821"/>
    <s v=""/>
    <s v="https://drive.google.com/open?id=17zNYLya7GbKB4LPm0APaXE2orMh2MM0a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3"/>
    <x v="3"/>
    <x v="3"/>
    <x v="2"/>
    <x v="1"/>
    <x v="0"/>
    <x v="3"/>
    <s v="No"/>
    <d v="2025-05-02T17:35:35"/>
    <x v="0"/>
  </r>
  <r>
    <x v="4"/>
    <x v="4"/>
    <x v="4"/>
    <x v="4"/>
    <s v="Genova 2891"/>
    <x v="3"/>
    <s v="Celular"/>
    <x v="4"/>
    <x v="0"/>
    <x v="3"/>
    <x v="2"/>
    <x v="3"/>
    <x v="0"/>
    <x v="2"/>
    <x v="0"/>
    <s v="Nicolás Peña +56966903399"/>
    <s v=""/>
    <s v="https://drive.google.com/open?id=1TNPN3aqKillnYNMhRibWnwlfu6FTujU8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4"/>
    <x v="4"/>
    <x v="4"/>
    <x v="2"/>
    <x v="2"/>
    <x v="1"/>
    <x v="4"/>
    <s v="No"/>
    <d v="2025-05-02T18:14:26"/>
    <x v="0"/>
  </r>
  <r>
    <x v="5"/>
    <x v="5"/>
    <x v="5"/>
    <x v="5"/>
    <s v="Avenida los presidentes 1555 casa 15"/>
    <x v="4"/>
    <s v="Celular"/>
    <x v="5"/>
    <x v="0"/>
    <x v="2"/>
    <x v="0"/>
    <x v="2"/>
    <x v="0"/>
    <x v="0"/>
    <x v="0"/>
    <s v="Paulina Aguilera +56944367305"/>
    <s v=""/>
    <s v="https://drive.google.com/open?id=1WjGduateW_RIs_Bfg9hVE2ANLMp7dpZG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5"/>
    <x v="5"/>
    <x v="0"/>
    <x v="1"/>
    <x v="2"/>
    <x v="3"/>
    <s v="No"/>
    <d v="2025-05-02T19:09:23"/>
    <x v="0"/>
  </r>
  <r>
    <x v="6"/>
    <x v="6"/>
    <x v="6"/>
    <x v="6"/>
    <s v="Tomás de Aquino 1656"/>
    <x v="1"/>
    <s v="Celular"/>
    <x v="6"/>
    <x v="0"/>
    <x v="1"/>
    <x v="2"/>
    <x v="1"/>
    <x v="0"/>
    <x v="0"/>
    <x v="0"/>
    <s v="Javiera Sáez +56933932949"/>
    <s v=""/>
    <s v="https://drive.google.com/open?id=1Vmy5TQY9ge-UvIRttV7jgUGiaQwa_xnM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3"/>
    <x v="6"/>
    <x v="5"/>
    <x v="3"/>
    <x v="1"/>
    <x v="0"/>
    <x v="5"/>
    <s v="No"/>
    <d v="2025-05-02T19:22:48"/>
    <x v="0"/>
  </r>
  <r>
    <x v="7"/>
    <x v="7"/>
    <x v="7"/>
    <x v="2"/>
    <s v="los jazmines 4836"/>
    <x v="5"/>
    <s v="Celular"/>
    <x v="7"/>
    <x v="0"/>
    <x v="3"/>
    <x v="3"/>
    <x v="3"/>
    <x v="0"/>
    <x v="0"/>
    <x v="1"/>
    <s v="Hector peña  +56981741669"/>
    <s v="Soy una persona con la condicion del transtorno del espectro autista"/>
    <s v="https://drive.google.com/open?id=19hr6zLY2DwYLS55JCS_UmtpJ4rDd3Zvo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2"/>
    <x v="6"/>
    <x v="0"/>
    <x v="1"/>
    <x v="0"/>
    <x v="6"/>
    <s v="No"/>
    <d v="2025-05-02T20:17:57"/>
    <x v="0"/>
  </r>
  <r>
    <x v="8"/>
    <x v="8"/>
    <x v="8"/>
    <x v="7"/>
    <s v="Psj José Antonio villa gran 370 población Carlos Ibáñez del campo sector los lirios concepción"/>
    <x v="4"/>
    <s v="Celular"/>
    <x v="8"/>
    <x v="0"/>
    <x v="4"/>
    <x v="4"/>
    <x v="2"/>
    <x v="0"/>
    <x v="3"/>
    <x v="0"/>
    <s v="Catalina Velasquez, 9 59641563"/>
    <s v=""/>
    <s v="https://drive.google.com/open?id=1FhlMEhCe0IiX7WuxWIz7aXD0FYMzn0NQ"/>
    <s v="Inicial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1"/>
    <x v="1"/>
    <x v="1"/>
    <s v="Falleció Papá Hoy Jueves (Se baja) Se cambia por otra persona"/>
    <x v="0"/>
    <x v="0"/>
    <x v="2"/>
    <x v="7"/>
    <x v="5"/>
    <x v="4"/>
    <x v="1"/>
    <x v="1"/>
    <x v="7"/>
    <s v="No"/>
    <d v="2025-05-02T21:07:28"/>
    <x v="1"/>
  </r>
  <r>
    <x v="9"/>
    <x v="9"/>
    <x v="9"/>
    <x v="8"/>
    <s v="Hamburgo 2589"/>
    <x v="3"/>
    <s v="Celular"/>
    <x v="9"/>
    <x v="0"/>
    <x v="5"/>
    <x v="3"/>
    <x v="4"/>
    <x v="0"/>
    <x v="4"/>
    <x v="2"/>
    <s v="Violeta Acevedo 990900350"/>
    <s v=""/>
    <s v="https://drive.google.com/open?id=1nkA5khAZQVKpYNjLckI05354uoNr0ygJ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6"/>
    <x v="2"/>
    <x v="2"/>
    <x v="5"/>
    <x v="1"/>
    <x v="1"/>
    <x v="8"/>
    <s v="No"/>
    <d v="2025-05-02T22:08:54"/>
    <x v="0"/>
  </r>
  <r>
    <x v="10"/>
    <x v="10"/>
    <x v="10"/>
    <x v="9"/>
    <s v="Sor María Josefina Cavada 639"/>
    <x v="4"/>
    <s v="Celular"/>
    <x v="10"/>
    <x v="0"/>
    <x v="6"/>
    <x v="0"/>
    <x v="4"/>
    <x v="1"/>
    <x v="0"/>
    <x v="0"/>
    <s v="Macarena Parodi +56944016104"/>
    <s v=""/>
    <s v="https://drive.google.com/open?id=1eGlvwNbp07j_pSioBCjhCpgURWPjKEIRWJcXBMzOdjo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5"/>
    <x v="2"/>
    <x v="7"/>
    <x v="4"/>
    <x v="1"/>
    <x v="0"/>
    <x v="9"/>
    <s v="No"/>
    <d v="2025-05-02T22:32:57"/>
    <x v="1"/>
  </r>
  <r>
    <x v="11"/>
    <x v="11"/>
    <x v="11"/>
    <x v="10"/>
    <s v="Pasaje ainavillo 1611 Barrio norte"/>
    <x v="4"/>
    <s v="Celular"/>
    <x v="11"/>
    <x v="0"/>
    <x v="5"/>
    <x v="3"/>
    <x v="4"/>
    <x v="0"/>
    <x v="0"/>
    <x v="0"/>
    <s v="+56976536406"/>
    <s v=""/>
    <s v="https://drive.google.com/open?id=1kr_yjZYHHx0DH00ug9Dy7ZRNDMF8BNTz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8"/>
    <x v="8"/>
    <x v="6"/>
    <x v="1"/>
    <x v="1"/>
    <x v="10"/>
    <s v="No"/>
    <d v="2025-05-02T22:40:06"/>
    <x v="0"/>
  </r>
  <r>
    <x v="12"/>
    <x v="12"/>
    <x v="12"/>
    <x v="11"/>
    <s v="Volcan planchon 0759"/>
    <x v="6"/>
    <s v="Celular"/>
    <x v="12"/>
    <x v="0"/>
    <x v="7"/>
    <x v="5"/>
    <x v="5"/>
    <x v="0"/>
    <x v="5"/>
    <x v="0"/>
    <s v="Magaly calderon +569 38820910"/>
    <s v=""/>
    <s v="https://drive.google.com/open?id=1UnPNGoYsihq8bfEjXxb35x-poNK79gzb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9"/>
    <x v="9"/>
    <x v="7"/>
    <x v="1"/>
    <x v="0"/>
    <x v="11"/>
    <s v="No"/>
    <d v="2025-05-02T22:57:28"/>
    <x v="2"/>
  </r>
  <r>
    <x v="13"/>
    <x v="13"/>
    <x v="13"/>
    <x v="12"/>
    <s v="Presbistero Andres Jarlan 1036"/>
    <x v="6"/>
    <s v="Celular"/>
    <x v="13"/>
    <x v="0"/>
    <x v="7"/>
    <x v="1"/>
    <x v="5"/>
    <x v="0"/>
    <x v="0"/>
    <x v="0"/>
    <s v="Antonio Millapan 966477930"/>
    <s v=""/>
    <s v="https://drive.google.com/open?id=1bKRdJtRwFuhMUh8rd8hVc1hbCNZFH5V5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7"/>
    <x v="10"/>
    <x v="10"/>
    <x v="0"/>
    <x v="2"/>
    <x v="0"/>
    <x v="12"/>
    <s v="No"/>
    <d v="2025-05-02T22:59:32"/>
    <x v="2"/>
  </r>
  <r>
    <x v="14"/>
    <x v="14"/>
    <x v="14"/>
    <x v="13"/>
    <s v="Brisas del sol, pasaje 14, #437"/>
    <x v="5"/>
    <s v="Celular"/>
    <x v="14"/>
    <x v="0"/>
    <x v="5"/>
    <x v="3"/>
    <x v="4"/>
    <x v="0"/>
    <x v="0"/>
    <x v="0"/>
    <s v="Rosana Yevilao - 978947403"/>
    <s v=""/>
    <s v="https://drive.google.com/open?id=1reuS0-wAW3j_jQkePsPLbuhCR8mpc6zC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8"/>
    <x v="11"/>
    <x v="11"/>
    <x v="8"/>
    <x v="1"/>
    <x v="3"/>
    <x v="13"/>
    <s v="No"/>
    <d v="2025-05-02T23:19:57"/>
    <x v="0"/>
  </r>
  <r>
    <x v="15"/>
    <x v="15"/>
    <x v="15"/>
    <x v="14"/>
    <s v="Pasaje Diecinueve, casa 2425, Laguna Redonda"/>
    <x v="4"/>
    <s v="Celular"/>
    <x v="15"/>
    <x v="0"/>
    <x v="5"/>
    <x v="4"/>
    <x v="4"/>
    <x v="2"/>
    <x v="0"/>
    <x v="0"/>
    <s v="930532731 Claudio Aravena"/>
    <s v=""/>
    <s v="https://drive.google.com/open?id=1M9EJwn2LH-sP4uxo1ypXnc6pfe2hLkfm"/>
    <s v="Ninguno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8"/>
    <x v="12"/>
    <x v="12"/>
    <x v="9"/>
    <x v="1"/>
    <x v="0"/>
    <x v="14"/>
    <s v="No"/>
    <d v="2025-05-03T03:29:53"/>
    <x v="0"/>
  </r>
  <r>
    <x v="16"/>
    <x v="16"/>
    <x v="16"/>
    <x v="15"/>
    <s v="Martínez de Rosas 137, Purranque"/>
    <x v="7"/>
    <s v="Celular"/>
    <x v="16"/>
    <x v="0"/>
    <x v="8"/>
    <x v="1"/>
    <x v="6"/>
    <x v="0"/>
    <x v="0"/>
    <x v="0"/>
    <s v="Waleska Prambs. +56994861311"/>
    <s v="Venimos desde purranque. Buscaremos alojo por la zona. No sé si Uds ven alguna limitación."/>
    <s v="https://drive.google.com/open?id=1QXMi2oFCu59IWzjt2rizSqCEouOtYWsz"/>
    <s v="Inicial"/>
    <s v="Ninguno"/>
    <s v="Ninguno"/>
    <s v="Ninguno"/>
    <s v="NO"/>
    <s v="NO"/>
    <s v="NO"/>
    <s v="NO"/>
    <s v="NO"/>
    <n v="1"/>
    <x v="1"/>
    <x v="1"/>
    <m/>
    <s v="Skoda"/>
    <s v="Kodiak"/>
    <s v="SXYH17"/>
    <x v="0"/>
    <x v="0"/>
    <x v="1"/>
    <x v="1"/>
    <x v="1"/>
    <m/>
    <x v="0"/>
    <x v="0"/>
    <x v="9"/>
    <x v="13"/>
    <x v="9"/>
    <x v="4"/>
    <x v="1"/>
    <x v="3"/>
    <x v="15"/>
    <s v="No"/>
    <d v="2025-05-03T12:44:35"/>
    <x v="1"/>
  </r>
  <r>
    <x v="17"/>
    <x v="17"/>
    <x v="17"/>
    <x v="16"/>
    <s v="Pasaje Arnoldo Hauri 455"/>
    <x v="8"/>
    <s v="Celular"/>
    <x v="17"/>
    <x v="0"/>
    <x v="9"/>
    <x v="1"/>
    <x v="7"/>
    <x v="0"/>
    <x v="6"/>
    <x v="0"/>
    <s v="Karla de la Jara +56 9 7138 0064"/>
    <s v=""/>
    <s v="https://drive.google.com/open?id=1ZrU8L2lr1dZP67OOOzDHgrRmFSwne1OH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0"/>
    <x v="14"/>
    <x v="13"/>
    <x v="10"/>
    <x v="1"/>
    <x v="0"/>
    <x v="16"/>
    <s v="No"/>
    <d v="2025-05-03T15:30:16"/>
    <x v="2"/>
  </r>
  <r>
    <x v="18"/>
    <x v="18"/>
    <x v="18"/>
    <x v="17"/>
    <s v="General Cornelio Saavedra 59"/>
    <x v="2"/>
    <s v="Celular"/>
    <x v="18"/>
    <x v="0"/>
    <x v="4"/>
    <x v="2"/>
    <x v="2"/>
    <x v="0"/>
    <x v="0"/>
    <x v="0"/>
    <s v="Victoria Reyes 975679087"/>
    <s v=""/>
    <s v="https://drive.google.com/open?id=1kReYL37Jw2aCO2SQZgR1sAL1KVNIbMWb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1"/>
    <x v="15"/>
    <x v="14"/>
    <x v="11"/>
    <x v="1"/>
    <x v="1"/>
    <x v="17"/>
    <s v="No"/>
    <d v="2025-05-03T17:28:44"/>
    <x v="0"/>
  </r>
  <r>
    <x v="19"/>
    <x v="19"/>
    <x v="19"/>
    <x v="18"/>
    <s v="Brisa del sol, calle 3"/>
    <x v="5"/>
    <s v="Celular"/>
    <x v="19"/>
    <x v="0"/>
    <x v="10"/>
    <x v="4"/>
    <x v="2"/>
    <x v="1"/>
    <x v="7"/>
    <x v="0"/>
    <s v="María Teresa Serrano Badilla +56950250390"/>
    <s v=""/>
    <s v="https://drive.google.com/open?id=1tabU68-UjapXnlIh_xL6OKbRCsmkp4u6"/>
    <s v="Inicial"/>
    <s v="Ninguno"/>
    <s v="Ninguno"/>
    <s v="Ninguno"/>
    <s v="NO"/>
    <s v="NO"/>
    <s v="NO"/>
    <s v="NO"/>
    <s v="NO"/>
    <n v="1"/>
    <x v="0"/>
    <x v="0"/>
    <m/>
    <s v="Susuki"/>
    <s v="Swift"/>
    <s v="JBTR67"/>
    <x v="1"/>
    <x v="1"/>
    <x v="2"/>
    <x v="0"/>
    <x v="0"/>
    <m/>
    <x v="0"/>
    <x v="0"/>
    <x v="12"/>
    <x v="2"/>
    <x v="15"/>
    <x v="12"/>
    <x v="1"/>
    <x v="4"/>
    <x v="18"/>
    <s v="No"/>
    <d v="2025-05-03T19:14:31"/>
    <x v="0"/>
  </r>
  <r>
    <x v="20"/>
    <x v="20"/>
    <x v="20"/>
    <x v="19"/>
    <s v="Manuel Rodríguez 1551"/>
    <x v="2"/>
    <s v="Celular"/>
    <x v="20"/>
    <x v="0"/>
    <x v="4"/>
    <x v="2"/>
    <x v="2"/>
    <x v="0"/>
    <x v="0"/>
    <x v="3"/>
    <s v="Florentino Neira +56972165886"/>
    <s v=""/>
    <s v="https://drive.google.com/open?id=1KbUM0QynHg_WJGaxX1n0_XmI2US7TzGF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4"/>
    <x v="16"/>
    <x v="16"/>
    <x v="13"/>
    <x v="1"/>
    <x v="0"/>
    <x v="19"/>
    <s v="No"/>
    <d v="2025-05-03T19:36:30"/>
    <x v="0"/>
  </r>
  <r>
    <x v="21"/>
    <x v="21"/>
    <x v="21"/>
    <x v="20"/>
    <s v="Talcahuano #79"/>
    <x v="5"/>
    <s v="Celular"/>
    <x v="21"/>
    <x v="0"/>
    <x v="10"/>
    <x v="2"/>
    <x v="2"/>
    <x v="1"/>
    <x v="0"/>
    <x v="0"/>
    <s v="Paula Sepúlveda Medina +56966163228"/>
    <s v=""/>
    <s v="https://drive.google.com/open?id=1nuqqzQnNstIGgY12NNHmR6mMfoIp2KUg"/>
    <s v="Medio"/>
    <s v="10627"/>
    <s v="Lobatos"/>
    <s v="Ninguno"/>
    <s v="NO"/>
    <s v="SI"/>
    <s v="Lobatos"/>
    <s v="Lobatos"/>
    <s v="NO"/>
    <n v="1"/>
    <x v="0"/>
    <x v="0"/>
    <m/>
    <s v=""/>
    <s v=""/>
    <s v=""/>
    <x v="0"/>
    <x v="0"/>
    <x v="2"/>
    <x v="0"/>
    <x v="0"/>
    <m/>
    <x v="0"/>
    <x v="0"/>
    <x v="1"/>
    <x v="17"/>
    <x v="4"/>
    <x v="14"/>
    <x v="1"/>
    <x v="0"/>
    <x v="20"/>
    <s v="No"/>
    <d v="2025-05-03T20:20:06"/>
    <x v="0"/>
  </r>
  <r>
    <x v="22"/>
    <x v="22"/>
    <x v="22"/>
    <x v="21"/>
    <s v="Pinares 10 casa 83 condominio alto castaño"/>
    <x v="2"/>
    <s v="Celular"/>
    <x v="22"/>
    <x v="0"/>
    <x v="10"/>
    <x v="4"/>
    <x v="2"/>
    <x v="1"/>
    <x v="0"/>
    <x v="0"/>
    <s v="Montserrat agurto 987760864"/>
    <s v=""/>
    <s v="https://drive.google.com/open?id=1MV_iCfIBi2ClzQuy1B6QkmCFCbItecnt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2"/>
    <x v="0"/>
    <m/>
    <x v="0"/>
    <x v="0"/>
    <x v="8"/>
    <x v="2"/>
    <x v="9"/>
    <x v="15"/>
    <x v="1"/>
    <x v="0"/>
    <x v="21"/>
    <s v="No"/>
    <d v="2025-05-03T21:39:34"/>
    <x v="0"/>
  </r>
  <r>
    <x v="23"/>
    <x v="23"/>
    <x v="23"/>
    <x v="22"/>
    <s v="General Gambino 3731"/>
    <x v="9"/>
    <s v="Celular"/>
    <x v="23"/>
    <x v="0"/>
    <x v="11"/>
    <x v="3"/>
    <x v="8"/>
    <x v="0"/>
    <x v="8"/>
    <x v="0"/>
    <s v="Maria Martinez 984462480"/>
    <s v=""/>
    <s v="https://drive.google.com/open?id=1GQm-YFCdlT3OKmJBrMeBgtcUZBf_u3fv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18"/>
    <x v="17"/>
    <x v="4"/>
    <x v="1"/>
    <x v="5"/>
    <x v="22"/>
    <s v="No"/>
    <d v="2025-05-04T08:49:43"/>
    <x v="2"/>
  </r>
  <r>
    <x v="24"/>
    <x v="24"/>
    <x v="24"/>
    <x v="23"/>
    <s v="Esmeralda 029-7"/>
    <x v="10"/>
    <s v="Celular"/>
    <x v="24"/>
    <x v="0"/>
    <x v="11"/>
    <x v="0"/>
    <x v="8"/>
    <x v="0"/>
    <x v="9"/>
    <x v="0"/>
    <s v="Ines Sandoval Troncoso +56956522122"/>
    <s v=""/>
    <s v="https://drive.google.com/open?id=15JrLYtxBjHWz61VrAwRphoKJqg8QgpfW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2"/>
    <x v="2"/>
    <x v="4"/>
    <x v="1"/>
    <x v="0"/>
    <x v="23"/>
    <s v="No"/>
    <d v="2025-05-04T11:43:29"/>
    <x v="2"/>
  </r>
  <r>
    <x v="25"/>
    <x v="25"/>
    <x v="25"/>
    <x v="24"/>
    <s v="Juan Antonio Ríos 537"/>
    <x v="5"/>
    <s v="Celular"/>
    <x v="25"/>
    <x v="0"/>
    <x v="3"/>
    <x v="1"/>
    <x v="3"/>
    <x v="0"/>
    <x v="0"/>
    <x v="0"/>
    <s v="Joel Henríquez 991253786"/>
    <s v=""/>
    <s v="https://drive.google.com/open?id=1E7e_aaCEuwp1slTSaOTNcPbYQzs5fQsF"/>
    <s v="Inicial"/>
    <s v="Ninguno"/>
    <s v="Ninguno"/>
    <s v="Ninguno"/>
    <s v="NO"/>
    <s v="NO"/>
    <s v="NO"/>
    <s v="NO"/>
    <s v="NO"/>
    <n v="1"/>
    <x v="0"/>
    <x v="0"/>
    <m/>
    <s v="Hyundai"/>
    <s v="Eon"/>
    <s v="HPBD88"/>
    <x v="1"/>
    <x v="1"/>
    <x v="0"/>
    <x v="0"/>
    <x v="0"/>
    <m/>
    <x v="0"/>
    <x v="0"/>
    <x v="13"/>
    <x v="19"/>
    <x v="18"/>
    <x v="16"/>
    <x v="1"/>
    <x v="1"/>
    <x v="24"/>
    <s v="No"/>
    <d v="2025-05-04T12:18:31"/>
    <x v="0"/>
  </r>
  <r>
    <x v="26"/>
    <x v="26"/>
    <x v="26"/>
    <x v="25"/>
    <s v="Andrés Bello 322"/>
    <x v="10"/>
    <s v="Celular"/>
    <x v="26"/>
    <x v="0"/>
    <x v="11"/>
    <x v="3"/>
    <x v="8"/>
    <x v="0"/>
    <x v="0"/>
    <x v="0"/>
    <s v="Mayra Amigo 954094654"/>
    <s v=""/>
    <s v="https://drive.google.com/open?id=1K4zHOckzcaWIAR-b1TYJefK-uoT48hi6"/>
    <s v="Inicial"/>
    <s v="Ninguno"/>
    <s v="Ninguno"/>
    <s v="Ninguno"/>
    <s v="NO"/>
    <s v="NO"/>
    <s v="NO"/>
    <s v="NO"/>
    <s v="NO"/>
    <n v="1"/>
    <x v="0"/>
    <x v="0"/>
    <m/>
    <s v="No Aplica"/>
    <s v="No aplica"/>
    <s v="No aplica"/>
    <x v="1"/>
    <x v="1"/>
    <x v="0"/>
    <x v="0"/>
    <x v="0"/>
    <m/>
    <x v="0"/>
    <x v="0"/>
    <x v="12"/>
    <x v="2"/>
    <x v="12"/>
    <x v="17"/>
    <x v="1"/>
    <x v="0"/>
    <x v="25"/>
    <s v="No"/>
    <d v="2025-05-04T13:47:05"/>
    <x v="2"/>
  </r>
  <r>
    <x v="27"/>
    <x v="27"/>
    <x v="27"/>
    <x v="26"/>
    <s v="pasaje 5 poniente casa 309 Barrio Las Pataguas"/>
    <x v="11"/>
    <s v="Celular"/>
    <x v="27"/>
    <x v="0"/>
    <x v="11"/>
    <x v="3"/>
    <x v="8"/>
    <x v="0"/>
    <x v="0"/>
    <x v="0"/>
    <s v="Bárbara Campos, 982139060"/>
    <s v=""/>
    <s v="https://drive.google.com/open?id=1mjRYZfsQP47u7Fox6tYik_j2_dDsZExZ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1"/>
    <m/>
    <x v="0"/>
    <x v="0"/>
    <x v="8"/>
    <x v="2"/>
    <x v="19"/>
    <x v="0"/>
    <x v="1"/>
    <x v="0"/>
    <x v="26"/>
    <s v="No"/>
    <d v="2025-05-04T13:58:41"/>
    <x v="2"/>
  </r>
  <r>
    <x v="28"/>
    <x v="28"/>
    <x v="28"/>
    <x v="27"/>
    <s v="San Juan Bautista 2231 casa 1, San Remo, lomas San Sebastián"/>
    <x v="4"/>
    <s v="Celular"/>
    <x v="28"/>
    <x v="0"/>
    <x v="4"/>
    <x v="5"/>
    <x v="2"/>
    <x v="2"/>
    <x v="10"/>
    <x v="0"/>
    <s v="Gladys Herrera +56 9 5833 0496"/>
    <s v=""/>
    <s v="https://drive.google.com/open?id=1Y4fqHjSWuldQc73Jkb43k1MFNFytsFgZ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4"/>
    <x v="20"/>
    <x v="17"/>
    <x v="14"/>
    <x v="3"/>
    <x v="0"/>
    <x v="27"/>
    <s v="No"/>
    <d v="2025-05-04T14:06:49"/>
    <x v="0"/>
  </r>
  <r>
    <x v="29"/>
    <x v="29"/>
    <x v="29"/>
    <x v="28"/>
    <s v="Bernardo O´Higgins 621"/>
    <x v="10"/>
    <s v="Celular"/>
    <x v="29"/>
    <x v="0"/>
    <x v="11"/>
    <x v="0"/>
    <x v="8"/>
    <x v="0"/>
    <x v="0"/>
    <x v="0"/>
    <s v="Paola Gutiérrez Hernández +56 9 7696 8415"/>
    <s v=""/>
    <s v="https://drive.google.com/open?id=1qpd3EriJU0nvxG5B48JwqlNx0aA5BCmP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2"/>
    <x v="2"/>
    <x v="17"/>
    <x v="18"/>
    <x v="1"/>
    <x v="0"/>
    <x v="28"/>
    <s v="No"/>
    <d v="2025-05-04T14:12:13"/>
    <x v="2"/>
  </r>
  <r>
    <x v="30"/>
    <x v="30"/>
    <x v="30"/>
    <x v="29"/>
    <s v="Las violetas 1756 casa 13"/>
    <x v="0"/>
    <s v="Celular"/>
    <x v="30"/>
    <x v="0"/>
    <x v="0"/>
    <x v="1"/>
    <x v="0"/>
    <x v="0"/>
    <x v="11"/>
    <x v="2"/>
    <s v="Lucas Urriaga +56945480251"/>
    <s v=""/>
    <s v="https://drive.google.com/open?id=1q4twkejpxV2-VIaZWO9UtnfZMes_J_qz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3"/>
    <x v="21"/>
    <x v="2"/>
    <x v="19"/>
    <x v="1"/>
    <x v="1"/>
    <x v="29"/>
    <s v="No"/>
    <d v="2025-05-04T14:22:36"/>
    <x v="0"/>
  </r>
  <r>
    <x v="31"/>
    <x v="31"/>
    <x v="31"/>
    <x v="30"/>
    <s v="Baquedano 100, Lota"/>
    <x v="12"/>
    <s v="Celular"/>
    <x v="31"/>
    <x v="0"/>
    <x v="0"/>
    <x v="4"/>
    <x v="0"/>
    <x v="0"/>
    <x v="0"/>
    <x v="0"/>
    <s v="José Placencia 991504796"/>
    <s v=""/>
    <s v="https://drive.google.com/open?id=15g4k3llnhSFJx6XUN_QpGZ0qGP2YFmAf"/>
    <s v="Inicial"/>
    <s v="Ninguno"/>
    <s v="Ninguno"/>
    <s v="Ninguno"/>
    <s v="NO"/>
    <s v="NO"/>
    <s v="NO"/>
    <s v="NO"/>
    <s v="NO"/>
    <n v="1"/>
    <x v="0"/>
    <x v="0"/>
    <m/>
    <s v="Chevrolet"/>
    <s v="Sail"/>
    <s v="Hpgg71"/>
    <x v="0"/>
    <x v="0"/>
    <x v="0"/>
    <x v="0"/>
    <x v="0"/>
    <m/>
    <x v="0"/>
    <x v="0"/>
    <x v="11"/>
    <x v="22"/>
    <x v="14"/>
    <x v="20"/>
    <x v="1"/>
    <x v="0"/>
    <x v="30"/>
    <s v="No"/>
    <d v="2025-05-04T14:46:54"/>
    <x v="0"/>
  </r>
  <r>
    <x v="32"/>
    <x v="32"/>
    <x v="32"/>
    <x v="31"/>
    <s v="V. La Esperanza, Calle Dos #525"/>
    <x v="10"/>
    <s v="Celular"/>
    <x v="32"/>
    <x v="0"/>
    <x v="11"/>
    <x v="1"/>
    <x v="8"/>
    <x v="0"/>
    <x v="12"/>
    <x v="0"/>
    <s v="Yolanda Navarrete ×_x000a_+56988117586"/>
    <s v=""/>
    <s v="https://drive.google.com/open?id=1hpG3aCyIMqorFeNF94J9CcexKTiZ8la5"/>
    <s v="Medio"/>
    <s v="8447"/>
    <s v="Golondrinas"/>
    <s v="Ninguno"/>
    <s v="NO"/>
    <s v="NO"/>
    <s v="NO"/>
    <s v="NO"/>
    <s v="NO"/>
    <n v="1"/>
    <x v="1"/>
    <x v="1"/>
    <m/>
    <s v=""/>
    <s v=""/>
    <s v=""/>
    <x v="1"/>
    <x v="1"/>
    <x v="1"/>
    <x v="1"/>
    <x v="1"/>
    <m/>
    <x v="0"/>
    <x v="0"/>
    <x v="0"/>
    <x v="23"/>
    <x v="0"/>
    <x v="21"/>
    <x v="1"/>
    <x v="0"/>
    <x v="31"/>
    <s v="No"/>
    <d v="2025-05-04T15:30:42"/>
    <x v="1"/>
  </r>
  <r>
    <x v="33"/>
    <x v="33"/>
    <x v="33"/>
    <x v="32"/>
    <s v="Lorenzo Arenas196"/>
    <x v="4"/>
    <s v="Celular"/>
    <x v="33"/>
    <x v="0"/>
    <x v="10"/>
    <x v="0"/>
    <x v="2"/>
    <x v="1"/>
    <x v="0"/>
    <x v="0"/>
    <s v="Pamela Castillo - +56956093205"/>
    <s v=""/>
    <s v="https://drive.google.com/open?id=1bIpWmvLd0QGrmKJyXDRjrZvJth8vx_Ag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8"/>
    <x v="2"/>
    <x v="20"/>
    <x v="22"/>
    <x v="1"/>
    <x v="0"/>
    <x v="32"/>
    <s v="No"/>
    <d v="2025-05-04T16:03:27"/>
    <x v="0"/>
  </r>
  <r>
    <x v="34"/>
    <x v="34"/>
    <x v="34"/>
    <x v="33"/>
    <s v="Prat 555, casa 25"/>
    <x v="2"/>
    <s v="Celular"/>
    <x v="34"/>
    <x v="0"/>
    <x v="12"/>
    <x v="0"/>
    <x v="2"/>
    <x v="2"/>
    <x v="0"/>
    <x v="0"/>
    <s v="Mariela Valverde 998798969"/>
    <s v=""/>
    <s v="https://drive.google.com/open?id=1VzQHHu5pw-hU2HxpklrEcfs-_s8ITDH2"/>
    <s v="Inicial"/>
    <s v="Ninguno"/>
    <s v="Ninguno"/>
    <s v="Ninguno"/>
    <s v="NO"/>
    <s v="NO"/>
    <s v="NO"/>
    <s v="NO"/>
    <s v="NO"/>
    <n v="1"/>
    <x v="0"/>
    <x v="0"/>
    <m/>
    <s v="Subaru"/>
    <s v="XV"/>
    <s v="PCJK33"/>
    <x v="0"/>
    <x v="0"/>
    <x v="0"/>
    <x v="0"/>
    <x v="0"/>
    <m/>
    <x v="0"/>
    <x v="0"/>
    <x v="5"/>
    <x v="2"/>
    <x v="4"/>
    <x v="4"/>
    <x v="1"/>
    <x v="0"/>
    <x v="33"/>
    <s v="No"/>
    <d v="2025-05-04T16:14:51"/>
    <x v="0"/>
  </r>
  <r>
    <x v="35"/>
    <x v="35"/>
    <x v="35"/>
    <x v="34"/>
    <s v="Los naranjos 112"/>
    <x v="13"/>
    <s v="Celular"/>
    <x v="35"/>
    <x v="0"/>
    <x v="10"/>
    <x v="1"/>
    <x v="2"/>
    <x v="1"/>
    <x v="0"/>
    <x v="0"/>
    <s v="Sergio Martínez 994994234"/>
    <s v=""/>
    <s v="https://drive.google.com/open?id=1L37tEdGSEETwkiTKF5IePjYpBAXJL_F6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5"/>
    <x v="1"/>
    <x v="12"/>
    <x v="23"/>
    <x v="1"/>
    <x v="0"/>
    <x v="34"/>
    <s v="No"/>
    <d v="2025-05-04T18:26:17"/>
    <x v="0"/>
  </r>
  <r>
    <x v="36"/>
    <x v="36"/>
    <x v="36"/>
    <x v="35"/>
    <s v="Cuarta Longitudinal 563"/>
    <x v="4"/>
    <s v="Celular"/>
    <x v="36"/>
    <x v="0"/>
    <x v="12"/>
    <x v="0"/>
    <x v="2"/>
    <x v="0"/>
    <x v="0"/>
    <x v="0"/>
    <s v="Tatiana Larrere +56987593355"/>
    <s v=""/>
    <s v="https://drive.google.com/open?id=1mUCdGuVkKlPq-AoM9hAxYmRoslyUpAnf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5"/>
    <x v="24"/>
    <x v="21"/>
    <x v="4"/>
    <x v="1"/>
    <x v="1"/>
    <x v="35"/>
    <s v="No"/>
    <d v="2025-05-04T18:32:40"/>
    <x v="2"/>
  </r>
  <r>
    <x v="37"/>
    <x v="37"/>
    <x v="37"/>
    <x v="36"/>
    <s v="Obispo dionisio cimbron #388, villa los cipreces, Camilo Henriquez"/>
    <x v="4"/>
    <s v="Celular"/>
    <x v="37"/>
    <x v="0"/>
    <x v="10"/>
    <x v="0"/>
    <x v="2"/>
    <x v="1"/>
    <x v="13"/>
    <x v="4"/>
    <s v="Mónica Molina Ulloa/ 986669970"/>
    <s v=""/>
    <s v="https://drive.google.com/open?id=1V-TjdGOCxTDcKZwQuHe41pl2SiuaTQ7L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2"/>
    <x v="2"/>
    <x v="22"/>
    <x v="24"/>
    <x v="1"/>
    <x v="1"/>
    <x v="36"/>
    <s v="No"/>
    <d v="2025-05-04T18:37:42"/>
    <x v="0"/>
  </r>
  <r>
    <x v="38"/>
    <x v="38"/>
    <x v="38"/>
    <x v="37"/>
    <s v="Carlos Varela 56"/>
    <x v="13"/>
    <s v="Celular"/>
    <x v="38"/>
    <x v="0"/>
    <x v="10"/>
    <x v="3"/>
    <x v="2"/>
    <x v="1"/>
    <x v="14"/>
    <x v="0"/>
    <s v="Valeska Figueroa (madre) +56987206067"/>
    <s v=""/>
    <s v="https://drive.google.com/open?id=1xKVkIzmWmRfBMMfuFJ2EKHmzS6EuZjox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5"/>
    <x v="25"/>
    <x v="9"/>
    <x v="25"/>
    <x v="1"/>
    <x v="0"/>
    <x v="37"/>
    <s v="No"/>
    <d v="2025-05-04T18:57:09"/>
    <x v="0"/>
  </r>
  <r>
    <x v="39"/>
    <x v="39"/>
    <x v="39"/>
    <x v="38"/>
    <s v="Los naranjos 112, Villa el aromo"/>
    <x v="13"/>
    <s v="Celular"/>
    <x v="39"/>
    <x v="0"/>
    <x v="10"/>
    <x v="1"/>
    <x v="2"/>
    <x v="1"/>
    <x v="0"/>
    <x v="0"/>
    <s v="Sergio +56994994234"/>
    <s v=""/>
    <s v="https://drive.google.com/open?id=1CSzORn4zsoIUa6jsFKHX0IutQiLscxys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5"/>
    <x v="26"/>
    <x v="21"/>
    <x v="26"/>
    <x v="1"/>
    <x v="0"/>
    <x v="38"/>
    <s v="No"/>
    <d v="2025-05-04T18:57:21"/>
    <x v="0"/>
  </r>
  <r>
    <x v="40"/>
    <x v="40"/>
    <x v="40"/>
    <x v="39"/>
    <s v="Esmeralda #245, El Carmen"/>
    <x v="10"/>
    <s v="Celular"/>
    <x v="40"/>
    <x v="0"/>
    <x v="11"/>
    <x v="2"/>
    <x v="8"/>
    <x v="2"/>
    <x v="0"/>
    <x v="0"/>
    <s v="Oriana Seguel +56956330192"/>
    <s v=""/>
    <s v="https://drive.google.com/open?id=19Zsq_cOJfzq-SrR8plPTGgr5m6qlA2L0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6"/>
    <x v="27"/>
    <x v="4"/>
    <x v="16"/>
    <x v="1"/>
    <x v="0"/>
    <x v="39"/>
    <s v="No"/>
    <d v="2025-05-04T19:25:59"/>
    <x v="2"/>
  </r>
  <r>
    <x v="41"/>
    <x v="41"/>
    <x v="41"/>
    <x v="40"/>
    <s v="libertad 149 casa 8"/>
    <x v="2"/>
    <s v="Celular"/>
    <x v="41"/>
    <x v="0"/>
    <x v="10"/>
    <x v="3"/>
    <x v="2"/>
    <x v="1"/>
    <x v="0"/>
    <x v="0"/>
    <s v="Ignacio Guala +56 9 5627 7663"/>
    <s v=""/>
    <s v="https://drive.google.com/open?id=1xdBbNftznU4glK8grEaeN-67vj68E8_K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8"/>
    <x v="2"/>
    <x v="5"/>
    <x v="27"/>
    <x v="1"/>
    <x v="0"/>
    <x v="40"/>
    <s v="No"/>
    <d v="2025-05-04T20:17:11"/>
    <x v="0"/>
  </r>
  <r>
    <x v="42"/>
    <x v="42"/>
    <x v="42"/>
    <x v="41"/>
    <s v="Marques de aviles 164"/>
    <x v="4"/>
    <s v="Celular"/>
    <x v="42"/>
    <x v="0"/>
    <x v="10"/>
    <x v="0"/>
    <x v="2"/>
    <x v="1"/>
    <x v="15"/>
    <x v="0"/>
    <s v="Faviana Vargas +56968692036"/>
    <s v=""/>
    <s v="https://drive.google.com/open?id=19a1GKki_navatnr-h7qpgH7Tj5jYRVc8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1"/>
    <x v="5"/>
    <x v="2"/>
    <x v="23"/>
    <x v="28"/>
    <x v="1"/>
    <x v="4"/>
    <x v="41"/>
    <s v="No"/>
    <d v="2025-05-04T20:20:04"/>
    <x v="0"/>
  </r>
  <r>
    <x v="43"/>
    <x v="43"/>
    <x v="43"/>
    <x v="42"/>
    <s v="Pasaje 1 #1389, Villa Los Magnolios, Concepción"/>
    <x v="4"/>
    <s v="Celular"/>
    <x v="43"/>
    <x v="0"/>
    <x v="10"/>
    <x v="1"/>
    <x v="2"/>
    <x v="1"/>
    <x v="0"/>
    <x v="0"/>
    <s v="Virginia Arias +56979969754"/>
    <s v=""/>
    <s v="https://drive.google.com/open?id=1u1kfEgcJU8FdB4wpPPpswZH49bLSaHPA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12"/>
    <x v="2"/>
    <x v="17"/>
    <x v="29"/>
    <x v="1"/>
    <x v="0"/>
    <x v="42"/>
    <s v="No"/>
    <d v="2025-05-04T20:31:48"/>
    <x v="0"/>
  </r>
  <r>
    <x v="44"/>
    <x v="44"/>
    <x v="44"/>
    <x v="43"/>
    <s v="Población porvenir pasaje 21 casa 2916 chiguayante"/>
    <x v="2"/>
    <s v="Celular"/>
    <x v="44"/>
    <x v="0"/>
    <x v="10"/>
    <x v="3"/>
    <x v="2"/>
    <x v="1"/>
    <x v="0"/>
    <x v="0"/>
    <s v="Ronald , 934324705"/>
    <s v=""/>
    <s v="https://drive.google.com/open?id=11aZ-_U-6QnY_YuJfgUS3C2RhGl64XUsJ"/>
    <s v="Inicial"/>
    <s v="Ninguno"/>
    <s v="Ninguno"/>
    <s v="Ninguno"/>
    <s v="NO"/>
    <s v="NO"/>
    <s v="NO"/>
    <s v="NO"/>
    <s v="NO"/>
    <n v="1"/>
    <x v="1"/>
    <x v="1"/>
    <m/>
    <s v="Kia"/>
    <s v="Sportage"/>
    <s v="Pglr19"/>
    <x v="1"/>
    <x v="1"/>
    <x v="1"/>
    <x v="1"/>
    <x v="1"/>
    <m/>
    <x v="0"/>
    <x v="0"/>
    <x v="10"/>
    <x v="28"/>
    <x v="24"/>
    <x v="30"/>
    <x v="1"/>
    <x v="3"/>
    <x v="43"/>
    <s v="No"/>
    <d v="2025-05-04T20:36:32"/>
    <x v="1"/>
  </r>
  <r>
    <x v="45"/>
    <x v="45"/>
    <x v="45"/>
    <x v="44"/>
    <s v="Chacabuco 882"/>
    <x v="4"/>
    <s v="Celular"/>
    <x v="45"/>
    <x v="0"/>
    <x v="10"/>
    <x v="2"/>
    <x v="2"/>
    <x v="1"/>
    <x v="1"/>
    <x v="0"/>
    <s v="Marcela Valenzuela, +56982348332"/>
    <s v=""/>
    <s v="https://drive.google.com/open?id=1vKksIdNliZPULlya4FmfDh6fmlsyOAZ3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15"/>
    <x v="29"/>
    <x v="25"/>
    <x v="12"/>
    <x v="1"/>
    <x v="0"/>
    <x v="44"/>
    <s v="No"/>
    <d v="2025-05-04T21:52:11"/>
    <x v="0"/>
  </r>
  <r>
    <x v="46"/>
    <x v="46"/>
    <x v="46"/>
    <x v="45"/>
    <s v="Calle 6 4408"/>
    <x v="3"/>
    <s v="Celular"/>
    <x v="46"/>
    <x v="0"/>
    <x v="13"/>
    <x v="4"/>
    <x v="4"/>
    <x v="0"/>
    <x v="0"/>
    <x v="1"/>
    <s v="Exequiel Acuña +56953974086"/>
    <s v=""/>
    <s v="https://drive.google.com/open?id=1KjtWP-_ZNkJvCu0KSie9hU6VRP7ETTaO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2"/>
    <x v="0"/>
    <m/>
    <x v="0"/>
    <x v="0"/>
    <x v="8"/>
    <x v="2"/>
    <x v="17"/>
    <x v="31"/>
    <x v="1"/>
    <x v="0"/>
    <x v="45"/>
    <s v="No"/>
    <d v="2025-05-05T12:33:12"/>
    <x v="0"/>
  </r>
  <r>
    <x v="47"/>
    <x v="47"/>
    <x v="47"/>
    <x v="46"/>
    <s v="Los castaños 356, chiguayante"/>
    <x v="2"/>
    <s v="Celular"/>
    <x v="47"/>
    <x v="0"/>
    <x v="13"/>
    <x v="0"/>
    <x v="4"/>
    <x v="1"/>
    <x v="0"/>
    <x v="0"/>
    <s v="Damián torres +56952242094"/>
    <s v=""/>
    <s v="https://drive.google.com/open?id=1G7vMmbBdZ6jm6xvHIDPV_e7XinGrK_1X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2"/>
    <x v="2"/>
    <x v="5"/>
    <x v="18"/>
    <x v="1"/>
    <x v="0"/>
    <x v="3"/>
    <s v="No"/>
    <d v="2025-05-05T12:55:35"/>
    <x v="0"/>
  </r>
  <r>
    <x v="48"/>
    <x v="48"/>
    <x v="48"/>
    <x v="47"/>
    <s v="Felipe cubillos #737 villa el rosario 2"/>
    <x v="0"/>
    <s v="Celular"/>
    <x v="48"/>
    <x v="0"/>
    <x v="0"/>
    <x v="1"/>
    <x v="0"/>
    <x v="0"/>
    <x v="0"/>
    <x v="0"/>
    <s v="Patricio Garrido Contreras"/>
    <s v=""/>
    <s v="https://drive.google.com/open?id=1iP9IVreAmK8UTr8MNcLx5BAGxuOVLTlM"/>
    <s v="Inicial"/>
    <s v="Ninguno"/>
    <s v="Ninguno"/>
    <s v="Ninguno"/>
    <s v="NO"/>
    <s v="NO"/>
    <s v="NO"/>
    <s v="NO"/>
    <s v="NO"/>
    <n v="1"/>
    <x v="0"/>
    <x v="0"/>
    <m/>
    <s v="Chevrolet"/>
    <s v="CAMIONETA D MAX"/>
    <s v="FYHH98"/>
    <x v="0"/>
    <x v="0"/>
    <x v="0"/>
    <x v="0"/>
    <x v="0"/>
    <m/>
    <x v="0"/>
    <x v="0"/>
    <x v="17"/>
    <x v="30"/>
    <x v="9"/>
    <x v="32"/>
    <x v="2"/>
    <x v="6"/>
    <x v="46"/>
    <s v="No"/>
    <d v="2025-05-05T15:28:22"/>
    <x v="0"/>
  </r>
  <r>
    <x v="49"/>
    <x v="49"/>
    <x v="49"/>
    <x v="48"/>
    <s v="Pasaje Veintiuno casa 163 Villa cap"/>
    <x v="4"/>
    <s v="Celular"/>
    <x v="49"/>
    <x v="0"/>
    <x v="2"/>
    <x v="1"/>
    <x v="2"/>
    <x v="0"/>
    <x v="0"/>
    <x v="0"/>
    <s v="Carolina Lara +56965964389"/>
    <s v=""/>
    <s v="https://drive.google.com/open?id=1pndqZazLC8srjSK2jIOvEbpo-zr6zqzK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3"/>
    <x v="31"/>
    <x v="26"/>
    <x v="33"/>
    <x v="1"/>
    <x v="0"/>
    <x v="47"/>
    <s v="No"/>
    <d v="2025-05-05T21:06:16"/>
    <x v="0"/>
  </r>
  <r>
    <x v="50"/>
    <x v="50"/>
    <x v="50"/>
    <x v="49"/>
    <s v="yerbas buenas 035 El Carmen"/>
    <x v="10"/>
    <s v="Celular"/>
    <x v="50"/>
    <x v="0"/>
    <x v="11"/>
    <x v="3"/>
    <x v="8"/>
    <x v="0"/>
    <x v="0"/>
    <x v="0"/>
    <s v="karen garay +56954645944"/>
    <s v=""/>
    <s v="https://drive.google.com/open?id=1tifaEyk-gUg3jVhLW3_cTX2y4s-YAaA-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2"/>
    <x v="18"/>
    <x v="18"/>
    <x v="1"/>
    <x v="0"/>
    <x v="35"/>
    <s v="No"/>
    <d v="2025-05-05T21:06:54"/>
    <x v="2"/>
  </r>
  <r>
    <x v="51"/>
    <x v="51"/>
    <x v="51"/>
    <x v="50"/>
    <s v="Carrera pinto 54"/>
    <x v="5"/>
    <s v="Celular"/>
    <x v="51"/>
    <x v="0"/>
    <x v="14"/>
    <x v="3"/>
    <x v="3"/>
    <x v="0"/>
    <x v="0"/>
    <x v="2"/>
    <s v="Patricia González 989911386"/>
    <s v=""/>
    <s v="https://drive.google.com/open?id=1Wx8VJlghjLPyg3p2N-XFGzHp9QIqfNS_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8"/>
    <x v="32"/>
    <x v="5"/>
    <x v="5"/>
    <x v="1"/>
    <x v="1"/>
    <x v="48"/>
    <s v="No"/>
    <d v="2025-05-05T22:31:13"/>
    <x v="0"/>
  </r>
  <r>
    <x v="52"/>
    <x v="52"/>
    <x v="52"/>
    <x v="51"/>
    <s v="Los Mayas 1857"/>
    <x v="1"/>
    <s v="Celular"/>
    <x v="52"/>
    <x v="0"/>
    <x v="15"/>
    <x v="5"/>
    <x v="1"/>
    <x v="1"/>
    <x v="0"/>
    <x v="0"/>
    <s v="Sergio Leiva Pacheco +5678652504"/>
    <s v=""/>
    <s v="https://drive.google.com/open?id=1MPxm8cbEzeoiWJuOIQ41y-_B0igdJyAa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6"/>
    <x v="33"/>
    <x v="2"/>
    <x v="34"/>
    <x v="1"/>
    <x v="1"/>
    <x v="49"/>
    <s v="No"/>
    <d v="2025-05-06T16:02:15"/>
    <x v="0"/>
  </r>
  <r>
    <x v="53"/>
    <x v="53"/>
    <x v="53"/>
    <x v="52"/>
    <s v="camino a navidad km 3"/>
    <x v="10"/>
    <s v="Celular"/>
    <x v="53"/>
    <x v="0"/>
    <x v="11"/>
    <x v="4"/>
    <x v="8"/>
    <x v="0"/>
    <x v="0"/>
    <x v="0"/>
    <s v="Paulina Manríquez  +56972153495"/>
    <s v=""/>
    <s v="https://drive.google.com/open?id=1NObHQUR0muo6Gs62B2J1szH90FR_BSrI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8"/>
    <x v="2"/>
    <x v="4"/>
    <x v="0"/>
    <x v="1"/>
    <x v="0"/>
    <x v="50"/>
    <s v="No"/>
    <d v="2025-05-06T21:06:17"/>
    <x v="2"/>
  </r>
  <r>
    <x v="54"/>
    <x v="54"/>
    <x v="54"/>
    <x v="53"/>
    <s v="Pasaje Guillermo Cox Lira 31f Lorenzo Arenas"/>
    <x v="4"/>
    <s v="Celular"/>
    <x v="54"/>
    <x v="0"/>
    <x v="10"/>
    <x v="5"/>
    <x v="2"/>
    <x v="1"/>
    <x v="0"/>
    <x v="0"/>
    <s v="Claudia Troncoso (mamá) 9 9396 1301"/>
    <s v=""/>
    <s v="https://drive.google.com/open?id=1Bozge3s3bh2UnlxVaMNR8W_bi_FhwVkbSZ1WD-CGtS0"/>
    <s v="Inicial"/>
    <s v="Ninguno"/>
    <s v="Ninguno"/>
    <s v="Ninguno"/>
    <s v="NO"/>
    <s v="NO"/>
    <s v="NO"/>
    <s v="NO"/>
    <s v="NO"/>
    <n v="1"/>
    <x v="0"/>
    <x v="0"/>
    <m/>
    <s v="Nissan"/>
    <s v="March"/>
    <s v="FR GW 41"/>
    <x v="1"/>
    <x v="1"/>
    <x v="2"/>
    <x v="0"/>
    <x v="0"/>
    <m/>
    <x v="0"/>
    <x v="0"/>
    <x v="5"/>
    <x v="31"/>
    <x v="27"/>
    <x v="35"/>
    <x v="1"/>
    <x v="0"/>
    <x v="51"/>
    <s v="No"/>
    <d v="2025-05-07T08:49:10"/>
    <x v="0"/>
  </r>
  <r>
    <x v="55"/>
    <x v="55"/>
    <x v="55"/>
    <x v="54"/>
    <s v="colo colo 210"/>
    <x v="11"/>
    <s v="Celular"/>
    <x v="55"/>
    <x v="0"/>
    <x v="16"/>
    <x v="0"/>
    <x v="8"/>
    <x v="1"/>
    <x v="0"/>
    <x v="0"/>
    <s v="Soledad Novoa +56949258108"/>
    <s v=""/>
    <s v="https://drive.google.com/open?id=1BDGYlJ9PUp8C25K1917W2GafP6QLKgAG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2"/>
    <x v="2"/>
    <x v="28"/>
    <x v="36"/>
    <x v="1"/>
    <x v="0"/>
    <x v="11"/>
    <s v="No"/>
    <d v="2025-05-07T11:17:32"/>
    <x v="2"/>
  </r>
  <r>
    <x v="56"/>
    <x v="56"/>
    <x v="56"/>
    <x v="55"/>
    <s v="Sevilla 0536"/>
    <x v="1"/>
    <s v="Celular"/>
    <x v="56"/>
    <x v="0"/>
    <x v="15"/>
    <x v="4"/>
    <x v="1"/>
    <x v="0"/>
    <x v="0"/>
    <x v="0"/>
    <s v="Italo vergara +56988394580"/>
    <s v="No"/>
    <s v="https://drive.google.com/open?id=1BWpQS5u8jtSKviRCwaeFwBjPAVOyvVf0"/>
    <s v="Inicial"/>
    <s v="Ninguno"/>
    <s v="Ninguno"/>
    <s v="Ninguno"/>
    <s v="NO"/>
    <s v="NO"/>
    <s v="NO"/>
    <s v="NO"/>
    <s v="NO"/>
    <n v="1"/>
    <x v="0"/>
    <x v="0"/>
    <m/>
    <s v="No"/>
    <s v="No"/>
    <s v="No"/>
    <x v="1"/>
    <x v="1"/>
    <x v="0"/>
    <x v="0"/>
    <x v="0"/>
    <m/>
    <x v="0"/>
    <x v="0"/>
    <x v="12"/>
    <x v="2"/>
    <x v="29"/>
    <x v="37"/>
    <x v="1"/>
    <x v="0"/>
    <x v="52"/>
    <s v="No"/>
    <d v="2025-05-07T11:55:03"/>
    <x v="0"/>
  </r>
  <r>
    <x v="57"/>
    <x v="57"/>
    <x v="57"/>
    <x v="0"/>
    <s v="Merino Jarpa 341"/>
    <x v="5"/>
    <s v="Celular"/>
    <x v="57"/>
    <x v="0"/>
    <x v="14"/>
    <x v="5"/>
    <x v="3"/>
    <x v="0"/>
    <x v="0"/>
    <x v="0"/>
    <s v="Matías Mora +56941126596"/>
    <s v=""/>
    <s v="https://drive.google.com/open?id=1z0RW1T2U4Vjoj3nKjzJXZsfw6VtdrJlO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0"/>
    <x v="34"/>
    <x v="14"/>
    <x v="38"/>
    <x v="2"/>
    <x v="0"/>
    <x v="53"/>
    <s v="No"/>
    <d v="2025-05-07T16:00:55"/>
    <x v="1"/>
  </r>
  <r>
    <x v="58"/>
    <x v="58"/>
    <x v="58"/>
    <x v="56"/>
    <s v="Las violetas 2924"/>
    <x v="11"/>
    <s v="Celular"/>
    <x v="58"/>
    <x v="0"/>
    <x v="16"/>
    <x v="0"/>
    <x v="8"/>
    <x v="1"/>
    <x v="0"/>
    <x v="0"/>
    <s v="Mariano San Martín +56978507141"/>
    <s v=""/>
    <s v="https://drive.google.com/open?id=1-swV4syp1LeOILmICRUAH3bJdEzByYVC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5"/>
    <x v="2"/>
    <x v="30"/>
    <x v="39"/>
    <x v="1"/>
    <x v="0"/>
    <x v="54"/>
    <s v="No"/>
    <d v="2025-05-07T16:14:12"/>
    <x v="2"/>
  </r>
  <r>
    <x v="59"/>
    <x v="59"/>
    <x v="59"/>
    <x v="57"/>
    <s v="Villa La Esperanza, Calle 1 #488."/>
    <x v="10"/>
    <s v="Celular"/>
    <x v="59"/>
    <x v="0"/>
    <x v="11"/>
    <x v="4"/>
    <x v="8"/>
    <x v="0"/>
    <x v="0"/>
    <x v="0"/>
    <s v="Yolanda Rodríguez Ruiz - 9 99160825"/>
    <s v=""/>
    <s v="https://drive.google.com/open?id=1qwR6vnd4HVZmeJUM_7xnAVeHHsaQbXGL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2"/>
    <x v="35"/>
    <x v="12"/>
    <x v="18"/>
    <x v="1"/>
    <x v="0"/>
    <x v="55"/>
    <s v="No"/>
    <d v="2025-05-07T16:35:55"/>
    <x v="2"/>
  </r>
  <r>
    <x v="60"/>
    <x v="60"/>
    <x v="60"/>
    <x v="58"/>
    <s v="Callejon San Juan, camino a Pinto"/>
    <x v="11"/>
    <s v="Celular"/>
    <x v="60"/>
    <x v="0"/>
    <x v="16"/>
    <x v="3"/>
    <x v="8"/>
    <x v="1"/>
    <x v="0"/>
    <x v="0"/>
    <s v="Lorena 9 86232588"/>
    <s v=""/>
    <s v="https://drive.google.com/open?id=12raDTrqR1RjiK-AytP4XkAC10kscHq1L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8"/>
    <x v="2"/>
    <x v="15"/>
    <x v="0"/>
    <x v="1"/>
    <x v="3"/>
    <x v="56"/>
    <s v="No"/>
    <d v="2025-05-07T16:36:16"/>
    <x v="2"/>
  </r>
  <r>
    <x v="61"/>
    <x v="61"/>
    <x v="61"/>
    <x v="59"/>
    <s v="Ríos 2323 #9 villa Barcelona"/>
    <x v="11"/>
    <s v="Celular"/>
    <x v="61"/>
    <x v="0"/>
    <x v="16"/>
    <x v="0"/>
    <x v="8"/>
    <x v="1"/>
    <x v="0"/>
    <x v="0"/>
    <s v="Carmen Gloria Bustamante +56998171763"/>
    <s v=""/>
    <s v="https://drive.google.com/open?id=1dQr4GKE5OqhGwqdOLb1AlgPzSxPRn3Ky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5"/>
    <x v="36"/>
    <x v="2"/>
    <x v="18"/>
    <x v="1"/>
    <x v="0"/>
    <x v="57"/>
    <s v="No"/>
    <d v="2025-05-07T17:25:37"/>
    <x v="2"/>
  </r>
  <r>
    <x v="62"/>
    <x v="62"/>
    <x v="62"/>
    <x v="60"/>
    <s v="Los Angeles 264"/>
    <x v="11"/>
    <s v="Celular"/>
    <x v="62"/>
    <x v="0"/>
    <x v="16"/>
    <x v="4"/>
    <x v="8"/>
    <x v="1"/>
    <x v="0"/>
    <x v="0"/>
    <s v="Lorena Orellana - +56997426872"/>
    <s v=""/>
    <s v="https://drive.google.com/open?id=1NF9GVVXR0nQdeoVt5MALgzTYp0BpLr_D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8"/>
    <x v="37"/>
    <x v="12"/>
    <x v="40"/>
    <x v="1"/>
    <x v="0"/>
    <x v="9"/>
    <s v="No"/>
    <d v="2025-05-07T19:55:08"/>
    <x v="2"/>
  </r>
  <r>
    <x v="63"/>
    <x v="63"/>
    <x v="63"/>
    <x v="61"/>
    <s v="Psje Radium 861"/>
    <x v="4"/>
    <s v="Celular"/>
    <x v="63"/>
    <x v="0"/>
    <x v="16"/>
    <x v="4"/>
    <x v="8"/>
    <x v="1"/>
    <x v="16"/>
    <x v="0"/>
    <s v="Viviana García +56976809698"/>
    <s v=""/>
    <s v="https://drive.google.com/open?id=108aSDgry3C_hhtqBxheda9mlG-Sq5ADw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2"/>
    <x v="38"/>
    <x v="2"/>
    <x v="18"/>
    <x v="1"/>
    <x v="1"/>
    <x v="18"/>
    <s v="No"/>
    <d v="2025-05-07T22:28:20"/>
    <x v="2"/>
  </r>
  <r>
    <x v="64"/>
    <x v="64"/>
    <x v="64"/>
    <x v="62"/>
    <s v="Marsella 2200 villa Francia"/>
    <x v="1"/>
    <s v="Celular"/>
    <x v="64"/>
    <x v="0"/>
    <x v="15"/>
    <x v="4"/>
    <x v="1"/>
    <x v="1"/>
    <x v="0"/>
    <x v="0"/>
    <s v="Carlos Espinoza 991520272"/>
    <s v=""/>
    <s v="https://drive.google.com/open?id=1wkGkIAaztx8Nfsv_brRFG4I85PZzS8ni"/>
    <s v="Inicial"/>
    <s v="Ninguno"/>
    <s v="Ninguno"/>
    <s v="Ninguno"/>
    <s v="NO"/>
    <s v="NO"/>
    <s v="NO"/>
    <s v="NO"/>
    <s v="NO"/>
    <n v="1"/>
    <x v="0"/>
    <x v="0"/>
    <m/>
    <s v="Ford"/>
    <s v="Ranger"/>
    <s v="Fvlt36"/>
    <x v="0"/>
    <x v="0"/>
    <x v="2"/>
    <x v="0"/>
    <x v="0"/>
    <m/>
    <x v="0"/>
    <x v="0"/>
    <x v="1"/>
    <x v="39"/>
    <x v="10"/>
    <x v="41"/>
    <x v="1"/>
    <x v="0"/>
    <x v="58"/>
    <s v="No"/>
    <d v="2025-05-07T22:52:34"/>
    <x v="0"/>
  </r>
  <r>
    <x v="65"/>
    <x v="65"/>
    <x v="65"/>
    <x v="63"/>
    <s v="general cruz 1051"/>
    <x v="4"/>
    <s v="Celular"/>
    <x v="65"/>
    <x v="0"/>
    <x v="15"/>
    <x v="5"/>
    <x v="1"/>
    <x v="1"/>
    <x v="17"/>
    <x v="0"/>
    <s v="Carlos Vargas +56989458501"/>
    <s v=""/>
    <s v="https://drive.google.com/open?id=1fcSp7g2Sxu6n1Jkn1Q3YfN6i91sXJJsv"/>
    <s v="Inicial"/>
    <s v="Ninguno"/>
    <s v="Golondrinas, Ninguno"/>
    <s v="Ninguno"/>
    <s v="NO"/>
    <s v="NO"/>
    <s v="NO"/>
    <s v="NO"/>
    <s v="NO"/>
    <n v="1"/>
    <x v="0"/>
    <x v="0"/>
    <m/>
    <s v="Jetour"/>
    <s v="Dashing"/>
    <s v="SZDX50"/>
    <x v="1"/>
    <x v="1"/>
    <x v="2"/>
    <x v="0"/>
    <x v="0"/>
    <m/>
    <x v="0"/>
    <x v="0"/>
    <x v="12"/>
    <x v="2"/>
    <x v="2"/>
    <x v="37"/>
    <x v="1"/>
    <x v="0"/>
    <x v="59"/>
    <s v="No"/>
    <d v="2025-05-07T23:10:35"/>
    <x v="0"/>
  </r>
  <r>
    <x v="66"/>
    <x v="66"/>
    <x v="66"/>
    <x v="64"/>
    <s v="Lote 1A Hijuela san sebastian camino santa barbara km 12,8"/>
    <x v="1"/>
    <s v="Celular"/>
    <x v="66"/>
    <x v="0"/>
    <x v="1"/>
    <x v="3"/>
    <x v="1"/>
    <x v="0"/>
    <x v="18"/>
    <x v="0"/>
    <s v="Benjamín Troncoso  +56935029883"/>
    <s v=""/>
    <s v="https://drive.google.com/open?id=1YnyYjXNVmBqD5FBZdphjZB4yJ5e7KyFx"/>
    <s v="Inicial"/>
    <s v="Ninguno"/>
    <s v="Ninguno"/>
    <s v="Ninguno"/>
    <s v="NO"/>
    <s v="NO"/>
    <s v="NO"/>
    <s v="NO"/>
    <s v="NO"/>
    <n v="1"/>
    <x v="0"/>
    <x v="0"/>
    <m/>
    <s v="Hyundai"/>
    <s v="Santa Fe"/>
    <s v="BR-VL 64"/>
    <x v="1"/>
    <x v="1"/>
    <x v="0"/>
    <x v="0"/>
    <x v="0"/>
    <m/>
    <x v="0"/>
    <x v="0"/>
    <x v="19"/>
    <x v="40"/>
    <x v="5"/>
    <x v="42"/>
    <x v="2"/>
    <x v="3"/>
    <x v="60"/>
    <s v="No"/>
    <d v="2025-05-07T23:43:22"/>
    <x v="0"/>
  </r>
  <r>
    <x v="67"/>
    <x v="67"/>
    <x v="67"/>
    <x v="65"/>
    <s v="Las trancas 173 Lomas de san sebastian"/>
    <x v="4"/>
    <s v="Celular"/>
    <x v="67"/>
    <x v="0"/>
    <x v="10"/>
    <x v="4"/>
    <x v="2"/>
    <x v="1"/>
    <x v="0"/>
    <x v="0"/>
    <s v="Teresa Perez. 954189053"/>
    <s v=""/>
    <s v="https://drive.google.com/open?id=1wkSuowAVt-NviWjWcppHd8NyXLJ14WEE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2"/>
    <x v="41"/>
    <x v="18"/>
    <x v="4"/>
    <x v="1"/>
    <x v="0"/>
    <x v="61"/>
    <s v="No"/>
    <d v="2025-05-08T00:28:15"/>
    <x v="0"/>
  </r>
  <r>
    <x v="68"/>
    <x v="68"/>
    <x v="68"/>
    <x v="66"/>
    <s v="cuatro poniente 825"/>
    <x v="11"/>
    <s v="Celular"/>
    <x v="68"/>
    <x v="0"/>
    <x v="17"/>
    <x v="5"/>
    <x v="8"/>
    <x v="0"/>
    <x v="0"/>
    <x v="0"/>
    <s v="marcia venegas 977278192"/>
    <s v=""/>
    <s v="https://drive.google.com/open?id=1hfSWJrMjM-0WdIzj0DyNwgcZtDX-oR-e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5"/>
    <x v="42"/>
    <x v="18"/>
    <x v="43"/>
    <x v="1"/>
    <x v="0"/>
    <x v="62"/>
    <s v="No"/>
    <d v="2025-05-08T09:40:47"/>
    <x v="2"/>
  </r>
  <r>
    <x v="69"/>
    <x v="69"/>
    <x v="69"/>
    <x v="67"/>
    <s v="Pasaje doce 5854"/>
    <x v="3"/>
    <s v="Celular"/>
    <x v="69"/>
    <x v="0"/>
    <x v="5"/>
    <x v="1"/>
    <x v="4"/>
    <x v="0"/>
    <x v="0"/>
    <x v="0"/>
    <s v="Eduardo Sobrevía +56990995954"/>
    <s v=""/>
    <s v="https://drive.google.com/open?id=1-ldxBumd6MEEFHjLkPUVoOgiSxZ957ee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5"/>
    <x v="2"/>
    <x v="17"/>
    <x v="44"/>
    <x v="1"/>
    <x v="0"/>
    <x v="63"/>
    <s v="No"/>
    <d v="2025-05-08T12:54:25"/>
    <x v="0"/>
  </r>
  <r>
    <x v="70"/>
    <x v="70"/>
    <x v="70"/>
    <x v="68"/>
    <s v="Los cerezos 4105"/>
    <x v="5"/>
    <s v="Celular"/>
    <x v="70"/>
    <x v="0"/>
    <x v="18"/>
    <x v="2"/>
    <x v="3"/>
    <x v="0"/>
    <x v="19"/>
    <x v="0"/>
    <s v="Francisco Hidalgo +56 9 6537 6045"/>
    <s v=""/>
    <s v="https://drive.google.com/open?id=1SFeQSk_FVbdHCoU0xOGsg4moHq6GADF9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7"/>
    <x v="43"/>
    <x v="2"/>
    <x v="45"/>
    <x v="2"/>
    <x v="0"/>
    <x v="64"/>
    <s v="No"/>
    <d v="2025-05-08T17:04:44"/>
    <x v="0"/>
  </r>
  <r>
    <x v="71"/>
    <x v="71"/>
    <x v="71"/>
    <x v="69"/>
    <s v="Valle hermoso"/>
    <x v="14"/>
    <s v="Celular"/>
    <x v="71"/>
    <x v="0"/>
    <x v="19"/>
    <x v="3"/>
    <x v="0"/>
    <x v="0"/>
    <x v="0"/>
    <x v="0"/>
    <s v="Leocadio Bastías, +56989350459"/>
    <s v=""/>
    <s v="https://drive.google.com/open?id=12txDRHQ2UrXvEG595rWNtJYZVMdWUYB-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3"/>
    <x v="44"/>
    <x v="31"/>
    <x v="46"/>
    <x v="1"/>
    <x v="0"/>
    <x v="65"/>
    <s v="No"/>
    <d v="2025-05-08T19:14:27"/>
    <x v="0"/>
  </r>
  <r>
    <x v="72"/>
    <x v="72"/>
    <x v="72"/>
    <x v="70"/>
    <s v="Seminario 112"/>
    <x v="1"/>
    <s v="Celular"/>
    <x v="72"/>
    <x v="0"/>
    <x v="15"/>
    <x v="3"/>
    <x v="1"/>
    <x v="0"/>
    <x v="0"/>
    <x v="2"/>
    <s v="Ana navarro 997273745"/>
    <s v=""/>
    <s v="https://drive.google.com/open?id=1a10kQAh0hBbkRwZE0DPGtyl6LqfIrunf"/>
    <s v="Ninguno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6"/>
    <x v="45"/>
    <x v="9"/>
    <x v="47"/>
    <x v="1"/>
    <x v="0"/>
    <x v="66"/>
    <s v="No"/>
    <d v="2025-05-08T19:31:06"/>
    <x v="0"/>
  </r>
  <r>
    <x v="73"/>
    <x v="73"/>
    <x v="73"/>
    <x v="71"/>
    <s v="San Francisco 1295"/>
    <x v="1"/>
    <s v="Celular"/>
    <x v="73"/>
    <x v="0"/>
    <x v="15"/>
    <x v="5"/>
    <x v="1"/>
    <x v="0"/>
    <x v="20"/>
    <x v="2"/>
    <s v="990521472"/>
    <s v=""/>
    <s v="https://drive.google.com/open?id=14H1ZhokNpf8DEe5LYX8Ou5xQGaO0frWx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5"/>
    <x v="46"/>
    <x v="21"/>
    <x v="14"/>
    <x v="1"/>
    <x v="1"/>
    <x v="67"/>
    <s v="No"/>
    <d v="2025-05-08T21:09:11"/>
    <x v="0"/>
  </r>
  <r>
    <x v="74"/>
    <x v="74"/>
    <x v="74"/>
    <x v="72"/>
    <s v="Martinez de Rosas 137"/>
    <x v="7"/>
    <s v="Celular"/>
    <x v="74"/>
    <x v="0"/>
    <x v="8"/>
    <x v="5"/>
    <x v="6"/>
    <x v="0"/>
    <x v="0"/>
    <x v="0"/>
    <s v="Magdalena Carrasco +56942184138"/>
    <s v="No"/>
    <s v="https://drive.google.com/open?id=1PHmpNamQeRdMP63N3qo2uEEpcyMO4_6C"/>
    <s v="Inicial"/>
    <s v="Ninguno"/>
    <s v="Golondrinas"/>
    <s v="Ninguno"/>
    <s v="NO"/>
    <s v="NO"/>
    <s v="NO"/>
    <s v="NO"/>
    <s v="NO"/>
    <n v="1"/>
    <x v="1"/>
    <x v="1"/>
    <m/>
    <s v="Skoda"/>
    <s v="QODIAK"/>
    <s v="SXYH17"/>
    <x v="0"/>
    <x v="0"/>
    <x v="1"/>
    <x v="1"/>
    <x v="1"/>
    <m/>
    <x v="0"/>
    <x v="0"/>
    <x v="19"/>
    <x v="13"/>
    <x v="0"/>
    <x v="37"/>
    <x v="2"/>
    <x v="1"/>
    <x v="68"/>
    <s v="No"/>
    <d v="2025-05-09T09:51:38"/>
    <x v="1"/>
  </r>
  <r>
    <x v="75"/>
    <x v="75"/>
    <x v="75"/>
    <x v="73"/>
    <s v="Pasaje tres, 865 salinas talcahuano"/>
    <x v="5"/>
    <s v="Celular"/>
    <x v="75"/>
    <x v="0"/>
    <x v="14"/>
    <x v="0"/>
    <x v="3"/>
    <x v="1"/>
    <x v="0"/>
    <x v="0"/>
    <s v="Pablo Marín +56926339785"/>
    <s v=""/>
    <s v="https://drive.google.com/open?id=18hh0XoJq1pTMFkOP_3sogBchbwCgWNsZ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2"/>
    <x v="20"/>
    <x v="47"/>
    <x v="32"/>
    <x v="48"/>
    <x v="1"/>
    <x v="1"/>
    <x v="69"/>
    <s v="No"/>
    <d v="2025-05-09T15:14:12"/>
    <x v="0"/>
  </r>
  <r>
    <x v="76"/>
    <x v="76"/>
    <x v="76"/>
    <x v="74"/>
    <s v="calle biobio, pasaje 2 casa 1625"/>
    <x v="2"/>
    <s v="Celular"/>
    <x v="76"/>
    <x v="0"/>
    <x v="14"/>
    <x v="4"/>
    <x v="3"/>
    <x v="0"/>
    <x v="0"/>
    <x v="0"/>
    <s v="victor Marin 978792562"/>
    <s v=""/>
    <s v="https://drive.google.com/open?id=18yZhnbb7GAo6sQc-oa9L28tByIe4w4Pz"/>
    <s v="Ninguno"/>
    <s v="Ninguno"/>
    <s v="Ninguno"/>
    <s v="Ninguno"/>
    <s v="NO"/>
    <s v="NO"/>
    <s v="NO"/>
    <s v="NO"/>
    <s v="NO"/>
    <n v="1"/>
    <x v="0"/>
    <x v="0"/>
    <m/>
    <s v="changan"/>
    <s v="cx70"/>
    <s v="lkxd-13"/>
    <x v="0"/>
    <x v="0"/>
    <x v="0"/>
    <x v="0"/>
    <x v="0"/>
    <m/>
    <x v="0"/>
    <x v="0"/>
    <x v="17"/>
    <x v="48"/>
    <x v="33"/>
    <x v="0"/>
    <x v="1"/>
    <x v="3"/>
    <x v="70"/>
    <s v="No"/>
    <d v="2025-05-09T20:24:43"/>
    <x v="2"/>
  </r>
  <r>
    <x v="77"/>
    <x v="77"/>
    <x v="77"/>
    <x v="75"/>
    <s v="av octavio jara wolff 2080 casa 44"/>
    <x v="1"/>
    <s v="Celular"/>
    <x v="77"/>
    <x v="0"/>
    <x v="1"/>
    <x v="2"/>
    <x v="1"/>
    <x v="2"/>
    <x v="0"/>
    <x v="0"/>
    <s v="989071365 (Eugenia zapata)"/>
    <s v=""/>
    <s v="https://drive.google.com/open?id=1_2qswd7ztXBBKxMoQm1riGMbRwLnfbMA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1"/>
    <m/>
    <x v="0"/>
    <x v="0"/>
    <x v="16"/>
    <x v="49"/>
    <x v="2"/>
    <x v="37"/>
    <x v="1"/>
    <x v="0"/>
    <x v="71"/>
    <s v="No"/>
    <d v="2025-05-09T20:36:24"/>
    <x v="0"/>
  </r>
  <r>
    <x v="78"/>
    <x v="78"/>
    <x v="78"/>
    <x v="76"/>
    <s v="Pasaje 12 casa 916 Villa Huascar"/>
    <x v="4"/>
    <s v="Celular"/>
    <x v="78"/>
    <x v="0"/>
    <x v="13"/>
    <x v="5"/>
    <x v="4"/>
    <x v="0"/>
    <x v="0"/>
    <x v="0"/>
    <s v="Hector Alarcón +56994120784"/>
    <s v="No consumo lactosa"/>
    <s v="https://drive.google.com/open?id=1vNA_wBq1KFmmoH8oGCvWuC0Ku-zNQTQ_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2"/>
    <x v="34"/>
    <x v="18"/>
    <x v="1"/>
    <x v="0"/>
    <x v="72"/>
    <s v="No"/>
    <d v="2025-05-09T21:08:34"/>
    <x v="0"/>
  </r>
  <r>
    <x v="79"/>
    <x v="79"/>
    <x v="79"/>
    <x v="77"/>
    <s v="Luz Alcazar 769 villa los profesores"/>
    <x v="1"/>
    <s v="Celular"/>
    <x v="79"/>
    <x v="0"/>
    <x v="1"/>
    <x v="0"/>
    <x v="1"/>
    <x v="0"/>
    <x v="0"/>
    <x v="2"/>
    <s v="Nancy robles y 997789939"/>
    <s v=""/>
    <s v="https://drive.google.com/open?id=1okOSesvkEXVG5O8RemgE-ZiVeD9CjNr-ARWW6whavoI"/>
    <s v="Ninguno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3"/>
    <x v="1"/>
    <x v="1"/>
    <m/>
    <x v="0"/>
    <x v="0"/>
    <x v="2"/>
    <x v="2"/>
    <x v="21"/>
    <x v="0"/>
    <x v="1"/>
    <x v="0"/>
    <x v="73"/>
    <s v="No"/>
    <d v="2025-05-10T00:34:14"/>
    <x v="1"/>
  </r>
  <r>
    <x v="80"/>
    <x v="80"/>
    <x v="80"/>
    <x v="78"/>
    <s v="Jaime Repullo 1315"/>
    <x v="5"/>
    <s v="Celular"/>
    <x v="80"/>
    <x v="0"/>
    <x v="20"/>
    <x v="2"/>
    <x v="3"/>
    <x v="0"/>
    <x v="0"/>
    <x v="0"/>
    <s v="Gilberto Hermosilla +56957785426"/>
    <s v=""/>
    <s v="https://drive.google.com/open?id=1TIZk6L0-rtdlIFZccajKWRtdx9V-R4Hy"/>
    <s v="Medio"/>
    <s v="10529"/>
    <s v="Scouts"/>
    <s v="Ninguno"/>
    <s v="NO"/>
    <s v="NO"/>
    <s v="NO"/>
    <s v="NO"/>
    <s v="NO"/>
    <n v="1"/>
    <x v="0"/>
    <x v="0"/>
    <m/>
    <s v="Nissan"/>
    <s v="Qashqai"/>
    <s v="LY FL 50"/>
    <x v="1"/>
    <x v="1"/>
    <x v="0"/>
    <x v="0"/>
    <x v="0"/>
    <m/>
    <x v="0"/>
    <x v="0"/>
    <x v="18"/>
    <x v="50"/>
    <x v="34"/>
    <x v="16"/>
    <x v="1"/>
    <x v="0"/>
    <x v="18"/>
    <s v="No"/>
    <d v="2025-05-11T23:00:42"/>
    <x v="0"/>
  </r>
  <r>
    <x v="81"/>
    <x v="81"/>
    <x v="81"/>
    <x v="79"/>
    <s v="Camino a Reposo S/N, Km 0780"/>
    <x v="15"/>
    <s v="Celular"/>
    <x v="81"/>
    <x v="1"/>
    <x v="19"/>
    <x v="1"/>
    <x v="0"/>
    <x v="0"/>
    <x v="0"/>
    <x v="0"/>
    <s v="Scarleth Jara //+56 9 9142 9448"/>
    <s v=""/>
    <s v="https://drive.google.com/open?id=1ONfmyM3ZbOiI-iikMpP9fw_bjPhec9nt"/>
    <s v="Avanzado"/>
    <s v="9207"/>
    <s v="Pioneros"/>
    <s v="Pioneros"/>
    <s v="SI"/>
    <s v="SI"/>
    <s v="Pioneros"/>
    <s v="Pioneros"/>
    <s v="NO"/>
    <n v="1"/>
    <x v="0"/>
    <x v="0"/>
    <m/>
    <s v=""/>
    <s v=""/>
    <s v=""/>
    <x v="0"/>
    <x v="0"/>
    <x v="4"/>
    <x v="0"/>
    <x v="0"/>
    <m/>
    <x v="0"/>
    <x v="0"/>
    <x v="18"/>
    <x v="51"/>
    <x v="35"/>
    <x v="49"/>
    <x v="1"/>
    <x v="5"/>
    <x v="18"/>
    <s v="No"/>
    <d v="2025-05-12T12:12:53"/>
    <x v="1"/>
  </r>
  <r>
    <x v="82"/>
    <x v="82"/>
    <x v="82"/>
    <x v="80"/>
    <s v="Lope de Landa 1358"/>
    <x v="0"/>
    <s v="Celular"/>
    <x v="82"/>
    <x v="1"/>
    <x v="0"/>
    <x v="3"/>
    <x v="0"/>
    <x v="0"/>
    <x v="0"/>
    <x v="2"/>
    <s v="Carolina Sepúlveda  - +56987329470"/>
    <s v=""/>
    <s v="https://drive.google.com/open?id=1totP1UkP_cXVtSXUxnPWcNZMI23NMxgI"/>
    <s v="Medio"/>
    <s v="7771"/>
    <s v="Lobatos"/>
    <s v="Ninguno"/>
    <s v="SI"/>
    <s v="SI"/>
    <s v="Lobatos"/>
    <s v="Lobatos"/>
    <s v="SI"/>
    <n v="1"/>
    <x v="0"/>
    <x v="0"/>
    <m/>
    <s v="Mitsubishi"/>
    <s v="Lancer"/>
    <s v="BFDH62"/>
    <x v="0"/>
    <x v="0"/>
    <x v="4"/>
    <x v="0"/>
    <x v="0"/>
    <m/>
    <x v="0"/>
    <x v="0"/>
    <x v="9"/>
    <x v="52"/>
    <x v="15"/>
    <x v="50"/>
    <x v="1"/>
    <x v="0"/>
    <x v="74"/>
    <s v="No"/>
    <d v="2025-05-12T12:28:57"/>
    <x v="1"/>
  </r>
  <r>
    <x v="83"/>
    <x v="83"/>
    <x v="83"/>
    <x v="81"/>
    <s v="Quinchamalí 9322 Parque Biobío"/>
    <x v="3"/>
    <s v="Celular"/>
    <x v="83"/>
    <x v="1"/>
    <x v="21"/>
    <x v="1"/>
    <x v="4"/>
    <x v="0"/>
    <x v="0"/>
    <x v="0"/>
    <s v="Victor Chavez +56992721014"/>
    <s v=""/>
    <s v="https://drive.google.com/open?id=1r0WuaHydDZ0276D-L2M7KOprXg3Hy1a8"/>
    <s v="Medio"/>
    <s v="10571"/>
    <s v="Pioneros"/>
    <s v="Ninguno"/>
    <s v="SI"/>
    <s v="SI"/>
    <s v="Pioneros"/>
    <s v="Pioneros"/>
    <s v="SI"/>
    <n v="1"/>
    <x v="0"/>
    <x v="0"/>
    <m/>
    <s v="Chery"/>
    <s v="Tiggo 2"/>
    <s v="RSFP-38"/>
    <x v="0"/>
    <x v="0"/>
    <x v="4"/>
    <x v="0"/>
    <x v="0"/>
    <m/>
    <x v="0"/>
    <x v="0"/>
    <x v="3"/>
    <x v="53"/>
    <x v="36"/>
    <x v="51"/>
    <x v="1"/>
    <x v="1"/>
    <x v="75"/>
    <s v="No"/>
    <d v="2025-05-12T12:38:44"/>
    <x v="1"/>
  </r>
  <r>
    <x v="84"/>
    <x v="84"/>
    <x v="84"/>
    <x v="82"/>
    <s v="Los Cristales 316"/>
    <x v="1"/>
    <s v="Celular"/>
    <x v="84"/>
    <x v="1"/>
    <x v="15"/>
    <x v="4"/>
    <x v="1"/>
    <x v="0"/>
    <x v="0"/>
    <x v="0"/>
    <s v="Ana Pajarito 969171548"/>
    <s v=""/>
    <s v="https://drive.google.com/open?id=1TRr1XCtHPS7GYLvDLNY19i_QSSuIeGyb"/>
    <s v="Medio"/>
    <s v="10211"/>
    <s v="Scouts"/>
    <s v="Ninguno"/>
    <s v="SI"/>
    <s v="SI"/>
    <s v="Scouts"/>
    <s v="Scouts"/>
    <s v="NO"/>
    <n v="1"/>
    <x v="0"/>
    <x v="0"/>
    <m/>
    <s v="Chery"/>
    <s v="Tiggo 2"/>
    <s v="JGHR52"/>
    <x v="0"/>
    <x v="0"/>
    <x v="4"/>
    <x v="0"/>
    <x v="0"/>
    <m/>
    <x v="0"/>
    <x v="0"/>
    <x v="4"/>
    <x v="54"/>
    <x v="37"/>
    <x v="2"/>
    <x v="2"/>
    <x v="0"/>
    <x v="76"/>
    <s v="No"/>
    <d v="2025-05-12T12:40:16"/>
    <x v="1"/>
  </r>
  <r>
    <x v="85"/>
    <x v="85"/>
    <x v="85"/>
    <x v="83"/>
    <s v="Villa Cayucupil 696. Km12. Cañete"/>
    <x v="15"/>
    <s v="Celular"/>
    <x v="85"/>
    <x v="1"/>
    <x v="19"/>
    <x v="4"/>
    <x v="0"/>
    <x v="0"/>
    <x v="21"/>
    <x v="0"/>
    <s v="Anita Madrid 993598234"/>
    <s v=""/>
    <s v="https://drive.google.com/open?id=1T9uEXqPh8Nwzq-6i4dnjq9P1PoWG1Yg6"/>
    <s v="Avanzado"/>
    <s v="8666"/>
    <s v="Scouts"/>
    <s v="Scouts"/>
    <s v="SI"/>
    <s v="SI"/>
    <s v="Scouts"/>
    <s v="Scouts"/>
    <s v="SI"/>
    <n v="1"/>
    <x v="0"/>
    <x v="0"/>
    <m/>
    <s v=""/>
    <s v=""/>
    <s v=""/>
    <x v="1"/>
    <x v="1"/>
    <x v="4"/>
    <x v="0"/>
    <x v="0"/>
    <m/>
    <x v="0"/>
    <x v="3"/>
    <x v="21"/>
    <x v="55"/>
    <x v="38"/>
    <x v="13"/>
    <x v="2"/>
    <x v="7"/>
    <x v="77"/>
    <s v="No"/>
    <d v="2025-05-12T12:57:22"/>
    <x v="1"/>
  </r>
  <r>
    <x v="86"/>
    <x v="86"/>
    <x v="86"/>
    <x v="84"/>
    <s v="Pedro Aguirre Cerda 1699 Dpto H."/>
    <x v="0"/>
    <s v="Celular"/>
    <x v="86"/>
    <x v="2"/>
    <x v="22"/>
    <x v="4"/>
    <x v="0"/>
    <x v="0"/>
    <x v="0"/>
    <x v="0"/>
    <s v="Marcia figueroa +56993515385"/>
    <s v=""/>
    <s v="https://drive.google.com/open?id=1n3fdLYQPIPZbi-J8Nn3Yu5n4L1FzVOGR"/>
    <s v="Medio"/>
    <s v="10978"/>
    <s v="Scouts"/>
    <s v="Ninguno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1"/>
    <x v="2"/>
    <x v="34"/>
    <x v="14"/>
    <x v="1"/>
    <x v="3"/>
    <x v="78"/>
    <s v="No"/>
    <d v="2025-05-12T12:57:37"/>
    <x v="1"/>
  </r>
  <r>
    <x v="87"/>
    <x v="87"/>
    <x v="87"/>
    <x v="85"/>
    <s v="San Eulogio 416"/>
    <x v="4"/>
    <s v="Celular"/>
    <x v="87"/>
    <x v="1"/>
    <x v="4"/>
    <x v="3"/>
    <x v="2"/>
    <x v="3"/>
    <x v="0"/>
    <x v="0"/>
    <s v="Aida Muñoz, madre +5667777454"/>
    <s v=""/>
    <s v="https://drive.google.com/open?id=1bbhfQVbjzIFcPKWsXYwLkwVTImpv6xsxMwufXBgA3DY"/>
    <s v="Medio"/>
    <s v="9553"/>
    <s v="Lobatos"/>
    <s v="Ninguno"/>
    <s v="SI"/>
    <s v="SI"/>
    <s v="Lobatos"/>
    <s v="Lobatos"/>
    <s v="NO"/>
    <n v="1"/>
    <x v="0"/>
    <x v="0"/>
    <m/>
    <s v="Suzuki"/>
    <s v="Grand Nomade"/>
    <s v="HDDF-12"/>
    <x v="0"/>
    <x v="0"/>
    <x v="4"/>
    <x v="0"/>
    <x v="0"/>
    <m/>
    <x v="0"/>
    <x v="0"/>
    <x v="0"/>
    <x v="23"/>
    <x v="17"/>
    <x v="34"/>
    <x v="1"/>
    <x v="0"/>
    <x v="79"/>
    <s v="No"/>
    <d v="2025-05-12T14:19:30"/>
    <x v="1"/>
  </r>
  <r>
    <x v="88"/>
    <x v="88"/>
    <x v="88"/>
    <x v="86"/>
    <s v="Avenida Los Copihues 286"/>
    <x v="3"/>
    <s v="Celular"/>
    <x v="88"/>
    <x v="1"/>
    <x v="10"/>
    <x v="1"/>
    <x v="9"/>
    <x v="0"/>
    <x v="22"/>
    <x v="0"/>
    <s v="Raúl Alarcón, 974909538"/>
    <s v=""/>
    <s v="https://drive.google.com/open?id=1PlPQhl9tUGlMI1sGT-qRa_CxWkOvIwK2"/>
    <s v="Medio"/>
    <s v="9965"/>
    <s v="Guias, Pioneros"/>
    <s v="Ninguno"/>
    <s v="SI"/>
    <s v="SI"/>
    <s v="Guias"/>
    <s v="Guias"/>
    <s v="NO"/>
    <n v="1"/>
    <x v="0"/>
    <x v="0"/>
    <m/>
    <s v="Kia"/>
    <s v="Morning"/>
    <s v="GRWX47"/>
    <x v="1"/>
    <x v="1"/>
    <x v="4"/>
    <x v="0"/>
    <x v="0"/>
    <m/>
    <x v="0"/>
    <x v="0"/>
    <x v="15"/>
    <x v="0"/>
    <x v="5"/>
    <x v="11"/>
    <x v="1"/>
    <x v="0"/>
    <x v="80"/>
    <s v="No"/>
    <d v="2025-05-12T14:39:16"/>
    <x v="1"/>
  </r>
  <r>
    <x v="89"/>
    <x v="89"/>
    <x v="89"/>
    <x v="87"/>
    <s v="Minero Pedro Huerta Riquelme 2270 la peña coronel"/>
    <x v="16"/>
    <s v="Celular"/>
    <x v="89"/>
    <x v="0"/>
    <x v="0"/>
    <x v="2"/>
    <x v="0"/>
    <x v="0"/>
    <x v="0"/>
    <x v="0"/>
    <s v="Amanda 949936315"/>
    <s v=""/>
    <s v="https://drive.google.com/open?id=1-D5DpxyCJuiDZ98KbR0IgR1JqzM1Db2x"/>
    <s v="Medio"/>
    <s v="8066"/>
    <s v="Golondrinas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4"/>
    <x v="20"/>
    <x v="30"/>
    <x v="9"/>
    <x v="51"/>
    <x v="1"/>
    <x v="0"/>
    <x v="81"/>
    <s v="No"/>
    <d v="2025-05-12T15:34:53"/>
    <x v="0"/>
  </r>
  <r>
    <x v="90"/>
    <x v="90"/>
    <x v="90"/>
    <x v="88"/>
    <s v="CAMINO LOS QUILLAYES KM 2.5 INTERIOR TOMÉ"/>
    <x v="17"/>
    <s v="Celular"/>
    <x v="90"/>
    <x v="0"/>
    <x v="22"/>
    <x v="3"/>
    <x v="0"/>
    <x v="0"/>
    <x v="0"/>
    <x v="0"/>
    <s v="Esteban Celis 977707916"/>
    <s v=""/>
    <s v="https://drive.google.com/open?id=1VqOERYaL2Wsnm07IZEzF7tCoCwjBG2r9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5"/>
    <x v="1"/>
    <x v="1"/>
    <m/>
    <x v="0"/>
    <x v="0"/>
    <x v="22"/>
    <x v="56"/>
    <x v="39"/>
    <x v="52"/>
    <x v="1"/>
    <x v="8"/>
    <x v="82"/>
    <s v="No"/>
    <d v="2025-05-12T16:01:01"/>
    <x v="1"/>
  </r>
  <r>
    <x v="91"/>
    <x v="91"/>
    <x v="91"/>
    <x v="89"/>
    <s v="Villa Cayucupil 696"/>
    <x v="15"/>
    <s v="Celular"/>
    <x v="91"/>
    <x v="1"/>
    <x v="19"/>
    <x v="5"/>
    <x v="0"/>
    <x v="0"/>
    <x v="0"/>
    <x v="0"/>
    <s v="Carlos Hormazábal  Saez"/>
    <s v=""/>
    <s v="https://drive.google.com/open?id=1ghiVKp1Gv7gelWXMftUezBju0fN1ek6n"/>
    <s v="Avanzado"/>
    <s v="8667"/>
    <s v="Golondrinas"/>
    <s v="Golondrinas"/>
    <s v="SI"/>
    <s v="SI"/>
    <s v="Golondrinas"/>
    <s v="Ninguno"/>
    <s v="SI"/>
    <n v="1"/>
    <x v="0"/>
    <x v="0"/>
    <m/>
    <s v="Chevrolet"/>
    <s v="Camioneta Montana"/>
    <s v="SZ SH 12"/>
    <x v="0"/>
    <x v="0"/>
    <x v="4"/>
    <x v="0"/>
    <x v="0"/>
    <m/>
    <x v="0"/>
    <x v="0"/>
    <x v="22"/>
    <x v="57"/>
    <x v="19"/>
    <x v="53"/>
    <x v="2"/>
    <x v="1"/>
    <x v="25"/>
    <s v="No"/>
    <d v="2025-05-12T17:50:59"/>
    <x v="1"/>
  </r>
  <r>
    <x v="92"/>
    <x v="92"/>
    <x v="92"/>
    <x v="90"/>
    <s v="Colón 8185 depto 208 b parque Ligure hualpen"/>
    <x v="3"/>
    <s v="Celular"/>
    <x v="92"/>
    <x v="1"/>
    <x v="23"/>
    <x v="5"/>
    <x v="10"/>
    <x v="0"/>
    <x v="0"/>
    <x v="0"/>
    <s v="Matías villarroel Vera  +56 9 7510 2463"/>
    <s v="No"/>
    <s v="https://drive.google.com/open?id=1CXaJ3owPhP0TKnYglUh8tDdGxMUOFh5d"/>
    <s v="Avanzado"/>
    <s v="7916"/>
    <s v="Golondrinas"/>
    <s v="Golondrinas"/>
    <s v="SI"/>
    <s v="SI"/>
    <s v="Golondrinas"/>
    <s v="Golondrinas"/>
    <s v="NO"/>
    <n v="1"/>
    <x v="0"/>
    <x v="0"/>
    <m/>
    <s v=""/>
    <s v=""/>
    <s v=""/>
    <x v="0"/>
    <x v="0"/>
    <x v="4"/>
    <x v="0"/>
    <x v="0"/>
    <m/>
    <x v="0"/>
    <x v="3"/>
    <x v="4"/>
    <x v="58"/>
    <x v="17"/>
    <x v="34"/>
    <x v="1"/>
    <x v="1"/>
    <x v="83"/>
    <s v="No"/>
    <d v="2025-05-12T18:58:56"/>
    <x v="1"/>
  </r>
  <r>
    <x v="93"/>
    <x v="93"/>
    <x v="93"/>
    <x v="91"/>
    <s v="camino san luis parcela 4"/>
    <x v="11"/>
    <s v="Celular"/>
    <x v="93"/>
    <x v="1"/>
    <x v="16"/>
    <x v="5"/>
    <x v="8"/>
    <x v="0"/>
    <x v="0"/>
    <x v="0"/>
    <s v="Albina Espinoza - 984256625"/>
    <s v=""/>
    <s v="https://drive.google.com/open?id=1pRsw0aQ56I5UhK3KZ2XqDYD2WKkH4Mo5"/>
    <s v="Medio"/>
    <s v="10409"/>
    <s v="Golondrinas"/>
    <s v="Ninguno"/>
    <s v="SI"/>
    <s v="SI"/>
    <s v="Golondrinas"/>
    <s v="Golondrinas"/>
    <s v="NO"/>
    <n v="1"/>
    <x v="0"/>
    <x v="0"/>
    <m/>
    <s v=""/>
    <s v=""/>
    <s v=""/>
    <x v="0"/>
    <x v="0"/>
    <x v="4"/>
    <x v="0"/>
    <x v="0"/>
    <m/>
    <x v="0"/>
    <x v="0"/>
    <x v="16"/>
    <x v="27"/>
    <x v="5"/>
    <x v="54"/>
    <x v="1"/>
    <x v="0"/>
    <x v="84"/>
    <s v="No"/>
    <d v="2025-05-12T20:38:10"/>
    <x v="1"/>
  </r>
  <r>
    <x v="94"/>
    <x v="94"/>
    <x v="94"/>
    <x v="92"/>
    <s v="Avenida Santa María 7550. Depto 404 Torre B. Condominio Los Triunfadores, Valle Santa María."/>
    <x v="3"/>
    <s v="Celular"/>
    <x v="94"/>
    <x v="1"/>
    <x v="24"/>
    <x v="4"/>
    <x v="0"/>
    <x v="0"/>
    <x v="0"/>
    <x v="0"/>
    <s v="Laury Salas / +56966463641"/>
    <s v=""/>
    <s v="https://drive.google.com/open?id=1fn3i5jXTDHoDMJB25Lcnp9rQ44SsD4I8"/>
    <s v="Avanzado"/>
    <s v="7212"/>
    <s v="Scouts"/>
    <s v="Scouts"/>
    <s v="SI"/>
    <s v="SI"/>
    <s v="Scouts"/>
    <s v="Scouts"/>
    <s v="No Actualizado"/>
    <n v="1"/>
    <x v="0"/>
    <x v="0"/>
    <m/>
    <s v="Peugeot"/>
    <s v="309 GTR"/>
    <s v="KV7682"/>
    <x v="0"/>
    <x v="0"/>
    <x v="4"/>
    <x v="0"/>
    <x v="0"/>
    <m/>
    <x v="0"/>
    <x v="3"/>
    <x v="10"/>
    <x v="59"/>
    <x v="17"/>
    <x v="34"/>
    <x v="1"/>
    <x v="0"/>
    <x v="85"/>
    <s v="No"/>
    <d v="2025-05-12T20:50:59"/>
    <x v="1"/>
  </r>
  <r>
    <x v="95"/>
    <x v="95"/>
    <x v="95"/>
    <x v="93"/>
    <s v="servia 3127 poblacion el solar"/>
    <x v="3"/>
    <s v="Celular"/>
    <x v="95"/>
    <x v="0"/>
    <x v="3"/>
    <x v="4"/>
    <x v="3"/>
    <x v="0"/>
    <x v="0"/>
    <x v="0"/>
    <s v="alejandra luna +56979775151"/>
    <s v="tengo dos hijos pequeños y tendre que dejarlos encargados y en ncaso de emergencia me podrian llamar"/>
    <s v="https://drive.google.com/open?id=1nEFCK7QcaiRvi6KJc9Jyi7Rzc6OhmtkE"/>
    <s v="Inicial"/>
    <s v="Ninguno"/>
    <s v="Ninguno"/>
    <s v="Ninguno"/>
    <s v="NO"/>
    <s v="NO"/>
    <s v="NO"/>
    <s v="NO"/>
    <s v="NO"/>
    <n v="1"/>
    <x v="0"/>
    <x v="0"/>
    <m/>
    <s v="Hyundai"/>
    <s v="creta"/>
    <s v="klhp32"/>
    <x v="1"/>
    <x v="1"/>
    <x v="0"/>
    <x v="0"/>
    <x v="0"/>
    <m/>
    <x v="0"/>
    <x v="0"/>
    <x v="20"/>
    <x v="60"/>
    <x v="40"/>
    <x v="0"/>
    <x v="1"/>
    <x v="3"/>
    <x v="86"/>
    <s v="No"/>
    <d v="2025-05-12T20:56:28"/>
    <x v="0"/>
  </r>
  <r>
    <x v="96"/>
    <x v="96"/>
    <x v="96"/>
    <x v="94"/>
    <s v="Ainavillo 1955"/>
    <x v="4"/>
    <s v="Celular"/>
    <x v="96"/>
    <x v="0"/>
    <x v="4"/>
    <x v="3"/>
    <x v="2"/>
    <x v="1"/>
    <x v="0"/>
    <x v="0"/>
    <s v="Rosa Lillo +56956731068"/>
    <s v=""/>
    <s v="https://drive.google.com/open?id=1z-WzkyCnYgeYt_QpFgIMpr7LjZBhtBsf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2"/>
    <x v="61"/>
    <x v="0"/>
    <x v="0"/>
    <x v="1"/>
    <x v="1"/>
    <x v="87"/>
    <s v="No"/>
    <d v="2025-05-12T23:21:49"/>
    <x v="1"/>
  </r>
  <r>
    <x v="97"/>
    <x v="97"/>
    <x v="97"/>
    <x v="95"/>
    <s v="Las Rosas 1636"/>
    <x v="0"/>
    <s v="Celular"/>
    <x v="97"/>
    <x v="0"/>
    <x v="4"/>
    <x v="3"/>
    <x v="2"/>
    <x v="1"/>
    <x v="0"/>
    <x v="0"/>
    <s v="Andrés Brante +56 9 6236 1316"/>
    <s v=""/>
    <s v="https://drive.google.com/open?id=1eMo8xfYxiHy-kfY4ct9Yw8JiLrcXMqp7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5"/>
    <x v="25"/>
    <x v="2"/>
    <x v="40"/>
    <x v="1"/>
    <x v="0"/>
    <x v="88"/>
    <s v="No"/>
    <d v="2025-05-13T00:35:37"/>
    <x v="0"/>
  </r>
  <r>
    <x v="98"/>
    <x v="98"/>
    <x v="98"/>
    <x v="96"/>
    <s v="Pio Baroja 1541"/>
    <x v="4"/>
    <s v="Celular"/>
    <x v="98"/>
    <x v="1"/>
    <x v="4"/>
    <x v="1"/>
    <x v="2"/>
    <x v="0"/>
    <x v="0"/>
    <x v="0"/>
    <s v="Pedro Muñoz, 94320599"/>
    <s v=""/>
    <s v="https://drive.google.com/open?id=1i5nWGimh6gLFc95G0J_O32HtznOCTqeI"/>
    <s v="Medio"/>
    <s v="9464"/>
    <s v="Pioneros"/>
    <s v="Ninguno"/>
    <s v="SI"/>
    <s v="SI"/>
    <s v="Pioneros"/>
    <s v="Pioneros"/>
    <s v="NO"/>
    <n v="1"/>
    <x v="0"/>
    <x v="0"/>
    <m/>
    <s v=""/>
    <s v=""/>
    <s v=""/>
    <x v="0"/>
    <x v="0"/>
    <x v="4"/>
    <x v="0"/>
    <x v="0"/>
    <m/>
    <x v="0"/>
    <x v="0"/>
    <x v="13"/>
    <x v="62"/>
    <x v="15"/>
    <x v="34"/>
    <x v="1"/>
    <x v="0"/>
    <x v="89"/>
    <s v="No"/>
    <d v="2025-05-13T13:26:25"/>
    <x v="1"/>
  </r>
  <r>
    <x v="99"/>
    <x v="99"/>
    <x v="99"/>
    <x v="97"/>
    <s v="Maipu 1430"/>
    <x v="4"/>
    <s v="Celular"/>
    <x v="99"/>
    <x v="0"/>
    <x v="6"/>
    <x v="5"/>
    <x v="4"/>
    <x v="1"/>
    <x v="0"/>
    <x v="0"/>
    <s v="Natalia: +56 9 3197 4612"/>
    <s v="No"/>
    <s v="https://drive.google.com/open?id=1bZrjpwnKQR803VBdNNZSsBKbhMM8qGWI"/>
    <s v="Medio"/>
    <s v="Ninguno"/>
    <s v="Ninguno"/>
    <s v="Ninguno"/>
    <s v="NO"/>
    <s v="NO"/>
    <s v="NO"/>
    <s v="NO"/>
    <s v="NO"/>
    <n v="1"/>
    <x v="1"/>
    <x v="1"/>
    <m/>
    <s v="_"/>
    <s v="_"/>
    <s v="_"/>
    <x v="0"/>
    <x v="0"/>
    <x v="1"/>
    <x v="1"/>
    <x v="1"/>
    <m/>
    <x v="0"/>
    <x v="0"/>
    <x v="15"/>
    <x v="63"/>
    <x v="34"/>
    <x v="0"/>
    <x v="1"/>
    <x v="0"/>
    <x v="90"/>
    <s v="No"/>
    <d v="2025-05-13T14:00:10"/>
    <x v="1"/>
  </r>
  <r>
    <x v="100"/>
    <x v="100"/>
    <x v="100"/>
    <x v="98"/>
    <s v="Condell 480"/>
    <x v="1"/>
    <s v="Celular"/>
    <x v="100"/>
    <x v="0"/>
    <x v="25"/>
    <x v="5"/>
    <x v="1"/>
    <x v="0"/>
    <x v="0"/>
    <x v="0"/>
    <s v="Nicolás +56952054822"/>
    <s v="No"/>
    <s v="https://drive.google.com/open?id=1ObNCJM4k0x7RYWPoVIa3cJZCIzRLvwSP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3"/>
    <x v="47"/>
    <x v="10"/>
    <x v="37"/>
    <x v="1"/>
    <x v="1"/>
    <x v="91"/>
    <s v="No"/>
    <d v="2025-05-13T18:30:39"/>
    <x v="0"/>
  </r>
  <r>
    <x v="101"/>
    <x v="101"/>
    <x v="101"/>
    <x v="99"/>
    <s v="psje, Juana Ross de Edwards 649, Conjunto residencial las palmeras, Collao"/>
    <x v="4"/>
    <s v="Celular"/>
    <x v="101"/>
    <x v="0"/>
    <x v="2"/>
    <x v="4"/>
    <x v="2"/>
    <x v="2"/>
    <x v="0"/>
    <x v="0"/>
    <s v="Mabel Martínez +56976481960"/>
    <s v=""/>
    <s v="https://drive.google.com/open?id=1E3j7U2Q6kuX9D_hd2JnEawsfKAYCO0QP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64"/>
    <x v="41"/>
    <x v="0"/>
    <x v="1"/>
    <x v="0"/>
    <x v="92"/>
    <s v="No"/>
    <d v="2025-05-13T21:50:04"/>
    <x v="0"/>
  </r>
  <r>
    <x v="102"/>
    <x v="102"/>
    <x v="102"/>
    <x v="100"/>
    <s v="Helios 585, Los Ángeles"/>
    <x v="1"/>
    <s v="Celular"/>
    <x v="102"/>
    <x v="1"/>
    <x v="26"/>
    <x v="5"/>
    <x v="1"/>
    <x v="0"/>
    <x v="0"/>
    <x v="0"/>
    <s v="Eloy Bascur +56999309709"/>
    <s v="No como embutidos"/>
    <s v="https://drive.google.com/open?id=1xs5BONbdDRm3YZhNfODaCYuK6-fpJGXy"/>
    <s v="Medio"/>
    <s v="6882"/>
    <s v="Golondrinas"/>
    <s v="Golondrinas"/>
    <s v="SI"/>
    <s v="SI"/>
    <s v="Golondrinas"/>
    <s v="Golondrinas"/>
    <s v="No Actualizado"/>
    <n v="1"/>
    <x v="0"/>
    <x v="0"/>
    <m/>
    <s v="Nissan"/>
    <s v="March"/>
    <s v="GCRR87"/>
    <x v="1"/>
    <x v="1"/>
    <x v="4"/>
    <x v="0"/>
    <x v="0"/>
    <m/>
    <x v="0"/>
    <x v="0"/>
    <x v="0"/>
    <x v="65"/>
    <x v="17"/>
    <x v="34"/>
    <x v="1"/>
    <x v="1"/>
    <x v="93"/>
    <s v="No"/>
    <d v="2025-05-13T22:18:39"/>
    <x v="1"/>
  </r>
  <r>
    <x v="103"/>
    <x v="103"/>
    <x v="103"/>
    <x v="101"/>
    <s v="Santa Clara 2930 condominio subsole, edificio Sta Laura , depto 407"/>
    <x v="4"/>
    <s v="Celular"/>
    <x v="103"/>
    <x v="1"/>
    <x v="27"/>
    <x v="4"/>
    <x v="10"/>
    <x v="1"/>
    <x v="0"/>
    <x v="0"/>
    <s v="Pablo Correa +56 9 5284 6149"/>
    <s v=""/>
    <s v="https://drive.google.com/open?id=1LLS_0j9c5M99wRTbsF60FqPJoMICBfAY"/>
    <s v="Medio"/>
    <s v="10729"/>
    <s v="Scouts"/>
    <s v="Ninguno"/>
    <s v="SI"/>
    <s v="SI"/>
    <s v="Scouts"/>
    <s v="Scouts"/>
    <s v="NO"/>
    <n v="1"/>
    <x v="0"/>
    <x v="0"/>
    <m/>
    <s v=""/>
    <s v=""/>
    <s v=""/>
    <x v="0"/>
    <x v="0"/>
    <x v="4"/>
    <x v="0"/>
    <x v="0"/>
    <m/>
    <x v="0"/>
    <x v="0"/>
    <x v="15"/>
    <x v="66"/>
    <x v="42"/>
    <x v="14"/>
    <x v="1"/>
    <x v="0"/>
    <x v="94"/>
    <s v="No"/>
    <d v="2025-05-13T23:29:14"/>
    <x v="1"/>
  </r>
  <r>
    <x v="104"/>
    <x v="104"/>
    <x v="104"/>
    <x v="102"/>
    <s v="2 oriente 61 poblacion esmeralda"/>
    <x v="5"/>
    <s v="Celular"/>
    <x v="104"/>
    <x v="0"/>
    <x v="18"/>
    <x v="1"/>
    <x v="3"/>
    <x v="0"/>
    <x v="0"/>
    <x v="0"/>
    <s v="Nadia solar +56997566570"/>
    <s v=""/>
    <s v="https://drive.google.com/open?id=1T0X__lc4vi9oHfMcip1m9E3KrP33JPZl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67"/>
    <x v="34"/>
    <x v="41"/>
    <x v="1"/>
    <x v="0"/>
    <x v="95"/>
    <s v="No"/>
    <d v="2025-05-14T12:30:19"/>
    <x v="0"/>
  </r>
  <r>
    <x v="105"/>
    <x v="105"/>
    <x v="105"/>
    <x v="103"/>
    <s v="Gibraltar 2718"/>
    <x v="3"/>
    <s v="Celular"/>
    <x v="105"/>
    <x v="0"/>
    <x v="3"/>
    <x v="0"/>
    <x v="3"/>
    <x v="2"/>
    <x v="23"/>
    <x v="2"/>
    <s v="Nancy Espinoza +56 9 5638 5203"/>
    <s v=""/>
    <s v="https://drive.google.com/open?id=1E1zZjxMwqEIA1_63X0hzW6QiRxW90smmC7g-kUyXDDo"/>
    <s v="Inicial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1"/>
    <x v="1"/>
    <x v="1"/>
    <m/>
    <x v="0"/>
    <x v="0"/>
    <x v="1"/>
    <x v="68"/>
    <x v="18"/>
    <x v="18"/>
    <x v="1"/>
    <x v="0"/>
    <x v="83"/>
    <s v="No"/>
    <d v="2025-05-14T18:46:48"/>
    <x v="1"/>
  </r>
  <r>
    <x v="106"/>
    <x v="106"/>
    <x v="106"/>
    <x v="104"/>
    <s v="Serbia 3127 sector el solar, block 4 depto 502"/>
    <x v="3"/>
    <s v="Celular"/>
    <x v="106"/>
    <x v="0"/>
    <x v="3"/>
    <x v="5"/>
    <x v="3"/>
    <x v="0"/>
    <x v="0"/>
    <x v="0"/>
    <s v="Luis Burgos Contreras +56977008466"/>
    <s v=""/>
    <s v="https://drive.google.com/open?id=1aHBHrS-nWwh4-FmnXYwqettD1CHAYMts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0"/>
    <x v="47"/>
    <x v="15"/>
    <x v="0"/>
    <x v="1"/>
    <x v="0"/>
    <x v="96"/>
    <s v="No"/>
    <d v="2025-05-14T19:44:52"/>
    <x v="0"/>
  </r>
  <r>
    <x v="107"/>
    <x v="107"/>
    <x v="107"/>
    <x v="105"/>
    <s v="Cochrane 815"/>
    <x v="18"/>
    <s v="Celular"/>
    <x v="107"/>
    <x v="0"/>
    <x v="28"/>
    <x v="5"/>
    <x v="0"/>
    <x v="0"/>
    <x v="24"/>
    <x v="0"/>
    <s v="Gonsalo Rivas +56957631673"/>
    <s v="Soy administradora de una panadería y mi contrato se rige por el artículo 22"/>
    <s v="https://drive.google.com/open?id=1PDh3AvRik-1L8DZg4qxPiLllaWJnaIYi"/>
    <s v="Inicial"/>
    <s v="Ninguno"/>
    <s v="Ninguno"/>
    <s v="Ninguno"/>
    <s v="NO"/>
    <s v="NO"/>
    <s v="NO"/>
    <s v="NO"/>
    <s v="NO"/>
    <n v="1"/>
    <x v="0"/>
    <x v="0"/>
    <m/>
    <s v="Peugeot"/>
    <s v="2008"/>
    <s v="Tvzk55"/>
    <x v="1"/>
    <x v="1"/>
    <x v="0"/>
    <x v="0"/>
    <x v="0"/>
    <m/>
    <x v="0"/>
    <x v="0"/>
    <x v="15"/>
    <x v="69"/>
    <x v="19"/>
    <x v="40"/>
    <x v="1"/>
    <x v="0"/>
    <x v="87"/>
    <s v="No"/>
    <d v="2025-05-14T20:06:05"/>
    <x v="0"/>
  </r>
  <r>
    <x v="108"/>
    <x v="108"/>
    <x v="108"/>
    <x v="106"/>
    <s v="Centenario #116 Pobl. Balmaceda"/>
    <x v="11"/>
    <s v="Celular"/>
    <x v="108"/>
    <x v="1"/>
    <x v="17"/>
    <x v="0"/>
    <x v="8"/>
    <x v="0"/>
    <x v="0"/>
    <x v="0"/>
    <s v="Mónica Venegas Mardones - 985006839"/>
    <s v=""/>
    <s v="https://drive.google.com/open?id=1lwfDrVLmoCJxBYszK-0c9aBpZChusPLj"/>
    <s v="Medio"/>
    <s v="10536"/>
    <s v="Guias"/>
    <s v="Ninguno"/>
    <s v="SI"/>
    <s v="SI"/>
    <s v="Guias"/>
    <s v="Guias"/>
    <s v="NO"/>
    <n v="1"/>
    <x v="0"/>
    <x v="0"/>
    <m/>
    <s v=""/>
    <s v=""/>
    <s v=""/>
    <x v="1"/>
    <x v="1"/>
    <x v="4"/>
    <x v="0"/>
    <x v="0"/>
    <m/>
    <x v="0"/>
    <x v="0"/>
    <x v="16"/>
    <x v="70"/>
    <x v="17"/>
    <x v="16"/>
    <x v="1"/>
    <x v="0"/>
    <x v="97"/>
    <s v="No"/>
    <d v="2025-05-14T22:29:05"/>
    <x v="1"/>
  </r>
  <r>
    <x v="109"/>
    <x v="109"/>
    <x v="109"/>
    <x v="107"/>
    <s v="Chaiten 8024 Depto E201"/>
    <x v="3"/>
    <s v="Celular"/>
    <x v="109"/>
    <x v="1"/>
    <x v="29"/>
    <x v="2"/>
    <x v="3"/>
    <x v="0"/>
    <x v="25"/>
    <x v="0"/>
    <s v="-"/>
    <s v=""/>
    <s v="https://drive.google.com/open?id=1gQe_eo3ee_1XpYVftv2MhdCCZQOqTlKT"/>
    <s v="Medio"/>
    <s v="9865"/>
    <s v="Scouts, Caminantes"/>
    <s v="Ninguno"/>
    <s v="SI"/>
    <s v="SI"/>
    <s v="Scouts, Caminantes"/>
    <s v="Scouts, Caminantes"/>
    <s v="NO"/>
    <n v="1"/>
    <x v="0"/>
    <x v="0"/>
    <m/>
    <s v=""/>
    <s v=""/>
    <s v=""/>
    <x v="1"/>
    <x v="1"/>
    <x v="4"/>
    <x v="0"/>
    <x v="0"/>
    <m/>
    <x v="0"/>
    <x v="0"/>
    <x v="18"/>
    <x v="71"/>
    <x v="12"/>
    <x v="55"/>
    <x v="1"/>
    <x v="1"/>
    <x v="98"/>
    <s v="No"/>
    <d v="2025-05-15T21:56:17"/>
    <x v="1"/>
  </r>
  <r>
    <x v="110"/>
    <x v="110"/>
    <x v="110"/>
    <x v="108"/>
    <s v="JORDÁN VALDIVIESO 240, BLOCK 15  DEPTO 22"/>
    <x v="5"/>
    <s v="Celular"/>
    <x v="110"/>
    <x v="0"/>
    <x v="30"/>
    <x v="2"/>
    <x v="3"/>
    <x v="1"/>
    <x v="26"/>
    <x v="0"/>
    <s v="JORGE RODRÍGUEZ SEPÚLVEDA +56974977434"/>
    <s v="NO PUEDO QUEDARME A PERNOCTAR."/>
    <s v="https://drive.google.com/open?id=1onPPqhNmKbDyGU8nByRExM37xwxxdepo"/>
    <s v="Inicial"/>
    <s v="Ninguno"/>
    <s v="Ninguno"/>
    <s v="Ninguno"/>
    <s v="NO"/>
    <s v="NO"/>
    <s v="NO"/>
    <s v="NO"/>
    <s v="NO"/>
    <n v="1"/>
    <x v="0"/>
    <x v="0"/>
    <m/>
    <s v="TOYOTA"/>
    <s v="YARIS GL"/>
    <s v="GHXV-76"/>
    <x v="0"/>
    <x v="0"/>
    <x v="2"/>
    <x v="0"/>
    <x v="0"/>
    <m/>
    <x v="0"/>
    <x v="0"/>
    <x v="0"/>
    <x v="72"/>
    <x v="43"/>
    <x v="56"/>
    <x v="1"/>
    <x v="9"/>
    <x v="99"/>
    <s v="No"/>
    <d v="2025-05-15T22:51:11"/>
    <x v="0"/>
  </r>
  <r>
    <x v="111"/>
    <x v="111"/>
    <x v="111"/>
    <x v="109"/>
    <s v="principal 166, cerro zaror"/>
    <x v="5"/>
    <s v="Celular"/>
    <x v="111"/>
    <x v="0"/>
    <x v="30"/>
    <x v="5"/>
    <x v="3"/>
    <x v="1"/>
    <x v="27"/>
    <x v="0"/>
    <s v="Denisse Diaz 954254276"/>
    <s v=""/>
    <s v="https://drive.google.com/open?id=1BPk900m9TCuaCdr2NtEo60HJz47dyRxE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5"/>
    <x v="73"/>
    <x v="34"/>
    <x v="18"/>
    <x v="1"/>
    <x v="0"/>
    <x v="100"/>
    <s v="No"/>
    <d v="2025-05-15T23:15:18"/>
    <x v="0"/>
  </r>
  <r>
    <x v="112"/>
    <x v="112"/>
    <x v="112"/>
    <x v="110"/>
    <s v="Eduardo Parra 336"/>
    <x v="11"/>
    <s v="Celular"/>
    <x v="112"/>
    <x v="0"/>
    <x v="16"/>
    <x v="5"/>
    <x v="8"/>
    <x v="2"/>
    <x v="0"/>
    <x v="0"/>
    <s v="Yessica Hernández +56993912547"/>
    <s v=""/>
    <s v="https://drive.google.com/open?id=1UhVFN0_ZmmeedMI4pAuJFrYr-h0sKIM-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2"/>
    <x v="74"/>
    <x v="2"/>
    <x v="0"/>
    <x v="1"/>
    <x v="0"/>
    <x v="101"/>
    <s v="No"/>
    <d v="2025-05-16T11:57:05"/>
    <x v="0"/>
  </r>
  <r>
    <x v="113"/>
    <x v="113"/>
    <x v="113"/>
    <x v="111"/>
    <s v="Jordan Valdivieso 451"/>
    <x v="5"/>
    <s v="Celular"/>
    <x v="113"/>
    <x v="0"/>
    <x v="30"/>
    <x v="0"/>
    <x v="3"/>
    <x v="1"/>
    <x v="0"/>
    <x v="0"/>
    <s v="Isis Arriagada +56973899697"/>
    <s v=""/>
    <s v="https://drive.google.com/open?id=1XMXx-5xrunUJgZLw3vjzLTqwX52gXPW8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6"/>
    <x v="1"/>
    <x v="1"/>
    <m/>
    <x v="0"/>
    <x v="0"/>
    <x v="16"/>
    <x v="75"/>
    <x v="9"/>
    <x v="19"/>
    <x v="1"/>
    <x v="0"/>
    <x v="102"/>
    <s v="No"/>
    <d v="2025-05-17T00:12:39"/>
    <x v="1"/>
  </r>
  <r>
    <x v="114"/>
    <x v="114"/>
    <x v="114"/>
    <x v="112"/>
    <s v="Chorrillos 436"/>
    <x v="1"/>
    <s v="Celular"/>
    <x v="114"/>
    <x v="1"/>
    <x v="31"/>
    <x v="2"/>
    <x v="1"/>
    <x v="0"/>
    <x v="0"/>
    <x v="0"/>
    <s v="Vivo solo"/>
    <s v=""/>
    <s v="https://drive.google.com/open?id=1qdVGZNb5imOiGcrrrTpD7j4eQeMU5hEw"/>
    <s v="Medio"/>
    <s v="10714"/>
    <s v="Caminantes"/>
    <s v="Ninguno"/>
    <s v="SI"/>
    <s v="SI"/>
    <s v="Caminantes"/>
    <s v="Caminantes"/>
    <s v="NO"/>
    <n v="1"/>
    <x v="0"/>
    <x v="0"/>
    <m/>
    <s v="Nissan"/>
    <s v="Camioneta"/>
    <s v="GJKL 81"/>
    <x v="1"/>
    <x v="1"/>
    <x v="4"/>
    <x v="0"/>
    <x v="0"/>
    <m/>
    <x v="0"/>
    <x v="0"/>
    <x v="24"/>
    <x v="76"/>
    <x v="44"/>
    <x v="57"/>
    <x v="1"/>
    <x v="3"/>
    <x v="103"/>
    <s v="No"/>
    <d v="2025-05-17T13:52:07"/>
    <x v="1"/>
  </r>
  <r>
    <x v="115"/>
    <x v="115"/>
    <x v="115"/>
    <x v="113"/>
    <s v="El Arrayán 310, Villa Los Aromos"/>
    <x v="19"/>
    <s v="Celular"/>
    <x v="115"/>
    <x v="1"/>
    <x v="32"/>
    <x v="0"/>
    <x v="8"/>
    <x v="0"/>
    <x v="0"/>
    <x v="5"/>
    <s v="Nilton Pompeu +56982172589"/>
    <s v="No como embutidos"/>
    <s v="https://drive.google.com/open?id=1XGdtlVz7Wd8PhGjBLmSWfLhhFpGnif4K"/>
    <s v="Medio"/>
    <s v="3314"/>
    <s v="Guias"/>
    <s v="Ninguno"/>
    <s v="SI"/>
    <s v="SI"/>
    <s v="Guias"/>
    <s v="Guias"/>
    <s v="SI"/>
    <n v="1"/>
    <x v="0"/>
    <x v="0"/>
    <m/>
    <s v=""/>
    <s v=""/>
    <s v=""/>
    <x v="1"/>
    <x v="1"/>
    <x v="4"/>
    <x v="0"/>
    <x v="0"/>
    <m/>
    <x v="0"/>
    <x v="3"/>
    <x v="22"/>
    <x v="77"/>
    <x v="9"/>
    <x v="58"/>
    <x v="2"/>
    <x v="1"/>
    <x v="104"/>
    <s v="No"/>
    <d v="2025-05-17T19:49:32"/>
    <x v="1"/>
  </r>
  <r>
    <x v="116"/>
    <x v="116"/>
    <x v="116"/>
    <x v="114"/>
    <s v="Alcazar 2378 villa Barcelona"/>
    <x v="11"/>
    <s v="Celular"/>
    <x v="116"/>
    <x v="0"/>
    <x v="16"/>
    <x v="5"/>
    <x v="8"/>
    <x v="0"/>
    <x v="28"/>
    <x v="0"/>
    <s v="Marcos Fernandez gallardo 956005748"/>
    <s v=""/>
    <s v="https://drive.google.com/open?id=1kc30bNpDPq-bNO98nQ8kNWe-gLu8Bo32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5"/>
    <x v="78"/>
    <x v="45"/>
    <x v="0"/>
    <x v="2"/>
    <x v="10"/>
    <x v="105"/>
    <s v="No"/>
    <d v="2025-05-17T20:48:34"/>
    <x v="2"/>
  </r>
  <r>
    <x v="117"/>
    <x v="117"/>
    <x v="117"/>
    <x v="115"/>
    <s v="Vinicio 465"/>
    <x v="5"/>
    <s v="Celular"/>
    <x v="117"/>
    <x v="0"/>
    <x v="29"/>
    <x v="2"/>
    <x v="3"/>
    <x v="0"/>
    <x v="0"/>
    <x v="0"/>
    <s v="Lorenzo González 996764508"/>
    <s v=""/>
    <s v="https://drive.google.com/open?id=1BBfKD2z7SIUZhdvwvnoqsoziKQQqJu3S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6"/>
    <x v="53"/>
    <x v="9"/>
    <x v="14"/>
    <x v="1"/>
    <x v="1"/>
    <x v="106"/>
    <s v="No"/>
    <d v="2025-05-18T17:37:24"/>
    <x v="0"/>
  </r>
  <r>
    <x v="118"/>
    <x v="118"/>
    <x v="118"/>
    <x v="116"/>
    <s v="Toulose 968"/>
    <x v="3"/>
    <s v="Celular"/>
    <x v="118"/>
    <x v="0"/>
    <x v="29"/>
    <x v="3"/>
    <x v="3"/>
    <x v="2"/>
    <x v="0"/>
    <x v="0"/>
    <s v="Alejandra González 982726091"/>
    <s v="no."/>
    <s v="https://drive.google.com/open?id=1opVyi37dL2Ex7qAOskLzGbVU68VqaRXQ"/>
    <s v="Inicial"/>
    <s v="Ninguno"/>
    <s v="Ninguno"/>
    <s v="Ninguno"/>
    <s v="NO"/>
    <s v="NO"/>
    <s v="NO"/>
    <s v="NO"/>
    <s v="NO"/>
    <n v="1"/>
    <x v="0"/>
    <x v="0"/>
    <m/>
    <s v="Chevrolet"/>
    <s v="Spark"/>
    <s v="CDTT43"/>
    <x v="1"/>
    <x v="1"/>
    <x v="0"/>
    <x v="0"/>
    <x v="0"/>
    <m/>
    <x v="0"/>
    <x v="0"/>
    <x v="16"/>
    <x v="79"/>
    <x v="21"/>
    <x v="59"/>
    <x v="1"/>
    <x v="1"/>
    <x v="107"/>
    <s v="No"/>
    <d v="2025-05-18T18:12:55"/>
    <x v="0"/>
  </r>
  <r>
    <x v="119"/>
    <x v="119"/>
    <x v="119"/>
    <x v="117"/>
    <s v="Claudio gay oriente 3949"/>
    <x v="5"/>
    <s v="Celular"/>
    <x v="119"/>
    <x v="0"/>
    <x v="30"/>
    <x v="0"/>
    <x v="3"/>
    <x v="1"/>
    <x v="0"/>
    <x v="0"/>
    <s v="Jonathan Álvarez Santander+56985123295"/>
    <s v=""/>
    <s v="https://drive.google.com/open?id=1W3OhReslimba6AqacR25jPy4jKdm2vXR"/>
    <s v="Medio"/>
    <s v="7378"/>
    <s v="Golondrinas"/>
    <s v="Ninguno"/>
    <s v="NO"/>
    <s v="NO"/>
    <s v="NO"/>
    <s v="NO"/>
    <s v="NO"/>
    <n v="1"/>
    <x v="0"/>
    <x v="0"/>
    <m/>
    <s v="Chevrolet"/>
    <s v="Sail"/>
    <s v="FFCC25"/>
    <x v="0"/>
    <x v="0"/>
    <x v="2"/>
    <x v="0"/>
    <x v="0"/>
    <m/>
    <x v="0"/>
    <x v="0"/>
    <x v="20"/>
    <x v="53"/>
    <x v="46"/>
    <x v="2"/>
    <x v="2"/>
    <x v="9"/>
    <x v="108"/>
    <s v="No"/>
    <d v="2025-05-18T19:39:43"/>
    <x v="0"/>
  </r>
  <r>
    <x v="120"/>
    <x v="120"/>
    <x v="120"/>
    <x v="118"/>
    <s v="Calle Transporte lamar #1642"/>
    <x v="11"/>
    <s v="Celular"/>
    <x v="120"/>
    <x v="0"/>
    <x v="16"/>
    <x v="4"/>
    <x v="8"/>
    <x v="0"/>
    <x v="0"/>
    <x v="0"/>
    <s v="Luis Esparza +56978736805"/>
    <s v=""/>
    <s v="https://drive.google.com/open?id=1R_PgOgz3gX7n2439wjF47ssoVhSHy-8p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s v="REVISAR PAGO RIGO"/>
    <x v="0"/>
    <x v="4"/>
    <x v="2"/>
    <x v="80"/>
    <x v="34"/>
    <x v="60"/>
    <x v="1"/>
    <x v="0"/>
    <x v="109"/>
    <s v="No"/>
    <d v="2025-05-18T21:17:18"/>
    <x v="2"/>
  </r>
  <r>
    <x v="121"/>
    <x v="121"/>
    <x v="121"/>
    <x v="119"/>
    <s v="Villa emannuel, Pasaje Santa Magdalena #1669."/>
    <x v="11"/>
    <s v="Celular"/>
    <x v="121"/>
    <x v="1"/>
    <x v="17"/>
    <x v="0"/>
    <x v="8"/>
    <x v="0"/>
    <x v="0"/>
    <x v="0"/>
    <s v="Javiera Cordova +56 9 8620 7151"/>
    <s v=""/>
    <s v="https://drive.google.com/open?id=15nYUBGAXdgeFn9USV2eIBKjdzU-GR2NR"/>
    <s v="Medio"/>
    <s v="10696"/>
    <s v="Guias"/>
    <s v="Ninguno"/>
    <s v="SI"/>
    <s v="SI"/>
    <s v="Guias"/>
    <s v="Guias"/>
    <s v="NO"/>
    <n v="1"/>
    <x v="0"/>
    <x v="0"/>
    <m/>
    <s v=""/>
    <s v=""/>
    <s v=""/>
    <x v="1"/>
    <x v="1"/>
    <x v="4"/>
    <x v="0"/>
    <x v="0"/>
    <m/>
    <x v="0"/>
    <x v="0"/>
    <x v="15"/>
    <x v="51"/>
    <x v="5"/>
    <x v="16"/>
    <x v="1"/>
    <x v="3"/>
    <x v="110"/>
    <s v="No"/>
    <d v="2025-05-19T09:10:58"/>
    <x v="1"/>
  </r>
  <r>
    <x v="122"/>
    <x v="122"/>
    <x v="122"/>
    <x v="120"/>
    <s v="Colicheo #15"/>
    <x v="11"/>
    <s v="Celular"/>
    <x v="122"/>
    <x v="0"/>
    <x v="16"/>
    <x v="0"/>
    <x v="8"/>
    <x v="1"/>
    <x v="0"/>
    <x v="0"/>
    <s v="Yolanda Muñoz Riveros 955848807"/>
    <s v=""/>
    <s v="https://drive.google.com/open?id=1ZdD096k7UEBUskuSM4n4DugqfpQcnPUR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8"/>
    <x v="2"/>
    <x v="9"/>
    <x v="61"/>
    <x v="1"/>
    <x v="0"/>
    <x v="111"/>
    <s v="No"/>
    <d v="2025-05-19T16:04:53"/>
    <x v="1"/>
  </r>
  <r>
    <x v="123"/>
    <x v="123"/>
    <x v="123"/>
    <x v="121"/>
    <s v="O'higgins 61"/>
    <x v="20"/>
    <s v="Celular"/>
    <x v="123"/>
    <x v="0"/>
    <x v="33"/>
    <x v="0"/>
    <x v="1"/>
    <x v="2"/>
    <x v="0"/>
    <x v="0"/>
    <s v="Tattiana Maldonado +56993760901"/>
    <s v=""/>
    <s v="https://drive.google.com/open?id=1wyuw_0jjUNL2W4fV4W2Xn4c6io66PEwy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81"/>
    <x v="4"/>
    <x v="14"/>
    <x v="1"/>
    <x v="0"/>
    <x v="112"/>
    <s v="No"/>
    <d v="2025-05-19T20:27:42"/>
    <x v="0"/>
  </r>
  <r>
    <x v="124"/>
    <x v="124"/>
    <x v="124"/>
    <x v="122"/>
    <s v="El arroyo 1198"/>
    <x v="11"/>
    <s v="Celular"/>
    <x v="124"/>
    <x v="0"/>
    <x v="16"/>
    <x v="1"/>
    <x v="8"/>
    <x v="1"/>
    <x v="0"/>
    <x v="0"/>
    <s v="+56 9 4408 5154"/>
    <s v=""/>
    <s v="https://drive.google.com/open?id=1XTaiGgSW1pedP8qtI6cXxnvSPni7Zdto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5"/>
    <x v="2"/>
    <x v="34"/>
    <x v="18"/>
    <x v="1"/>
    <x v="0"/>
    <x v="113"/>
    <s v="No"/>
    <d v="2025-05-20T03:06:24"/>
    <x v="2"/>
  </r>
  <r>
    <x v="125"/>
    <x v="125"/>
    <x v="125"/>
    <x v="123"/>
    <s v="Francisco Pizarro 1875 Lagunillas Norte"/>
    <x v="16"/>
    <s v="Celular"/>
    <x v="125"/>
    <x v="0"/>
    <x v="34"/>
    <x v="5"/>
    <x v="0"/>
    <x v="0"/>
    <x v="29"/>
    <x v="0"/>
    <s v="Nora Zagal +56 9 9820 1717"/>
    <s v=""/>
    <s v="https://drive.google.com/open?id=1lMZp--DpauktScMVtHRSNzBQauCVkk56"/>
    <s v="Inicial"/>
    <s v="Ninguno"/>
    <s v="Ninguno"/>
    <s v="Ninguno"/>
    <s v="NO"/>
    <s v="NO"/>
    <s v="NO"/>
    <s v="NO"/>
    <s v="NO"/>
    <n v="1"/>
    <x v="0"/>
    <x v="0"/>
    <m/>
    <s v="Hyundai"/>
    <s v="Accent"/>
    <s v="BYHZ49"/>
    <x v="1"/>
    <x v="1"/>
    <x v="0"/>
    <x v="0"/>
    <x v="0"/>
    <m/>
    <x v="0"/>
    <x v="0"/>
    <x v="26"/>
    <x v="82"/>
    <x v="47"/>
    <x v="62"/>
    <x v="2"/>
    <x v="0"/>
    <x v="38"/>
    <s v="No"/>
    <d v="2025-05-20T10:22:33"/>
    <x v="0"/>
  </r>
  <r>
    <x v="126"/>
    <x v="126"/>
    <x v="126"/>
    <x v="124"/>
    <s v="Río ñuble 13"/>
    <x v="13"/>
    <s v="Celular"/>
    <x v="126"/>
    <x v="1"/>
    <x v="5"/>
    <x v="0"/>
    <x v="4"/>
    <x v="0"/>
    <x v="0"/>
    <x v="0"/>
    <s v="Maritza Pedreros +569 85356970"/>
    <s v=""/>
    <s v="https://drive.google.com/open?id=1crMaS3XGrrAB_jyE9_P1qVkXf42A4ThX"/>
    <s v="Medio"/>
    <s v="10777"/>
    <s v="Guias"/>
    <s v="Ninguno"/>
    <s v="SI"/>
    <s v="SI"/>
    <s v="Guias"/>
    <s v="Guias"/>
    <s v="NO"/>
    <n v="1"/>
    <x v="0"/>
    <x v="0"/>
    <m/>
    <s v=""/>
    <s v=""/>
    <s v=""/>
    <x v="1"/>
    <x v="1"/>
    <x v="4"/>
    <x v="0"/>
    <x v="0"/>
    <m/>
    <x v="0"/>
    <x v="0"/>
    <x v="2"/>
    <x v="2"/>
    <x v="4"/>
    <x v="19"/>
    <x v="1"/>
    <x v="3"/>
    <x v="114"/>
    <s v="No"/>
    <d v="2025-05-20T12:17:06"/>
    <x v="1"/>
  </r>
  <r>
    <x v="127"/>
    <x v="127"/>
    <x v="127"/>
    <x v="125"/>
    <s v="Brasilia 444,Hualpen"/>
    <x v="3"/>
    <s v="Celular"/>
    <x v="127"/>
    <x v="0"/>
    <x v="12"/>
    <x v="3"/>
    <x v="2"/>
    <x v="0"/>
    <x v="30"/>
    <x v="0"/>
    <s v="Alberto Rebolledo Gatica (papá) +569 92194516"/>
    <s v=""/>
    <s v="https://drive.google.com/open?id=138H8U7g4mNy_WPcfgf25JZ48DQAzFR5J"/>
    <s v="Inicial"/>
    <s v="Ninguno"/>
    <s v="Ninguno"/>
    <s v="Ninguno"/>
    <s v="NO"/>
    <s v="NO"/>
    <s v="NO"/>
    <s v="NO"/>
    <s v="NO"/>
    <n v="1"/>
    <x v="0"/>
    <x v="0"/>
    <m/>
    <s v="Ford"/>
    <s v="Explorer"/>
    <s v="CG XG 98"/>
    <x v="1"/>
    <x v="1"/>
    <x v="0"/>
    <x v="0"/>
    <x v="0"/>
    <m/>
    <x v="0"/>
    <x v="0"/>
    <x v="5"/>
    <x v="83"/>
    <x v="21"/>
    <x v="4"/>
    <x v="1"/>
    <x v="3"/>
    <x v="115"/>
    <s v="No"/>
    <d v="2025-05-20T13:10:19"/>
    <x v="0"/>
  </r>
  <r>
    <x v="128"/>
    <x v="128"/>
    <x v="128"/>
    <x v="126"/>
    <s v="Brasilia 444, Hualpén"/>
    <x v="3"/>
    <s v="Celular"/>
    <x v="128"/>
    <x v="0"/>
    <x v="12"/>
    <x v="5"/>
    <x v="2"/>
    <x v="0"/>
    <x v="0"/>
    <x v="0"/>
    <s v="Alberto Rebolledo +56992194516"/>
    <s v=""/>
    <s v="https://drive.google.com/open?id=1rkxgv-vkA7K_HoDLoRqaj2CBNKVSkeEH"/>
    <s v="Inicial"/>
    <s v="Ninguno"/>
    <s v="Ninguno"/>
    <s v="Ninguno"/>
    <s v="NO"/>
    <s v="NO"/>
    <s v="NO"/>
    <s v="NO"/>
    <s v="NO"/>
    <n v="1"/>
    <x v="0"/>
    <x v="0"/>
    <m/>
    <s v="Pathfinder"/>
    <s v="Nissan"/>
    <s v="FD CW 60"/>
    <x v="1"/>
    <x v="1"/>
    <x v="0"/>
    <x v="0"/>
    <x v="0"/>
    <m/>
    <x v="0"/>
    <x v="0"/>
    <x v="2"/>
    <x v="83"/>
    <x v="21"/>
    <x v="48"/>
    <x v="1"/>
    <x v="0"/>
    <x v="116"/>
    <s v="No"/>
    <d v="2025-05-20T13:10:55"/>
    <x v="0"/>
  </r>
  <r>
    <x v="129"/>
    <x v="129"/>
    <x v="129"/>
    <x v="127"/>
    <s v="Eugenio Brito 73"/>
    <x v="0"/>
    <s v="Celular"/>
    <x v="129"/>
    <x v="0"/>
    <x v="12"/>
    <x v="3"/>
    <x v="2"/>
    <x v="0"/>
    <x v="0"/>
    <x v="0"/>
    <s v="Guisela Perez 94007236"/>
    <s v=""/>
    <s v="https://drive.google.com/open?id=1FlJVrHKFADAlhdKOJ69ObpW_61nGh_0G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2"/>
    <x v="2"/>
    <x v="17"/>
    <x v="4"/>
    <x v="1"/>
    <x v="3"/>
    <x v="117"/>
    <s v="No"/>
    <d v="2025-05-20T14:06:44"/>
    <x v="0"/>
  </r>
  <r>
    <x v="130"/>
    <x v="130"/>
    <x v="130"/>
    <x v="128"/>
    <s v="Balmaceda 36 Villa Cap"/>
    <x v="4"/>
    <s v="Celular"/>
    <x v="130"/>
    <x v="0"/>
    <x v="35"/>
    <x v="3"/>
    <x v="4"/>
    <x v="1"/>
    <x v="0"/>
    <x v="0"/>
    <s v="Lorena Rivas 977667284 (mamá)"/>
    <s v=""/>
    <s v="https://drive.google.com/open?id=1pweULJandtbKWUyHK6bnba4IUx78wnus"/>
    <s v="Inicial"/>
    <s v="Ninguno"/>
    <s v="Ninguno"/>
    <s v="Ninguno"/>
    <s v="NO"/>
    <s v="NO"/>
    <s v="NO"/>
    <s v="NO"/>
    <s v="NO"/>
    <n v="1"/>
    <x v="1"/>
    <x v="1"/>
    <m/>
    <s v="no tengo"/>
    <s v="no tengo"/>
    <s v="no tengo"/>
    <x v="0"/>
    <x v="0"/>
    <x v="1"/>
    <x v="1"/>
    <x v="1"/>
    <m/>
    <x v="0"/>
    <x v="0"/>
    <x v="2"/>
    <x v="26"/>
    <x v="5"/>
    <x v="18"/>
    <x v="1"/>
    <x v="0"/>
    <x v="118"/>
    <s v="No"/>
    <d v="2025-05-20T14:21:39"/>
    <x v="1"/>
  </r>
  <r>
    <x v="131"/>
    <x v="131"/>
    <x v="131"/>
    <x v="129"/>
    <s v="pasaje san agustín 411"/>
    <x v="3"/>
    <s v="Celular"/>
    <x v="131"/>
    <x v="0"/>
    <x v="18"/>
    <x v="1"/>
    <x v="3"/>
    <x v="0"/>
    <x v="0"/>
    <x v="0"/>
    <s v="+56989207116"/>
    <s v=""/>
    <s v="https://drive.google.com/open?id=1jZiiNDddyrO2a6JIBTt53jW7cB3uoOg1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2"/>
    <x v="12"/>
    <x v="18"/>
    <x v="1"/>
    <x v="0"/>
    <x v="42"/>
    <s v="No"/>
    <d v="2025-05-20T14:25:53"/>
    <x v="0"/>
  </r>
  <r>
    <x v="132"/>
    <x v="132"/>
    <x v="132"/>
    <x v="130"/>
    <s v="Pasaje pedro aguirre cerda #20"/>
    <x v="5"/>
    <s v="Celular"/>
    <x v="132"/>
    <x v="0"/>
    <x v="30"/>
    <x v="3"/>
    <x v="3"/>
    <x v="0"/>
    <x v="0"/>
    <x v="0"/>
    <s v="Evelyn lema #962117917"/>
    <s v=""/>
    <s v="https://drive.google.com/open?id=1vRag8QK2kx63WsB7fZRISyKIdpLcyBj4"/>
    <s v="Inicial"/>
    <s v="Ninguno"/>
    <s v="Ninguno"/>
    <s v="Ninguno"/>
    <s v="NO"/>
    <s v="NO"/>
    <s v="NO"/>
    <s v="NO"/>
    <s v="NO"/>
    <n v="1"/>
    <x v="0"/>
    <x v="0"/>
    <m/>
    <s v="Suzuki"/>
    <s v="Grand Nomade"/>
    <s v="Hspj23"/>
    <x v="0"/>
    <x v="0"/>
    <x v="0"/>
    <x v="0"/>
    <x v="0"/>
    <m/>
    <x v="0"/>
    <x v="0"/>
    <x v="17"/>
    <x v="84"/>
    <x v="17"/>
    <x v="14"/>
    <x v="1"/>
    <x v="0"/>
    <x v="119"/>
    <s v="No"/>
    <d v="2025-05-20T14:31:59"/>
    <x v="0"/>
  </r>
  <r>
    <x v="133"/>
    <x v="133"/>
    <x v="133"/>
    <x v="131"/>
    <s v="Chacabuco 1140 dpto 1804, Concepción"/>
    <x v="4"/>
    <s v="Celular"/>
    <x v="133"/>
    <x v="0"/>
    <x v="16"/>
    <x v="2"/>
    <x v="8"/>
    <x v="0"/>
    <x v="0"/>
    <x v="0"/>
    <s v="Cristian Toledo +569 5473 9415"/>
    <s v="Como colaciones seguido, a veces me descompenso. Si ya me siento mareada, algo salado baja el malestar."/>
    <s v="https://drive.google.com/open?id=11HzF0Tjzt7EoA4_veWsxmsife6o-oOea1ozqbsQQQj8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85"/>
    <x v="24"/>
    <x v="63"/>
    <x v="1"/>
    <x v="1"/>
    <x v="120"/>
    <s v="No"/>
    <d v="2025-05-20T14:37:18"/>
    <x v="0"/>
  </r>
  <r>
    <x v="134"/>
    <x v="134"/>
    <x v="134"/>
    <x v="132"/>
    <s v="Marco del pont 9514"/>
    <x v="3"/>
    <s v="Celular"/>
    <x v="134"/>
    <x v="0"/>
    <x v="12"/>
    <x v="3"/>
    <x v="2"/>
    <x v="0"/>
    <x v="0"/>
    <x v="0"/>
    <s v="Sandra Perez 923921089"/>
    <s v=""/>
    <s v="https://drive.google.com/open?id=16j6JKOXlYxYPF2o4BxbQnJr_pSLz3rn1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2"/>
    <x v="15"/>
    <x v="4"/>
    <x v="1"/>
    <x v="0"/>
    <x v="48"/>
    <s v="No"/>
    <d v="2025-05-20T15:02:18"/>
    <x v="0"/>
  </r>
  <r>
    <x v="135"/>
    <x v="135"/>
    <x v="135"/>
    <x v="133"/>
    <s v="MINERO JOSE SANTO BELLO 1115 LA PEÑA 2"/>
    <x v="16"/>
    <s v="Celular"/>
    <x v="135"/>
    <x v="0"/>
    <x v="34"/>
    <x v="5"/>
    <x v="0"/>
    <x v="0"/>
    <x v="0"/>
    <x v="0"/>
    <s v="NORA ZAGAL +56998201717"/>
    <s v=""/>
    <s v="https://drive.google.com/open?id=1pYZB2QOEeGxynhIH3_k7fMDv3b6ffrsi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4"/>
    <x v="17"/>
    <x v="86"/>
    <x v="14"/>
    <x v="5"/>
    <x v="2"/>
    <x v="0"/>
    <x v="121"/>
    <s v="No"/>
    <d v="2025-05-20T15:10:12"/>
    <x v="0"/>
  </r>
  <r>
    <x v="136"/>
    <x v="136"/>
    <x v="136"/>
    <x v="134"/>
    <s v="Alcazar 2378, Villa Barcelona, Chillán"/>
    <x v="11"/>
    <s v="Celular"/>
    <x v="136"/>
    <x v="0"/>
    <x v="16"/>
    <x v="1"/>
    <x v="8"/>
    <x v="1"/>
    <x v="31"/>
    <x v="0"/>
    <s v="Carolina Vega +56 9 5603 0526"/>
    <s v=""/>
    <s v="https://drive.google.com/open?id=1zhh4UDM_Ud_M2pLOK-2MfMrb6W-ueJ-b"/>
    <s v="Inicial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1"/>
    <x v="1"/>
    <x v="1"/>
    <m/>
    <x v="0"/>
    <x v="0"/>
    <x v="8"/>
    <x v="2"/>
    <x v="2"/>
    <x v="64"/>
    <x v="1"/>
    <x v="2"/>
    <x v="122"/>
    <s v="No"/>
    <d v="2025-05-20T17:54:07"/>
    <x v="1"/>
  </r>
  <r>
    <x v="137"/>
    <x v="137"/>
    <x v="137"/>
    <x v="135"/>
    <s v="Las dalias 4947"/>
    <x v="5"/>
    <s v="Celular"/>
    <x v="137"/>
    <x v="0"/>
    <x v="18"/>
    <x v="5"/>
    <x v="3"/>
    <x v="0"/>
    <x v="0"/>
    <x v="0"/>
    <s v="Patricia Riffo +56973710006"/>
    <s v=""/>
    <s v="https://drive.google.com/open?id=1E8WEw3jToQ2re5SPmQo1nIfBOskn95DM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8"/>
    <x v="64"/>
    <x v="41"/>
    <x v="47"/>
    <x v="1"/>
    <x v="0"/>
    <x v="123"/>
    <s v="No"/>
    <d v="2025-05-21T00:32:21"/>
    <x v="0"/>
  </r>
  <r>
    <x v="138"/>
    <x v="138"/>
    <x v="138"/>
    <x v="136"/>
    <s v="Prieto 144"/>
    <x v="4"/>
    <s v="Celular"/>
    <x v="138"/>
    <x v="0"/>
    <x v="34"/>
    <x v="0"/>
    <x v="0"/>
    <x v="0"/>
    <x v="0"/>
    <x v="0"/>
    <s v="Rodrigo Fuentes +56975873478"/>
    <s v=""/>
    <s v="https://drive.google.com/open?id=1-jrUGZo0JUM8IL9Pfz_s1qzajZN_N6Cx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9"/>
    <x v="87"/>
    <x v="14"/>
    <x v="65"/>
    <x v="2"/>
    <x v="1"/>
    <x v="124"/>
    <s v="No"/>
    <d v="2025-05-21T14:03:27"/>
    <x v="0"/>
  </r>
  <r>
    <x v="139"/>
    <x v="139"/>
    <x v="139"/>
    <x v="137"/>
    <s v="Lago Riñihue 156"/>
    <x v="4"/>
    <s v="Celular"/>
    <x v="139"/>
    <x v="0"/>
    <x v="35"/>
    <x v="1"/>
    <x v="4"/>
    <x v="0"/>
    <x v="0"/>
    <x v="0"/>
    <s v="Antonieta Hernández +56989759683"/>
    <s v=""/>
    <s v="https://drive.google.com/open?id=1_DeVOc_F1cMgu0WcnPjlDRULCGHSODGm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"/>
    <x v="64"/>
    <x v="17"/>
    <x v="23"/>
    <x v="1"/>
    <x v="0"/>
    <x v="125"/>
    <s v="No"/>
    <d v="2025-05-21T14:18:42"/>
    <x v="0"/>
  </r>
  <r>
    <x v="140"/>
    <x v="140"/>
    <x v="140"/>
    <x v="138"/>
    <s v="José Miguel infante 419"/>
    <x v="1"/>
    <s v="Celular"/>
    <x v="140"/>
    <x v="0"/>
    <x v="1"/>
    <x v="1"/>
    <x v="1"/>
    <x v="0"/>
    <x v="32"/>
    <x v="3"/>
    <s v="Paula acuña 9 9926 3213"/>
    <s v=""/>
    <s v="https://drive.google.com/open?id=15_hOZiUdrJGzAaIndiVsTz_1D3J8HBQ-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1"/>
    <x v="88"/>
    <x v="48"/>
    <x v="11"/>
    <x v="1"/>
    <x v="0"/>
    <x v="126"/>
    <s v="No"/>
    <d v="2025-05-21T16:08:26"/>
    <x v="0"/>
  </r>
  <r>
    <x v="141"/>
    <x v="141"/>
    <x v="141"/>
    <x v="139"/>
    <s v="Hijuela san sebastian lote 1a sector coreo camino santa barbara km12.8"/>
    <x v="1"/>
    <s v="Celular"/>
    <x v="141"/>
    <x v="0"/>
    <x v="1"/>
    <x v="4"/>
    <x v="1"/>
    <x v="0"/>
    <x v="0"/>
    <x v="0"/>
    <s v="Benjamin troncoso ±56959132913 /francisco troncoso±56956658142"/>
    <s v=""/>
    <s v="https://drive.google.com/open?id=10GDWgT2Rhp7AiuAGaBUTw4QD9BgdalQi"/>
    <s v="Inicial"/>
    <s v="Ninguno"/>
    <s v="Ninguno"/>
    <s v="Ninguno"/>
    <s v="NO"/>
    <s v="NO"/>
    <s v="NO"/>
    <s v="NO"/>
    <s v="NO"/>
    <n v="1"/>
    <x v="0"/>
    <x v="0"/>
    <m/>
    <s v="Hyunday"/>
    <s v="Santa Fe"/>
    <s v="Vrbl64"/>
    <x v="1"/>
    <x v="1"/>
    <x v="0"/>
    <x v="0"/>
    <x v="0"/>
    <m/>
    <x v="0"/>
    <x v="0"/>
    <x v="26"/>
    <x v="89"/>
    <x v="49"/>
    <x v="66"/>
    <x v="2"/>
    <x v="0"/>
    <x v="127"/>
    <s v="No"/>
    <d v="2025-05-21T17:09:45"/>
    <x v="0"/>
  </r>
  <r>
    <x v="142"/>
    <x v="142"/>
    <x v="142"/>
    <x v="140"/>
    <s v="Maipu 1746"/>
    <x v="4"/>
    <s v="Celular"/>
    <x v="142"/>
    <x v="0"/>
    <x v="1"/>
    <x v="2"/>
    <x v="1"/>
    <x v="0"/>
    <x v="33"/>
    <x v="0"/>
    <s v="Wilma Gutiérrez +56945895756"/>
    <s v=""/>
    <s v="https://drive.google.com/open?id=1d4X0jiXbyaAuAOa731y9KtudX7UK0H4L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5"/>
    <x v="90"/>
    <x v="4"/>
    <x v="19"/>
    <x v="1"/>
    <x v="3"/>
    <x v="128"/>
    <s v="No"/>
    <d v="2025-05-21T18:32:30"/>
    <x v="0"/>
  </r>
  <r>
    <x v="143"/>
    <x v="143"/>
    <x v="143"/>
    <x v="141"/>
    <s v="c cinco 428 Los Fresnos"/>
    <x v="4"/>
    <s v="Celular"/>
    <x v="143"/>
    <x v="0"/>
    <x v="35"/>
    <x v="5"/>
    <x v="4"/>
    <x v="1"/>
    <x v="0"/>
    <x v="0"/>
    <s v="Macarena Ceballos +56976623868"/>
    <s v=""/>
    <s v="https://drive.google.com/open?id=1vNgRy_EkdhLHQV1kPgvW8ne-QCLE2iYT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5"/>
    <x v="91"/>
    <x v="50"/>
    <x v="67"/>
    <x v="1"/>
    <x v="0"/>
    <x v="28"/>
    <s v="No"/>
    <d v="2025-05-21T18:34:04"/>
    <x v="1"/>
  </r>
  <r>
    <x v="144"/>
    <x v="144"/>
    <x v="144"/>
    <x v="142"/>
    <s v="camilo henriquez 329"/>
    <x v="1"/>
    <s v="Celular"/>
    <x v="144"/>
    <x v="0"/>
    <x v="1"/>
    <x v="4"/>
    <x v="1"/>
    <x v="0"/>
    <x v="0"/>
    <x v="0"/>
    <s v="maritza villanueva +56975649423"/>
    <s v=""/>
    <s v="https://drive.google.com/open?id=1Gatbrr7FQLiiUK-npe6l7dxciwav0V6f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2"/>
    <x v="2"/>
    <x v="51"/>
    <x v="47"/>
    <x v="1"/>
    <x v="5"/>
    <x v="129"/>
    <s v="No"/>
    <d v="2025-05-21T19:16:30"/>
    <x v="0"/>
  </r>
  <r>
    <x v="145"/>
    <x v="145"/>
    <x v="145"/>
    <x v="143"/>
    <s v="bajin monte cea 585"/>
    <x v="1"/>
    <s v="Celular"/>
    <x v="145"/>
    <x v="0"/>
    <x v="1"/>
    <x v="4"/>
    <x v="1"/>
    <x v="0"/>
    <x v="0"/>
    <x v="0"/>
    <s v="942780290 carlos sanhueza"/>
    <s v=""/>
    <s v="https://drive.google.com/open?id=1zchAuoIhDw_tQiOAa9qPAYrHLKCm1MJV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4"/>
    <x v="92"/>
    <x v="10"/>
    <x v="68"/>
    <x v="1"/>
    <x v="0"/>
    <x v="130"/>
    <s v="No"/>
    <d v="2025-05-21T20:13:31"/>
    <x v="0"/>
  </r>
  <r>
    <x v="146"/>
    <x v="146"/>
    <x v="146"/>
    <x v="144"/>
    <s v="los queules 8956"/>
    <x v="3"/>
    <s v="Celular"/>
    <x v="146"/>
    <x v="0"/>
    <x v="12"/>
    <x v="4"/>
    <x v="2"/>
    <x v="0"/>
    <x v="0"/>
    <x v="0"/>
    <s v="marianela bello +56 9 7666 0530"/>
    <s v=""/>
    <s v="https://drive.google.com/open?id=10uTdfTus2oknkRVbwP9gNUN-LszSQhx5"/>
    <s v="Inicial"/>
    <s v="Ninguno"/>
    <s v="Ninguno"/>
    <s v="Ninguno"/>
    <s v="NO"/>
    <s v="NO"/>
    <s v="NO"/>
    <s v="NO"/>
    <s v="NO"/>
    <n v="1"/>
    <x v="0"/>
    <x v="0"/>
    <m/>
    <s v="Chery"/>
    <s v="chery tiggo 3"/>
    <s v="SFHF78"/>
    <x v="1"/>
    <x v="1"/>
    <x v="0"/>
    <x v="0"/>
    <x v="0"/>
    <m/>
    <x v="0"/>
    <x v="0"/>
    <x v="5"/>
    <x v="93"/>
    <x v="2"/>
    <x v="69"/>
    <x v="1"/>
    <x v="0"/>
    <x v="131"/>
    <s v="No"/>
    <d v="2025-05-21T21:03:31"/>
    <x v="0"/>
  </r>
  <r>
    <x v="147"/>
    <x v="147"/>
    <x v="147"/>
    <x v="145"/>
    <s v="Calle Raimapu #089"/>
    <x v="21"/>
    <s v="Celular"/>
    <x v="147"/>
    <x v="0"/>
    <x v="36"/>
    <x v="1"/>
    <x v="11"/>
    <x v="0"/>
    <x v="34"/>
    <x v="0"/>
    <s v="ELIZABETH VARGAS, +56957216068"/>
    <s v=""/>
    <s v="https://drive.google.com/open?id=1BAI77qcmO8wuSiQeO5pzd8rhnJRSpZEV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94"/>
    <x v="4"/>
    <x v="12"/>
    <x v="1"/>
    <x v="0"/>
    <x v="132"/>
    <s v="No"/>
    <d v="2025-05-21T21:17:04"/>
    <x v="2"/>
  </r>
  <r>
    <x v="148"/>
    <x v="148"/>
    <x v="148"/>
    <x v="146"/>
    <s v="Collao 1571"/>
    <x v="4"/>
    <s v="Celular"/>
    <x v="148"/>
    <x v="0"/>
    <x v="12"/>
    <x v="4"/>
    <x v="2"/>
    <x v="0"/>
    <x v="35"/>
    <x v="0"/>
    <s v="Francisco Cruz +56999970414"/>
    <s v=""/>
    <s v="https://drive.google.com/open?id=1IWNhPg83lnVH1MmdNCy61vkjskWzJWb8"/>
    <s v="Inicial"/>
    <s v="Ninguno"/>
    <s v="Ninguno"/>
    <s v="Ninguno"/>
    <s v="NO"/>
    <s v="NO"/>
    <s v="NO"/>
    <s v="NO"/>
    <s v="NO"/>
    <n v="1"/>
    <x v="0"/>
    <x v="0"/>
    <m/>
    <s v="changan"/>
    <s v="cx70"/>
    <s v="LZLB59"/>
    <x v="1"/>
    <x v="1"/>
    <x v="0"/>
    <x v="0"/>
    <x v="0"/>
    <m/>
    <x v="0"/>
    <x v="0"/>
    <x v="5"/>
    <x v="2"/>
    <x v="2"/>
    <x v="70"/>
    <x v="1"/>
    <x v="0"/>
    <x v="133"/>
    <s v="No"/>
    <d v="2025-05-21T22:07:19"/>
    <x v="0"/>
  </r>
  <r>
    <x v="149"/>
    <x v="149"/>
    <x v="149"/>
    <x v="147"/>
    <s v="Santiago Steel 71-B"/>
    <x v="16"/>
    <s v="Celular"/>
    <x v="149"/>
    <x v="0"/>
    <x v="34"/>
    <x v="3"/>
    <x v="0"/>
    <x v="0"/>
    <x v="0"/>
    <x v="0"/>
    <s v="Alejandra Paredes +56 9 5374 4582"/>
    <s v=""/>
    <s v="https://drive.google.com/open?id=1dozaQzrxD-9IlCgXMIcKkDvYVA6NImXv"/>
    <s v="Inicial"/>
    <s v="Ninguno"/>
    <s v="Lobatos"/>
    <s v="Lobatos"/>
    <s v="NO"/>
    <s v="NO"/>
    <s v="NO"/>
    <s v="NO"/>
    <s v="NO"/>
    <n v="1"/>
    <x v="0"/>
    <x v="0"/>
    <m/>
    <s v="Land Rover"/>
    <s v="Evoque"/>
    <s v="Gwjb25"/>
    <x v="0"/>
    <x v="0"/>
    <x v="0"/>
    <x v="0"/>
    <x v="0"/>
    <m/>
    <x v="0"/>
    <x v="0"/>
    <x v="21"/>
    <x v="95"/>
    <x v="17"/>
    <x v="37"/>
    <x v="2"/>
    <x v="1"/>
    <x v="134"/>
    <s v="No"/>
    <d v="2025-05-21T23:07:48"/>
    <x v="0"/>
  </r>
  <r>
    <x v="150"/>
    <x v="150"/>
    <x v="150"/>
    <x v="148"/>
    <s v="Calle F 910 casa 15"/>
    <x v="5"/>
    <s v="Celular"/>
    <x v="150"/>
    <x v="0"/>
    <x v="12"/>
    <x v="3"/>
    <x v="2"/>
    <x v="0"/>
    <x v="0"/>
    <x v="0"/>
    <s v="Karem merino 982340290"/>
    <s v=""/>
    <s v="https://drive.google.com/open?id=106-BPbpA4mU_YkhNzQDYXWCWOctyqDSp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2"/>
    <x v="1"/>
    <m/>
    <x v="0"/>
    <x v="0"/>
    <x v="2"/>
    <x v="2"/>
    <x v="12"/>
    <x v="37"/>
    <x v="1"/>
    <x v="0"/>
    <x v="135"/>
    <s v="No"/>
    <d v="2025-05-21T23:21:25"/>
    <x v="1"/>
  </r>
  <r>
    <x v="151"/>
    <x v="151"/>
    <x v="151"/>
    <x v="149"/>
    <s v="Catirai 161"/>
    <x v="1"/>
    <s v="Celular"/>
    <x v="151"/>
    <x v="0"/>
    <x v="15"/>
    <x v="3"/>
    <x v="1"/>
    <x v="0"/>
    <x v="0"/>
    <x v="0"/>
    <s v="Natacha Márquez +56977065940"/>
    <s v="Ninguna"/>
    <s v="https://drive.google.com/open?id=1IahMy16pqVZ1HqOemGuy6Ol07aojIb3h"/>
    <s v="Medio"/>
    <s v="10845"/>
    <s v="Guias"/>
    <s v="Ninguno"/>
    <s v="NO"/>
    <s v="NO"/>
    <s v="NO"/>
    <s v="NO"/>
    <s v="NO"/>
    <n v="1"/>
    <x v="1"/>
    <x v="1"/>
    <m/>
    <s v=""/>
    <s v=""/>
    <s v="No"/>
    <x v="0"/>
    <x v="0"/>
    <x v="1"/>
    <x v="2"/>
    <x v="1"/>
    <m/>
    <x v="0"/>
    <x v="0"/>
    <x v="13"/>
    <x v="7"/>
    <x v="52"/>
    <x v="71"/>
    <x v="2"/>
    <x v="0"/>
    <x v="136"/>
    <s v="No"/>
    <d v="2025-05-21T23:31:34"/>
    <x v="1"/>
  </r>
  <r>
    <x v="152"/>
    <x v="152"/>
    <x v="152"/>
    <x v="150"/>
    <s v="Pasaje los avellanos, 41_x000a_Cerro la cruz, Lebu"/>
    <x v="22"/>
    <s v="Celular"/>
    <x v="152"/>
    <x v="0"/>
    <x v="37"/>
    <x v="3"/>
    <x v="0"/>
    <x v="0"/>
    <x v="0"/>
    <x v="0"/>
    <s v="Fresia Leiva +56 9 3889 2185"/>
    <s v=""/>
    <s v="https://drive.google.com/open?id=1VXpAoY8mFyTPB6KRGDcJKOx0kvYs61oH"/>
    <s v="Inicial"/>
    <s v="No comprendo"/>
    <s v="Ninguno"/>
    <s v="Ninguno"/>
    <s v="NO"/>
    <s v="NO"/>
    <s v="NO"/>
    <s v="NO"/>
    <s v="NO"/>
    <n v="1"/>
    <x v="1"/>
    <x v="1"/>
    <m/>
    <s v=""/>
    <s v=""/>
    <s v=""/>
    <x v="1"/>
    <x v="1"/>
    <x v="1"/>
    <x v="2"/>
    <x v="1"/>
    <m/>
    <x v="0"/>
    <x v="0"/>
    <x v="1"/>
    <x v="96"/>
    <x v="53"/>
    <x v="72"/>
    <x v="1"/>
    <x v="6"/>
    <x v="45"/>
    <s v="No"/>
    <d v="2025-05-21T23:41:53"/>
    <x v="1"/>
  </r>
  <r>
    <x v="153"/>
    <x v="153"/>
    <x v="153"/>
    <x v="151"/>
    <s v="Enrique moya 178"/>
    <x v="0"/>
    <s v="Celular"/>
    <x v="153"/>
    <x v="0"/>
    <x v="12"/>
    <x v="4"/>
    <x v="2"/>
    <x v="0"/>
    <x v="0"/>
    <x v="0"/>
    <s v="997397134"/>
    <s v=""/>
    <s v="https://drive.google.com/open?id=1Pc5RBHaKRlqnHh78xnLMdTWkLYLuyjfI"/>
    <s v="Inicial"/>
    <s v="Ninguno"/>
    <s v="Ninguno"/>
    <s v="Ninguno"/>
    <s v="NO"/>
    <s v="NO"/>
    <s v="NO"/>
    <s v="NO"/>
    <s v="NO"/>
    <n v="1"/>
    <x v="1"/>
    <x v="1"/>
    <m/>
    <s v="Dodge"/>
    <s v="Dodge DurangoS"/>
    <s v="ZY505"/>
    <x v="1"/>
    <x v="1"/>
    <x v="1"/>
    <x v="1"/>
    <x v="1"/>
    <m/>
    <x v="0"/>
    <x v="0"/>
    <x v="5"/>
    <x v="97"/>
    <x v="54"/>
    <x v="73"/>
    <x v="1"/>
    <x v="0"/>
    <x v="137"/>
    <s v="No"/>
    <d v="2025-05-21T23:44:41"/>
    <x v="1"/>
  </r>
  <r>
    <x v="154"/>
    <x v="154"/>
    <x v="154"/>
    <x v="152"/>
    <s v="Excequiel Plaza 1034"/>
    <x v="0"/>
    <s v="Celular"/>
    <x v="154"/>
    <x v="0"/>
    <x v="34"/>
    <x v="4"/>
    <x v="0"/>
    <x v="0"/>
    <x v="0"/>
    <x v="0"/>
    <s v="Paola Torres +59996394681"/>
    <s v=""/>
    <s v="https://drive.google.com/open?id=1opQC2_-Q_0s_2yUPjf-zqy8m9l6noasw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6"/>
    <x v="2"/>
    <x v="12"/>
    <x v="5"/>
    <x v="1"/>
    <x v="0"/>
    <x v="138"/>
    <s v="No"/>
    <d v="2025-05-22T00:20:22"/>
    <x v="0"/>
  </r>
  <r>
    <x v="155"/>
    <x v="155"/>
    <x v="155"/>
    <x v="153"/>
    <s v="gobernador juan henríquez #820"/>
    <x v="4"/>
    <s v="Celular"/>
    <x v="155"/>
    <x v="1"/>
    <x v="38"/>
    <x v="3"/>
    <x v="3"/>
    <x v="2"/>
    <x v="0"/>
    <x v="2"/>
    <s v="Mónica Vega +56974645434"/>
    <s v=""/>
    <s v="https://drive.google.com/open?id=1Nb3QRDh30HxlthHSrrcDhXJjHkkNqF7w"/>
    <s v="Medio"/>
    <s v="10118"/>
    <s v="Lobatos"/>
    <s v="Ninguno"/>
    <s v="SI"/>
    <s v="SI"/>
    <s v="Lobatos"/>
    <s v="Lobatos"/>
    <s v="NO"/>
    <n v="1"/>
    <x v="0"/>
    <x v="0"/>
    <m/>
    <s v=""/>
    <s v=""/>
    <s v=""/>
    <x v="0"/>
    <x v="0"/>
    <x v="4"/>
    <x v="0"/>
    <x v="0"/>
    <m/>
    <x v="0"/>
    <x v="0"/>
    <x v="27"/>
    <x v="98"/>
    <x v="9"/>
    <x v="55"/>
    <x v="1"/>
    <x v="11"/>
    <x v="111"/>
    <s v="No"/>
    <d v="2025-05-22T01:33:28"/>
    <x v="1"/>
  </r>
  <r>
    <x v="156"/>
    <x v="156"/>
    <x v="156"/>
    <x v="154"/>
    <s v="Laguna Logalindo 883"/>
    <x v="5"/>
    <s v="Celular"/>
    <x v="156"/>
    <x v="0"/>
    <x v="29"/>
    <x v="2"/>
    <x v="3"/>
    <x v="0"/>
    <x v="0"/>
    <x v="0"/>
    <s v="Camila Diaz +56967783337"/>
    <s v="Quizás no pueda pernoctar en el lugar del curso, debido a las responsabilidades con mi hija"/>
    <s v="https://drive.google.com/open?id=1tlWf6VDk8BXrsuDaekiXc2qT376n3lNs"/>
    <s v="Inicial"/>
    <s v="Ninguno"/>
    <s v="Ninguno"/>
    <s v="Ninguno"/>
    <s v="NO"/>
    <s v="NO"/>
    <s v="NO"/>
    <s v="NO"/>
    <s v="NO"/>
    <n v="1"/>
    <x v="0"/>
    <x v="0"/>
    <m/>
    <s v="MAZDA"/>
    <s v="CX-5"/>
    <s v="JVSX-81"/>
    <x v="1"/>
    <x v="1"/>
    <x v="0"/>
    <x v="0"/>
    <x v="0"/>
    <m/>
    <x v="0"/>
    <x v="0"/>
    <x v="18"/>
    <x v="53"/>
    <x v="55"/>
    <x v="57"/>
    <x v="1"/>
    <x v="0"/>
    <x v="139"/>
    <s v="No"/>
    <d v="2025-05-22T10:48:46"/>
    <x v="0"/>
  </r>
  <r>
    <x v="157"/>
    <x v="157"/>
    <x v="157"/>
    <x v="155"/>
    <s v="Paseo del sol 0690, Labranza, Temuco"/>
    <x v="23"/>
    <s v="Celular"/>
    <x v="157"/>
    <x v="1"/>
    <x v="39"/>
    <x v="3"/>
    <x v="7"/>
    <x v="0"/>
    <x v="0"/>
    <x v="0"/>
    <s v="Arturo Lehuey - +56950960719"/>
    <s v=""/>
    <s v="https://drive.google.com/open?id=1C9fDj8Dmnv5aGSnU38OMUhX6ljzY0I1e"/>
    <s v="Medio"/>
    <s v="10035"/>
    <s v="Lobatos"/>
    <s v="Ninguno"/>
    <s v="SI"/>
    <s v="NO"/>
    <s v="NO"/>
    <s v="NO"/>
    <s v="NO"/>
    <n v="1"/>
    <x v="0"/>
    <x v="0"/>
    <m/>
    <s v=""/>
    <s v=""/>
    <s v=""/>
    <x v="1"/>
    <x v="1"/>
    <x v="4"/>
    <x v="0"/>
    <x v="0"/>
    <m/>
    <x v="0"/>
    <x v="0"/>
    <x v="18"/>
    <x v="99"/>
    <x v="12"/>
    <x v="16"/>
    <x v="1"/>
    <x v="0"/>
    <x v="140"/>
    <s v="No"/>
    <d v="2025-05-22T11:41:57"/>
    <x v="1"/>
  </r>
  <r>
    <x v="158"/>
    <x v="158"/>
    <x v="158"/>
    <x v="156"/>
    <s v="General Hernán Merino Correa 497, salinas"/>
    <x v="5"/>
    <s v="Celular"/>
    <x v="158"/>
    <x v="0"/>
    <x v="29"/>
    <x v="3"/>
    <x v="3"/>
    <x v="0"/>
    <x v="36"/>
    <x v="3"/>
    <s v="Bruno Pérez (Papá) +56966818633"/>
    <s v=""/>
    <s v="https://drive.google.com/open?id=1dTmxF9whA20880iTtf5TOcmlkKWvhYAr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100"/>
    <x v="56"/>
    <x v="74"/>
    <x v="1"/>
    <x v="1"/>
    <x v="141"/>
    <s v="No"/>
    <d v="2025-05-22T12:21:33"/>
    <x v="0"/>
  </r>
  <r>
    <x v="159"/>
    <x v="159"/>
    <x v="159"/>
    <x v="157"/>
    <s v="Carlos Dittborn 3678, Villa San Martin, Talcahuano"/>
    <x v="5"/>
    <s v="Celular"/>
    <x v="159"/>
    <x v="0"/>
    <x v="29"/>
    <x v="5"/>
    <x v="3"/>
    <x v="0"/>
    <x v="0"/>
    <x v="0"/>
    <s v="Carolina Urra (Madre) +56 9 7578 5107"/>
    <s v=""/>
    <s v="https://drive.google.com/open?id=1IHVXceatXSmBW3883maHquDjCrbqF7GM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101"/>
    <x v="22"/>
    <x v="75"/>
    <x v="1"/>
    <x v="0"/>
    <x v="10"/>
    <s v="No"/>
    <d v="2025-05-22T12:27:45"/>
    <x v="0"/>
  </r>
  <r>
    <x v="160"/>
    <x v="160"/>
    <x v="160"/>
    <x v="158"/>
    <s v="Calle 7 #3789 San Marcos 2000"/>
    <x v="5"/>
    <s v="Celular"/>
    <x v="160"/>
    <x v="1"/>
    <x v="40"/>
    <x v="0"/>
    <x v="3"/>
    <x v="2"/>
    <x v="37"/>
    <x v="0"/>
    <s v="Paola Benavides +56994375616"/>
    <s v=""/>
    <s v="https://drive.google.com/open?id=13zASy7q5Gjcs_Leo5hUMnqn-Yn_7_vdk"/>
    <s v="Medio"/>
    <s v="10461"/>
    <s v="Guias"/>
    <s v="Ninguno"/>
    <s v="SI"/>
    <s v="SI"/>
    <s v="Guias"/>
    <s v="Guias"/>
    <s v="NO"/>
    <n v="1"/>
    <x v="0"/>
    <x v="0"/>
    <m/>
    <s v="Kia"/>
    <s v="Morning"/>
    <s v="PCJD92"/>
    <x v="1"/>
    <x v="1"/>
    <x v="4"/>
    <x v="0"/>
    <x v="0"/>
    <m/>
    <x v="0"/>
    <x v="0"/>
    <x v="15"/>
    <x v="30"/>
    <x v="2"/>
    <x v="76"/>
    <x v="1"/>
    <x v="0"/>
    <x v="116"/>
    <s v="No"/>
    <d v="2025-05-22T13:45:52"/>
    <x v="1"/>
  </r>
  <r>
    <x v="161"/>
    <x v="161"/>
    <x v="161"/>
    <x v="159"/>
    <s v="Bombero Fuentes 45"/>
    <x v="4"/>
    <s v="Celular"/>
    <x v="161"/>
    <x v="0"/>
    <x v="18"/>
    <x v="2"/>
    <x v="3"/>
    <x v="0"/>
    <x v="0"/>
    <x v="0"/>
    <s v="Jacqueline Reske +56978779023"/>
    <s v=""/>
    <s v="https://drive.google.com/open?id=1QIP_Kr1lDnGB0OsjRlmNAV5tv5aX3LkE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6"/>
    <x v="102"/>
    <x v="24"/>
    <x v="14"/>
    <x v="1"/>
    <x v="0"/>
    <x v="142"/>
    <s v="No"/>
    <d v="2025-05-22T14:03:25"/>
    <x v="0"/>
  </r>
  <r>
    <x v="162"/>
    <x v="162"/>
    <x v="162"/>
    <x v="160"/>
    <s v="Los Condores 471"/>
    <x v="11"/>
    <s v="Celular"/>
    <x v="162"/>
    <x v="0"/>
    <x v="32"/>
    <x v="3"/>
    <x v="8"/>
    <x v="0"/>
    <x v="0"/>
    <x v="0"/>
    <s v="Miriam Loaiza +56 9 6738 0301"/>
    <s v=""/>
    <s v="https://drive.google.com/open?id=1x6Em_-gFTbAgTL0KYdu8Xf58N4PtAY4d"/>
    <s v="Inicial"/>
    <s v="Ninguno"/>
    <s v="Ninguno"/>
    <s v="Ninguno"/>
    <s v="NO"/>
    <s v="NO"/>
    <s v="NO"/>
    <s v="NO"/>
    <s v="NO"/>
    <n v="1"/>
    <x v="0"/>
    <x v="0"/>
    <m/>
    <s v="Suzuki"/>
    <s v="Alto"/>
    <s v="CRJC"/>
    <x v="1"/>
    <x v="1"/>
    <x v="0"/>
    <x v="0"/>
    <x v="0"/>
    <m/>
    <x v="0"/>
    <x v="0"/>
    <x v="10"/>
    <x v="103"/>
    <x v="17"/>
    <x v="0"/>
    <x v="1"/>
    <x v="0"/>
    <x v="140"/>
    <s v="No"/>
    <d v="2025-05-22T14:08:29"/>
    <x v="2"/>
  </r>
  <r>
    <x v="163"/>
    <x v="163"/>
    <x v="163"/>
    <x v="161"/>
    <s v="H Vallejos 1497"/>
    <x v="0"/>
    <s v="Celular"/>
    <x v="163"/>
    <x v="0"/>
    <x v="10"/>
    <x v="4"/>
    <x v="2"/>
    <x v="0"/>
    <x v="38"/>
    <x v="2"/>
    <s v="Daniela Urrutia +56990782716"/>
    <s v=""/>
    <s v="https://drive.google.com/open?id=1YKKooNu-FPxaiT1mI5Qoy1cWacgo0JZz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8"/>
    <x v="2"/>
    <x v="12"/>
    <x v="77"/>
    <x v="1"/>
    <x v="0"/>
    <x v="143"/>
    <s v="No"/>
    <d v="2025-05-22T14:45:26"/>
    <x v="1"/>
  </r>
  <r>
    <x v="164"/>
    <x v="164"/>
    <x v="164"/>
    <x v="162"/>
    <s v="diagonal bio bio #180 Candelaria"/>
    <x v="0"/>
    <s v="Celular"/>
    <x v="164"/>
    <x v="0"/>
    <x v="22"/>
    <x v="1"/>
    <x v="0"/>
    <x v="0"/>
    <x v="39"/>
    <x v="0"/>
    <s v="Elba Rosa Manriquez Lema, +56941025036"/>
    <s v=""/>
    <s v="https://drive.google.com/open?id=1gOU7d0MeFfq2JfhwugbSpA8b69ftKvai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2"/>
    <x v="0"/>
    <s v="ESTA CON PROBLEMAS EN STGO. YA ESTA REGISTRADO POR SISTEMA"/>
    <x v="0"/>
    <x v="0"/>
    <x v="6"/>
    <x v="37"/>
    <x v="56"/>
    <x v="46"/>
    <x v="1"/>
    <x v="0"/>
    <x v="144"/>
    <s v="No"/>
    <d v="2025-05-22T15:13:10"/>
    <x v="0"/>
  </r>
  <r>
    <x v="165"/>
    <x v="165"/>
    <x v="165"/>
    <x v="163"/>
    <s v="Lago llanquihue 172"/>
    <x v="5"/>
    <s v="Celular"/>
    <x v="165"/>
    <x v="0"/>
    <x v="12"/>
    <x v="4"/>
    <x v="2"/>
    <x v="0"/>
    <x v="0"/>
    <x v="0"/>
    <s v="Celia Aguilar +56956984763"/>
    <s v=""/>
    <s v="https://drive.google.com/open?id=1Ezryy94Ad7fDIcywqCVlAtkE57bwFXgB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18"/>
    <x v="104"/>
    <x v="17"/>
    <x v="5"/>
    <x v="1"/>
    <x v="0"/>
    <x v="145"/>
    <s v="No"/>
    <d v="2025-05-22T18:41:00"/>
    <x v="0"/>
  </r>
  <r>
    <x v="166"/>
    <x v="166"/>
    <x v="166"/>
    <x v="164"/>
    <s v="Siete norte N15 poblacion esmeralda"/>
    <x v="5"/>
    <s v="Celular"/>
    <x v="166"/>
    <x v="0"/>
    <x v="29"/>
    <x v="0"/>
    <x v="3"/>
    <x v="0"/>
    <x v="0"/>
    <x v="0"/>
    <s v="Lorraine Herrera+56986029827"/>
    <s v=""/>
    <s v="https://drive.google.com/open?id=1rlfhEs5aBdSN0c2H6ariwWJ3UyMTFAyy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105"/>
    <x v="12"/>
    <x v="4"/>
    <x v="1"/>
    <x v="0"/>
    <x v="10"/>
    <s v="No"/>
    <d v="2025-05-22T19:07:21"/>
    <x v="0"/>
  </r>
  <r>
    <x v="167"/>
    <x v="167"/>
    <x v="167"/>
    <x v="165"/>
    <s v="Collao 1485 Casa 23"/>
    <x v="4"/>
    <s v="Celular"/>
    <x v="167"/>
    <x v="0"/>
    <x v="12"/>
    <x v="1"/>
    <x v="2"/>
    <x v="2"/>
    <x v="0"/>
    <x v="0"/>
    <s v="Margarita Escobar  +56998476743"/>
    <s v=""/>
    <s v="https://drive.google.com/open?id=1a_7LAqdcwxLWRFcWT6qaQypPkSouJkD6"/>
    <s v="Inicial"/>
    <s v="Ninguno"/>
    <s v="Ninguno"/>
    <s v="Ninguno"/>
    <s v="NO"/>
    <s v="NO"/>
    <s v="NO"/>
    <s v="NO"/>
    <s v="NO"/>
    <n v="1"/>
    <x v="0"/>
    <x v="0"/>
    <m/>
    <s v="Ford"/>
    <s v="Ford Ranger"/>
    <s v="KLTH34"/>
    <x v="1"/>
    <x v="1"/>
    <x v="0"/>
    <x v="0"/>
    <x v="0"/>
    <m/>
    <x v="0"/>
    <x v="0"/>
    <x v="1"/>
    <x v="31"/>
    <x v="17"/>
    <x v="19"/>
    <x v="1"/>
    <x v="3"/>
    <x v="146"/>
    <s v="No"/>
    <d v="2025-05-22T19:31:57"/>
    <x v="0"/>
  </r>
  <r>
    <x v="168"/>
    <x v="168"/>
    <x v="168"/>
    <x v="166"/>
    <s v="Valladolid 9381"/>
    <x v="3"/>
    <s v="Celular"/>
    <x v="168"/>
    <x v="0"/>
    <x v="12"/>
    <x v="5"/>
    <x v="2"/>
    <x v="0"/>
    <x v="0"/>
    <x v="0"/>
    <s v="Betty Henríquez +56942433135"/>
    <s v=""/>
    <s v="https://drive.google.com/open?id=1HBQ6EmSU8J2YPt0GNBWF-vyNLxf7tGy0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106"/>
    <x v="57"/>
    <x v="4"/>
    <x v="1"/>
    <x v="0"/>
    <x v="147"/>
    <s v="No"/>
    <d v="2025-05-22T20:07:07"/>
    <x v="0"/>
  </r>
  <r>
    <x v="169"/>
    <x v="169"/>
    <x v="169"/>
    <x v="167"/>
    <s v="las violetas 1652"/>
    <x v="0"/>
    <s v="Celular"/>
    <x v="169"/>
    <x v="0"/>
    <x v="12"/>
    <x v="1"/>
    <x v="2"/>
    <x v="2"/>
    <x v="0"/>
    <x v="0"/>
    <s v="Rose Marie Maldonado +56939619555"/>
    <s v=""/>
    <s v="https://drive.google.com/open?id=1zS7eJEnRvvP-lSpt1pAcpXhsbXd_lucd"/>
    <s v="Inicial"/>
    <s v="Ninguno"/>
    <s v="Guias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2"/>
    <x v="17"/>
    <x v="78"/>
    <x v="1"/>
    <x v="0"/>
    <x v="145"/>
    <s v="No"/>
    <d v="2025-05-22T20:17:25"/>
    <x v="0"/>
  </r>
  <r>
    <x v="170"/>
    <x v="170"/>
    <x v="170"/>
    <x v="168"/>
    <s v="Los Hualles s/n , Chancoyan, Valdivia"/>
    <x v="21"/>
    <s v="Celular"/>
    <x v="170"/>
    <x v="1"/>
    <x v="41"/>
    <x v="2"/>
    <x v="12"/>
    <x v="0"/>
    <x v="0"/>
    <x v="0"/>
    <s v="Fabiola Letelier+56963413456"/>
    <s v=""/>
    <s v="https://drive.google.com/open?id=1-vM3FFeW8ihCeY3l0T8zuNJhb02-rJIF"/>
    <s v="Avanzado"/>
    <s v="9528"/>
    <s v="Guias, Caminantes"/>
    <s v="Caminantes"/>
    <s v="SI"/>
    <s v="NO"/>
    <s v="NO"/>
    <s v="NO"/>
    <s v="NO"/>
    <n v="1"/>
    <x v="0"/>
    <x v="0"/>
    <m/>
    <s v="changan"/>
    <s v="Hunter"/>
    <s v="PYLW89"/>
    <x v="1"/>
    <x v="1"/>
    <x v="4"/>
    <x v="0"/>
    <x v="0"/>
    <m/>
    <x v="0"/>
    <x v="3"/>
    <x v="23"/>
    <x v="107"/>
    <x v="58"/>
    <x v="79"/>
    <x v="0"/>
    <x v="0"/>
    <x v="48"/>
    <s v="No"/>
    <d v="2025-05-22T21:46:16"/>
    <x v="1"/>
  </r>
  <r>
    <x v="171"/>
    <x v="171"/>
    <x v="171"/>
    <x v="169"/>
    <s v="Manuel Bayon 3429"/>
    <x v="5"/>
    <s v="Celular"/>
    <x v="171"/>
    <x v="0"/>
    <x v="14"/>
    <x v="5"/>
    <x v="3"/>
    <x v="0"/>
    <x v="0"/>
    <x v="0"/>
    <s v="Bernardo Ruiz +56976952713"/>
    <s v="No"/>
    <s v="https://drive.google.com/open?id=1UNtFgwMaP9O3Qxsr3QU26lc5Nqrc3xEc"/>
    <s v="Inicial"/>
    <s v="Ninguno"/>
    <s v="Ninguno"/>
    <s v="Ninguno"/>
    <s v="NO"/>
    <s v="NO"/>
    <s v="NO"/>
    <s v="NO"/>
    <s v="NO"/>
    <n v="1"/>
    <x v="0"/>
    <x v="0"/>
    <m/>
    <s v="Chery"/>
    <s v="Tiggo"/>
    <s v="GTXR33"/>
    <x v="1"/>
    <x v="1"/>
    <x v="0"/>
    <x v="0"/>
    <x v="0"/>
    <m/>
    <x v="0"/>
    <x v="0"/>
    <x v="28"/>
    <x v="108"/>
    <x v="10"/>
    <x v="80"/>
    <x v="2"/>
    <x v="3"/>
    <x v="148"/>
    <s v="No"/>
    <d v="2025-05-22T22:32:39"/>
    <x v="0"/>
  </r>
  <r>
    <x v="172"/>
    <x v="172"/>
    <x v="172"/>
    <x v="170"/>
    <s v="Pasaje seis #236, Villa El nevado, Chillán"/>
    <x v="11"/>
    <s v="Celular"/>
    <x v="172"/>
    <x v="0"/>
    <x v="42"/>
    <x v="0"/>
    <x v="8"/>
    <x v="2"/>
    <x v="40"/>
    <x v="0"/>
    <s v="Paola Gómez +56 9 9774 8987"/>
    <s v=""/>
    <s v="https://drive.google.com/open?id=1vPbUy8UdM4pDCCiav3KFunB0MS-2Uvj3"/>
    <s v="Medio"/>
    <s v="7541"/>
    <s v="Guias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9"/>
    <x v="109"/>
    <x v="4"/>
    <x v="21"/>
    <x v="1"/>
    <x v="1"/>
    <x v="145"/>
    <s v="No"/>
    <d v="2025-05-22T23:54:24"/>
    <x v="2"/>
  </r>
  <r>
    <x v="173"/>
    <x v="173"/>
    <x v="173"/>
    <x v="171"/>
    <s v="Maipu 1339, depto 207"/>
    <x v="4"/>
    <s v="Celular"/>
    <x v="173"/>
    <x v="0"/>
    <x v="17"/>
    <x v="1"/>
    <x v="8"/>
    <x v="0"/>
    <x v="0"/>
    <x v="0"/>
    <s v="Paola Vera +56976741332"/>
    <s v=""/>
    <s v="https://drive.google.com/open?id=1oy5Xc4aqL3ZiMYpZtxs8EQyijIkz0tky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2"/>
    <x v="110"/>
    <x v="12"/>
    <x v="4"/>
    <x v="1"/>
    <x v="0"/>
    <x v="149"/>
    <s v="No"/>
    <d v="2025-05-23T00:02:05"/>
    <x v="1"/>
  </r>
  <r>
    <x v="174"/>
    <x v="174"/>
    <x v="174"/>
    <x v="172"/>
    <s v="Lago conguillio 1819"/>
    <x v="1"/>
    <s v="Celular"/>
    <x v="174"/>
    <x v="0"/>
    <x v="25"/>
    <x v="2"/>
    <x v="1"/>
    <x v="0"/>
    <x v="41"/>
    <x v="3"/>
    <s v="Carolina Chávez romero 934389363"/>
    <s v="No"/>
    <s v="https://drive.google.com/open?id=1BQ5z19N5Z7nel5I1rkRa6gUzyU9WwSc9"/>
    <s v="Inicial"/>
    <s v="Ninguno"/>
    <s v="Caminantes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4"/>
    <x v="111"/>
    <x v="56"/>
    <x v="37"/>
    <x v="2"/>
    <x v="12"/>
    <x v="150"/>
    <s v="No"/>
    <d v="2025-05-23T11:40:17"/>
    <x v="0"/>
  </r>
  <r>
    <x v="175"/>
    <x v="175"/>
    <x v="175"/>
    <x v="173"/>
    <s v="San francisco de asis 1510, Chillán"/>
    <x v="11"/>
    <s v="Celular"/>
    <x v="175"/>
    <x v="0"/>
    <x v="16"/>
    <x v="1"/>
    <x v="8"/>
    <x v="0"/>
    <x v="0"/>
    <x v="3"/>
    <s v="Ithol Gutierrez +56995105891"/>
    <s v=""/>
    <s v="https://drive.google.com/open?id=1cRbk_1fCpaRKFL5V3CnHj2t5F9TTud3-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"/>
    <x v="112"/>
    <x v="17"/>
    <x v="18"/>
    <x v="1"/>
    <x v="0"/>
    <x v="59"/>
    <s v="No"/>
    <d v="2025-05-23T12:48:57"/>
    <x v="2"/>
  </r>
  <r>
    <x v="176"/>
    <x v="176"/>
    <x v="176"/>
    <x v="174"/>
    <s v="Laguna lo Méndez 783"/>
    <x v="5"/>
    <s v="Celular"/>
    <x v="176"/>
    <x v="0"/>
    <x v="18"/>
    <x v="4"/>
    <x v="3"/>
    <x v="0"/>
    <x v="0"/>
    <x v="0"/>
    <s v="Adriana Parra 9 7757 4497"/>
    <s v=""/>
    <s v="https://drive.google.com/open?id=1MQEfsY5T8H7QqYrEuD8Pdgrb3U_iY2hs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5"/>
    <x v="2"/>
    <x v="10"/>
    <x v="40"/>
    <x v="1"/>
    <x v="0"/>
    <x v="151"/>
    <s v="No"/>
    <d v="2025-05-23T13:08:13"/>
    <x v="0"/>
  </r>
  <r>
    <x v="177"/>
    <x v="177"/>
    <x v="177"/>
    <x v="175"/>
    <s v="Pedro Prado 8740, Villa Acero"/>
    <x v="3"/>
    <s v="Celular"/>
    <x v="177"/>
    <x v="0"/>
    <x v="18"/>
    <x v="1"/>
    <x v="3"/>
    <x v="0"/>
    <x v="0"/>
    <x v="0"/>
    <s v="Erna Castillo, +56977676554"/>
    <s v=""/>
    <s v="https://drive.google.com/open?id=1C-6sScRCYxZUm5UGmUTF-IyXkt4PVJwC"/>
    <s v="Inicial"/>
    <s v="Ninguno"/>
    <s v="Ninguno"/>
    <s v="Ninguno"/>
    <s v="NO"/>
    <s v="NO"/>
    <s v="NO"/>
    <s v="NO"/>
    <s v="NO"/>
    <n v="1"/>
    <x v="0"/>
    <x v="0"/>
    <m/>
    <s v="Ford"/>
    <s v="Escape"/>
    <s v="DTYK60"/>
    <x v="0"/>
    <x v="0"/>
    <x v="0"/>
    <x v="0"/>
    <x v="0"/>
    <m/>
    <x v="0"/>
    <x v="0"/>
    <x v="18"/>
    <x v="113"/>
    <x v="59"/>
    <x v="81"/>
    <x v="1"/>
    <x v="1"/>
    <x v="152"/>
    <s v="No"/>
    <d v="2025-05-23T13:20:40"/>
    <x v="0"/>
  </r>
  <r>
    <x v="178"/>
    <x v="178"/>
    <x v="178"/>
    <x v="176"/>
    <s v="Los cóndores 471, Altos del Este"/>
    <x v="11"/>
    <s v="Celular"/>
    <x v="178"/>
    <x v="0"/>
    <x v="32"/>
    <x v="2"/>
    <x v="8"/>
    <x v="0"/>
    <x v="0"/>
    <x v="0"/>
    <s v="Felipe Inostroza num 966537314"/>
    <s v=""/>
    <s v="https://drive.google.com/open?id=1ePRJmgUJgpKqM6Fdaekb8Y6MtPve51_M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20"/>
    <x v="114"/>
    <x v="2"/>
    <x v="16"/>
    <x v="1"/>
    <x v="0"/>
    <x v="153"/>
    <s v="No"/>
    <d v="2025-05-23T15:59:13"/>
    <x v="2"/>
  </r>
  <r>
    <x v="179"/>
    <x v="179"/>
    <x v="179"/>
    <x v="177"/>
    <s v="las quintas 578"/>
    <x v="1"/>
    <s v="Celular"/>
    <x v="179"/>
    <x v="0"/>
    <x v="25"/>
    <x v="1"/>
    <x v="1"/>
    <x v="1"/>
    <x v="0"/>
    <x v="0"/>
    <s v="elizabeth fuentes 983848123"/>
    <s v=""/>
    <s v="https://drive.google.com/open?id=1H0n2W3AMAom1yWhjleV2shVE0omyNGS8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2"/>
    <x v="115"/>
    <x v="15"/>
    <x v="37"/>
    <x v="1"/>
    <x v="0"/>
    <x v="154"/>
    <s v="No"/>
    <d v="2025-05-23T16:50:41"/>
    <x v="2"/>
  </r>
  <r>
    <x v="180"/>
    <x v="180"/>
    <x v="180"/>
    <x v="178"/>
    <s v="Pasaje rio cau cau 931 villa alcalde navas chillan"/>
    <x v="11"/>
    <s v="Celular"/>
    <x v="180"/>
    <x v="0"/>
    <x v="42"/>
    <x v="3"/>
    <x v="8"/>
    <x v="0"/>
    <x v="0"/>
    <x v="6"/>
    <s v="Enzo Rubilar   +56 9 7241 5470"/>
    <s v=""/>
    <s v="https://drive.google.com/open?id=1wjzkG7j0bL49WaVD0C9a2Spk1c4Dn65i"/>
    <s v="Inicial"/>
    <s v="Ninguno"/>
    <s v="Ninguno"/>
    <s v="Ninguno"/>
    <s v="NO"/>
    <s v="NO"/>
    <s v="NO"/>
    <s v="NO"/>
    <s v="NO"/>
    <n v="1"/>
    <x v="1"/>
    <x v="1"/>
    <m/>
    <s v=""/>
    <s v=""/>
    <s v=""/>
    <x v="1"/>
    <x v="1"/>
    <x v="1"/>
    <x v="2"/>
    <x v="1"/>
    <m/>
    <x v="0"/>
    <x v="0"/>
    <x v="30"/>
    <x v="116"/>
    <x v="14"/>
    <x v="82"/>
    <x v="1"/>
    <x v="3"/>
    <x v="155"/>
    <s v="No"/>
    <d v="2025-05-23T17:16:25"/>
    <x v="1"/>
  </r>
  <r>
    <x v="181"/>
    <x v="181"/>
    <x v="181"/>
    <x v="179"/>
    <s v="Parque Cabeceros 208"/>
    <x v="1"/>
    <s v="Celular"/>
    <x v="181"/>
    <x v="0"/>
    <x v="43"/>
    <x v="1"/>
    <x v="1"/>
    <x v="0"/>
    <x v="0"/>
    <x v="0"/>
    <s v="Alejandra Irribarra +56964352577"/>
    <s v=""/>
    <s v="https://drive.google.com/open?id=1VGVzFDSMMuQ01idjkTbspHKlX072FgA5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2"/>
    <x v="117"/>
    <x v="2"/>
    <x v="23"/>
    <x v="1"/>
    <x v="0"/>
    <x v="156"/>
    <s v="No"/>
    <d v="2025-05-23T22:02:46"/>
    <x v="1"/>
  </r>
  <r>
    <x v="182"/>
    <x v="182"/>
    <x v="182"/>
    <x v="180"/>
    <s v="Av. Circunvalación 180"/>
    <x v="11"/>
    <s v="Celular"/>
    <x v="182"/>
    <x v="0"/>
    <x v="17"/>
    <x v="1"/>
    <x v="8"/>
    <x v="0"/>
    <x v="0"/>
    <x v="0"/>
    <s v="Celso Riffo +56974038144 (Padre)"/>
    <s v=""/>
    <s v="https://drive.google.com/open?id=1nF83C1uqkxTHe2VJHpwufSqCKLrULdST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0"/>
    <x v="0"/>
    <m/>
    <x v="0"/>
    <x v="0"/>
    <x v="2"/>
    <x v="118"/>
    <x v="34"/>
    <x v="14"/>
    <x v="1"/>
    <x v="0"/>
    <x v="157"/>
    <s v="No"/>
    <d v="2025-05-24T13:26:13"/>
    <x v="2"/>
  </r>
  <r>
    <x v="183"/>
    <x v="183"/>
    <x v="183"/>
    <x v="181"/>
    <s v="Bayona 2050 Dpto B301"/>
    <x v="0"/>
    <s v="Celular"/>
    <x v="183"/>
    <x v="1"/>
    <x v="5"/>
    <x v="2"/>
    <x v="4"/>
    <x v="0"/>
    <x v="0"/>
    <x v="0"/>
    <s v="Miguel Villanueva Ahumada 990854229"/>
    <s v=""/>
    <s v="https://drive.google.com/open?id=1R2XO413HldQxSJZzqm5xXtvDJjg4Iflm"/>
    <s v="Medio"/>
    <s v="8244"/>
    <s v="Lobatos, Caminantes"/>
    <s v="Ninguno"/>
    <s v="SI"/>
    <s v="NO"/>
    <s v="NO"/>
    <s v="NO"/>
    <s v="NO"/>
    <n v="1"/>
    <x v="0"/>
    <x v="0"/>
    <m/>
    <s v="Kia"/>
    <s v="Seltos"/>
    <s v="TBWD70"/>
    <x v="0"/>
    <x v="0"/>
    <x v="4"/>
    <x v="0"/>
    <x v="0"/>
    <m/>
    <x v="0"/>
    <x v="3"/>
    <x v="11"/>
    <x v="119"/>
    <x v="14"/>
    <x v="32"/>
    <x v="1"/>
    <x v="1"/>
    <x v="158"/>
    <s v="No"/>
    <d v="2025-05-24T14:34:24"/>
    <x v="1"/>
  </r>
  <r>
    <x v="184"/>
    <x v="184"/>
    <x v="184"/>
    <x v="182"/>
    <s v="Toscania #2835 armando alarcon del canto"/>
    <x v="3"/>
    <s v="Celular"/>
    <x v="184"/>
    <x v="0"/>
    <x v="44"/>
    <x v="4"/>
    <x v="3"/>
    <x v="0"/>
    <x v="0"/>
    <x v="0"/>
    <s v="Karen Pinilla (997649862)"/>
    <s v=""/>
    <s v="https://drive.google.com/open?id=1csO35cTD62oTPv-r7gJzGwO8bisBgnyP"/>
    <s v="Inicial"/>
    <s v="Ninguno"/>
    <s v="Ninguno"/>
    <s v="Ninguno"/>
    <s v="NO"/>
    <s v="NO"/>
    <s v="NO"/>
    <s v="NO"/>
    <s v="NO"/>
    <n v="1"/>
    <x v="1"/>
    <x v="1"/>
    <m/>
    <s v=""/>
    <s v=""/>
    <s v=""/>
    <x v="0"/>
    <x v="0"/>
    <x v="1"/>
    <x v="1"/>
    <x v="1"/>
    <m/>
    <x v="0"/>
    <x v="0"/>
    <x v="12"/>
    <x v="120"/>
    <x v="5"/>
    <x v="18"/>
    <x v="1"/>
    <x v="3"/>
    <x v="159"/>
    <s v="No"/>
    <d v="2025-05-24T16:36:27"/>
    <x v="1"/>
  </r>
  <r>
    <x v="185"/>
    <x v="185"/>
    <x v="185"/>
    <x v="183"/>
    <s v="Los Fresnos Pasaje 15, 368. Concepción"/>
    <x v="4"/>
    <s v="Celular"/>
    <x v="185"/>
    <x v="0"/>
    <x v="10"/>
    <x v="0"/>
    <x v="2"/>
    <x v="1"/>
    <x v="0"/>
    <x v="0"/>
    <s v="Claudia Coo Suazo +56997084028"/>
    <s v=""/>
    <s v="https://drive.google.com/open?id=1Z1Mb94YSIG5D4SNSxSb2Nd1Fav-WuXY2"/>
    <s v="Ninguno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2"/>
    <x v="0"/>
    <x v="0"/>
    <m/>
    <x v="0"/>
    <x v="0"/>
    <x v="5"/>
    <x v="121"/>
    <x v="5"/>
    <x v="0"/>
    <x v="1"/>
    <x v="0"/>
    <x v="160"/>
    <s v="No"/>
    <d v="2025-05-24T16:37:39"/>
    <x v="0"/>
  </r>
  <r>
    <x v="186"/>
    <x v="186"/>
    <x v="186"/>
    <x v="184"/>
    <s v="Avenida los cisnes 765, San pedro de la Paz"/>
    <x v="0"/>
    <s v="Celular"/>
    <x v="186"/>
    <x v="0"/>
    <x v="4"/>
    <x v="3"/>
    <x v="2"/>
    <x v="1"/>
    <x v="0"/>
    <x v="0"/>
    <s v="Macarena Deride +56962347967"/>
    <s v=""/>
    <s v="https://drive.google.com/open?id=1AuRT7oS5VP-Vy7dwueS3rFnBE-Bj6E-r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2"/>
    <x v="48"/>
    <x v="18"/>
    <x v="5"/>
    <x v="1"/>
    <x v="0"/>
    <x v="161"/>
    <s v="No"/>
    <d v="2025-05-24T18:30:36"/>
    <x v="0"/>
  </r>
  <r>
    <x v="187"/>
    <x v="187"/>
    <x v="187"/>
    <x v="185"/>
    <s v="XXXXXX"/>
    <x v="24"/>
    <s v="Celular"/>
    <x v="187"/>
    <x v="3"/>
    <x v="45"/>
    <x v="6"/>
    <x v="4"/>
    <x v="0"/>
    <x v="0"/>
    <x v="0"/>
    <s v="XXXXXX"/>
    <s v=""/>
    <s v="Ninguna"/>
    <s v="Medio"/>
    <s v="XXXXXX"/>
    <s v="XXXXXX"/>
    <s v="XXXXXX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3"/>
    <x v="122"/>
    <x v="60"/>
    <x v="83"/>
    <x v="4"/>
    <x v="13"/>
    <x v="162"/>
    <s v="No"/>
    <d v="2025-05-01T00:00:00"/>
    <x v="1"/>
  </r>
  <r>
    <x v="188"/>
    <x v="188"/>
    <x v="188"/>
    <x v="185"/>
    <s v="XXXXXX"/>
    <x v="24"/>
    <s v="Celular"/>
    <x v="188"/>
    <x v="3"/>
    <x v="45"/>
    <x v="6"/>
    <x v="4"/>
    <x v="0"/>
    <x v="0"/>
    <x v="0"/>
    <s v="XXXXXX"/>
    <s v=""/>
    <s v="Ninguna"/>
    <s v="Avanzado"/>
    <s v="XXXXXX"/>
    <s v="XXXXXX"/>
    <s v="XXXXXX"/>
    <s v="NO"/>
    <s v="SI"/>
    <s v="Scouts, Pioneros"/>
    <s v="Scouts, Pioneros"/>
    <s v="No Actualizado"/>
    <n v="1"/>
    <x v="0"/>
    <x v="0"/>
    <m/>
    <s v=""/>
    <s v=""/>
    <s v=""/>
    <x v="0"/>
    <x v="0"/>
    <x v="4"/>
    <x v="0"/>
    <x v="0"/>
    <m/>
    <x v="0"/>
    <x v="0"/>
    <x v="3"/>
    <x v="122"/>
    <x v="60"/>
    <x v="83"/>
    <x v="4"/>
    <x v="13"/>
    <x v="162"/>
    <s v="No"/>
    <d v="2025-05-01T00:00:00"/>
    <x v="1"/>
  </r>
  <r>
    <x v="189"/>
    <x v="189"/>
    <x v="189"/>
    <x v="185"/>
    <s v="XXXXXX"/>
    <x v="24"/>
    <s v="Celular"/>
    <x v="189"/>
    <x v="3"/>
    <x v="37"/>
    <x v="6"/>
    <x v="0"/>
    <x v="0"/>
    <x v="0"/>
    <x v="0"/>
    <s v="XXXXXX"/>
    <s v=""/>
    <s v="Ninguna"/>
    <s v="Medio"/>
    <s v="XXXXXX"/>
    <s v="XXXXXX"/>
    <s v="XXXXXX"/>
    <s v="NO"/>
    <s v="NO"/>
    <s v="NO"/>
    <s v="NO"/>
    <s v="NO"/>
    <n v="1"/>
    <x v="0"/>
    <x v="0"/>
    <m/>
    <s v=""/>
    <s v=""/>
    <s v=""/>
    <x v="1"/>
    <x v="1"/>
    <x v="4"/>
    <x v="0"/>
    <x v="0"/>
    <m/>
    <x v="0"/>
    <x v="0"/>
    <x v="3"/>
    <x v="122"/>
    <x v="60"/>
    <x v="83"/>
    <x v="4"/>
    <x v="13"/>
    <x v="162"/>
    <s v="No"/>
    <d v="2025-05-01T00:00:00"/>
    <x v="1"/>
  </r>
  <r>
    <x v="190"/>
    <x v="190"/>
    <x v="190"/>
    <x v="186"/>
    <s v="XXXXXX"/>
    <x v="24"/>
    <s v="Celular"/>
    <x v="190"/>
    <x v="3"/>
    <x v="46"/>
    <x v="6"/>
    <x v="9"/>
    <x v="0"/>
    <x v="0"/>
    <x v="0"/>
    <s v="Eduardo Pereira Figueroa / +56966090996"/>
    <s v=""/>
    <s v="Ninguna"/>
    <s v="Medio"/>
    <s v="XXXXXX"/>
    <s v="XXXXXX"/>
    <s v="XXXXXX"/>
    <s v="NO"/>
    <s v="SI"/>
    <s v="Pioneros"/>
    <s v="Pioneros"/>
    <s v="SI"/>
    <n v="1"/>
    <x v="0"/>
    <x v="0"/>
    <m/>
    <s v=""/>
    <s v=""/>
    <s v=""/>
    <x v="0"/>
    <x v="0"/>
    <x v="4"/>
    <x v="0"/>
    <x v="0"/>
    <m/>
    <x v="0"/>
    <x v="3"/>
    <x v="31"/>
    <x v="122"/>
    <x v="60"/>
    <x v="83"/>
    <x v="4"/>
    <x v="13"/>
    <x v="162"/>
    <s v="No"/>
    <d v="2025-05-01T00:00:00"/>
    <x v="1"/>
  </r>
  <r>
    <x v="191"/>
    <x v="191"/>
    <x v="191"/>
    <x v="187"/>
    <s v="XXXXXX"/>
    <x v="24"/>
    <s v="Celular"/>
    <x v="191"/>
    <x v="3"/>
    <x v="46"/>
    <x v="6"/>
    <x v="4"/>
    <x v="0"/>
    <x v="0"/>
    <x v="0"/>
    <s v="Graciela Estrada / +56987415811"/>
    <s v=""/>
    <s v="Ninguna"/>
    <s v="Medio"/>
    <s v="XXXXXX"/>
    <s v="XXXXXX"/>
    <s v="XXXXXX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3"/>
    <x v="4"/>
    <x v="122"/>
    <x v="60"/>
    <x v="83"/>
    <x v="4"/>
    <x v="13"/>
    <x v="162"/>
    <s v="No"/>
    <d v="2025-05-01T00:00:00"/>
    <x v="1"/>
  </r>
  <r>
    <x v="192"/>
    <x v="192"/>
    <x v="192"/>
    <x v="188"/>
    <s v="applegath 549"/>
    <x v="5"/>
    <s v="Celular"/>
    <x v="192"/>
    <x v="2"/>
    <x v="18"/>
    <x v="1"/>
    <x v="3"/>
    <x v="2"/>
    <x v="0"/>
    <x v="0"/>
    <s v="Manuel +59695158572"/>
    <s v=""/>
    <s v="https://drive.google.com/open?id=1JDhDDmW7SEtOZf0fXRl3OrlfI1QzdHEF"/>
    <s v="Medio"/>
    <s v="11110"/>
    <s v="Pioneros"/>
    <s v="Ninguno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2"/>
    <x v="123"/>
    <x v="19"/>
    <x v="0"/>
    <x v="1"/>
    <x v="1"/>
    <x v="163"/>
    <s v="No"/>
    <d v="2025-05-26T19:57:17"/>
    <x v="1"/>
  </r>
  <r>
    <x v="193"/>
    <x v="193"/>
    <x v="193"/>
    <x v="189"/>
    <s v="Crisantemos 57 villa perales"/>
    <x v="5"/>
    <s v="Celular"/>
    <x v="193"/>
    <x v="3"/>
    <x v="40"/>
    <x v="5"/>
    <x v="3"/>
    <x v="0"/>
    <x v="42"/>
    <x v="2"/>
    <s v="Patricio Alveal +56952197283"/>
    <s v="No"/>
    <s v="https://drive.google.com/open?id=175gssUYZfDHhiyRbePuTQEO74SQGJhEs"/>
    <s v="Medio"/>
    <s v="9180"/>
    <s v="Golondrinas"/>
    <s v="Ninguno"/>
    <s v="NO"/>
    <s v="SI"/>
    <s v="Golondrinas"/>
    <s v="Golondrinas"/>
    <s v="No Actualizado"/>
    <n v="1"/>
    <x v="0"/>
    <x v="0"/>
    <m/>
    <s v=""/>
    <s v=""/>
    <s v=""/>
    <x v="0"/>
    <x v="0"/>
    <x v="4"/>
    <x v="0"/>
    <x v="0"/>
    <m/>
    <x v="0"/>
    <x v="0"/>
    <x v="24"/>
    <x v="124"/>
    <x v="4"/>
    <x v="84"/>
    <x v="2"/>
    <x v="5"/>
    <x v="1"/>
    <s v="No"/>
    <d v="2025-05-26T22:09:01"/>
    <x v="1"/>
  </r>
  <r>
    <x v="194"/>
    <x v="194"/>
    <x v="194"/>
    <x v="190"/>
    <s v="villa alcalde Navas psj cau-cau 931"/>
    <x v="11"/>
    <s v="Celular"/>
    <x v="194"/>
    <x v="0"/>
    <x v="42"/>
    <x v="4"/>
    <x v="8"/>
    <x v="0"/>
    <x v="0"/>
    <x v="0"/>
    <s v="Jaime - +56940714170"/>
    <s v=""/>
    <s v="https://drive.google.com/open?id=1OciRevPa-K6uY9ZN9bYHLNg3qreci5NT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0"/>
    <x v="125"/>
    <x v="4"/>
    <x v="11"/>
    <x v="1"/>
    <x v="0"/>
    <x v="164"/>
    <s v="No"/>
    <d v="2025-05-27T22:06:44"/>
    <x v="2"/>
  </r>
  <r>
    <x v="195"/>
    <x v="195"/>
    <x v="195"/>
    <x v="191"/>
    <s v="Los Hualles S/N, Chancoyan"/>
    <x v="21"/>
    <s v="Celular"/>
    <x v="195"/>
    <x v="1"/>
    <x v="41"/>
    <x v="2"/>
    <x v="11"/>
    <x v="0"/>
    <x v="43"/>
    <x v="0"/>
    <s v="Fernando Fuentes 978096807"/>
    <s v="No"/>
    <s v="https://drive.google.com/open?id=1CeN4esPggpbco0zeq5Mf_3T1VEaj7YUo"/>
    <s v="Avanzado"/>
    <s v="9529"/>
    <s v="Caminantes"/>
    <s v="Caminantes"/>
    <s v="SI"/>
    <s v="NO"/>
    <s v="NO"/>
    <s v="NO"/>
    <s v="NO"/>
    <n v="1"/>
    <x v="0"/>
    <x v="0"/>
    <m/>
    <s v="changan"/>
    <s v="Hunter 4x4"/>
    <s v="PYLW89"/>
    <x v="1"/>
    <x v="1"/>
    <x v="4"/>
    <x v="0"/>
    <x v="0"/>
    <m/>
    <x v="0"/>
    <x v="3"/>
    <x v="17"/>
    <x v="126"/>
    <x v="2"/>
    <x v="85"/>
    <x v="1"/>
    <x v="0"/>
    <x v="165"/>
    <s v="No"/>
    <d v="2025-05-27T23:37:16"/>
    <x v="1"/>
  </r>
  <r>
    <x v="196"/>
    <x v="196"/>
    <x v="196"/>
    <x v="192"/>
    <s v="Andrés Bello 322"/>
    <x v="10"/>
    <s v="Celular"/>
    <x v="196"/>
    <x v="4"/>
    <x v="11"/>
    <x v="0"/>
    <x v="8"/>
    <x v="0"/>
    <x v="0"/>
    <x v="0"/>
    <s v="Carmen Cortez 89112305"/>
    <s v="Tratamiento saxenda, requiere refrigeración"/>
    <s v="https://drive.google.com/open?id=1-rcv7vRoDx4UhBZmS_1ojYlb03qFeOLs"/>
    <s v="Medio"/>
    <s v="8763"/>
    <s v="Guias"/>
    <s v="Ninguno"/>
    <s v="NO"/>
    <s v="NO"/>
    <s v="NO"/>
    <s v="NO"/>
    <s v="NO"/>
    <n v="1"/>
    <x v="0"/>
    <x v="0"/>
    <m/>
    <s v="Volkswaguen"/>
    <s v="Gol"/>
    <s v="SGSH-13"/>
    <x v="1"/>
    <x v="1"/>
    <x v="4"/>
    <x v="0"/>
    <x v="0"/>
    <m/>
    <x v="0"/>
    <x v="0"/>
    <x v="14"/>
    <x v="126"/>
    <x v="5"/>
    <x v="13"/>
    <x v="1"/>
    <x v="0"/>
    <x v="166"/>
    <s v="No"/>
    <d v="2025-06-01T18:43:26"/>
    <x v="1"/>
  </r>
  <r>
    <x v="197"/>
    <x v="197"/>
    <x v="197"/>
    <x v="193"/>
    <s v="Valencia 1061, Valle Escondido Paicavi"/>
    <x v="4"/>
    <s v="Celular"/>
    <x v="197"/>
    <x v="5"/>
    <x v="5"/>
    <x v="5"/>
    <x v="4"/>
    <x v="2"/>
    <x v="30"/>
    <x v="0"/>
    <s v="Daniel Pino, +56962262374"/>
    <s v=""/>
    <s v="https://drive.google.com/open?id=1yhj2p2QNurKF7P522dkB_T9IXVGPjHHC"/>
    <s v="Ninguno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8"/>
    <x v="127"/>
    <x v="5"/>
    <x v="40"/>
    <x v="1"/>
    <x v="0"/>
    <x v="167"/>
    <s v="No"/>
    <d v="2025-06-02T20:44:52"/>
    <x v="1"/>
  </r>
  <r>
    <x v="198"/>
    <x v="198"/>
    <x v="198"/>
    <x v="194"/>
    <s v="Las Violetas 1756"/>
    <x v="0"/>
    <s v="Celular"/>
    <x v="198"/>
    <x v="0"/>
    <x v="10"/>
    <x v="5"/>
    <x v="2"/>
    <x v="0"/>
    <x v="0"/>
    <x v="0"/>
    <s v="Sonia Puschman 997923810"/>
    <s v=""/>
    <s v="https://drive.google.com/open?id=19arpsOd4EiFWcqD8oijed1lCfkupQD3v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2"/>
    <x v="0"/>
    <x v="0"/>
    <m/>
    <x v="0"/>
    <x v="0"/>
    <x v="1"/>
    <x v="2"/>
    <x v="17"/>
    <x v="86"/>
    <x v="1"/>
    <x v="0"/>
    <x v="168"/>
    <s v="No"/>
    <d v="2025-06-03T14:51:21"/>
    <x v="0"/>
  </r>
  <r>
    <x v="199"/>
    <x v="199"/>
    <x v="199"/>
    <x v="195"/>
    <s v="Avenida Santa María 7450, Depto A 301"/>
    <x v="3"/>
    <s v="Celular"/>
    <x v="199"/>
    <x v="0"/>
    <x v="38"/>
    <x v="1"/>
    <x v="3"/>
    <x v="2"/>
    <x v="0"/>
    <x v="7"/>
    <s v="Cristóbal Muñoz Delgado, +56965500416"/>
    <s v=""/>
    <s v="https://drive.google.com/open?id=1I_FjB17IgF14GiLGQ_ssHB7mOMEnJuEQ"/>
    <s v="Inicial"/>
    <s v="Ninguno"/>
    <s v="Ninguno"/>
    <s v="Ninguno"/>
    <s v="NO"/>
    <s v="NO"/>
    <s v="NO"/>
    <s v="NO"/>
    <s v="NO"/>
    <n v="1"/>
    <x v="1"/>
    <x v="1"/>
    <m/>
    <s v="Volkswagen"/>
    <s v="Amarok"/>
    <s v="FJPG60"/>
    <x v="0"/>
    <x v="0"/>
    <x v="1"/>
    <x v="1"/>
    <x v="1"/>
    <m/>
    <x v="0"/>
    <x v="0"/>
    <x v="15"/>
    <x v="1"/>
    <x v="14"/>
    <x v="87"/>
    <x v="1"/>
    <x v="0"/>
    <x v="169"/>
    <s v="No"/>
    <d v="2025-06-05T19:02:07"/>
    <x v="1"/>
  </r>
  <r>
    <x v="200"/>
    <x v="200"/>
    <x v="200"/>
    <x v="196"/>
    <s v="Augusto Iglesias 481"/>
    <x v="5"/>
    <s v="Celular"/>
    <x v="200"/>
    <x v="1"/>
    <x v="18"/>
    <x v="5"/>
    <x v="3"/>
    <x v="0"/>
    <x v="0"/>
    <x v="0"/>
    <s v="María Eugenia Menares +56977682858"/>
    <s v=""/>
    <s v="https://drive.google.com/open?id=1rwP7mPMZwnN5zNB0PpSEj3T2iaIvPqOj"/>
    <s v="Medio"/>
    <s v="8681"/>
    <s v="Golondrinas"/>
    <s v="Ninguno"/>
    <s v="SI"/>
    <s v="SI"/>
    <s v="Golondrinas"/>
    <s v="Golondrinas"/>
    <s v="No Actualizado"/>
    <n v="1"/>
    <x v="0"/>
    <x v="0"/>
    <m/>
    <s v=""/>
    <s v=""/>
    <s v=""/>
    <x v="0"/>
    <x v="0"/>
    <x v="4"/>
    <x v="0"/>
    <x v="0"/>
    <m/>
    <x v="0"/>
    <x v="0"/>
    <x v="11"/>
    <x v="30"/>
    <x v="58"/>
    <x v="88"/>
    <x v="2"/>
    <x v="3"/>
    <x v="170"/>
    <s v="No"/>
    <d v="2025-06-05T22:38:12"/>
    <x v="1"/>
  </r>
  <r>
    <x v="201"/>
    <x v="201"/>
    <x v="201"/>
    <x v="197"/>
    <s v="Bulgaria 1385"/>
    <x v="3"/>
    <s v="Celular"/>
    <x v="201"/>
    <x v="0"/>
    <x v="14"/>
    <x v="2"/>
    <x v="3"/>
    <x v="0"/>
    <x v="0"/>
    <x v="0"/>
    <s v="Catalina 967130567"/>
    <s v=""/>
    <s v="https://drive.google.com/open?id=1MZjBrfLWLDDosOo2c6qyAMNIBRvQbgQJ"/>
    <s v="Inicial"/>
    <s v="Ninguno"/>
    <s v="Ninguno"/>
    <s v="Ninguno"/>
    <s v="NO"/>
    <s v="NO"/>
    <s v="NO"/>
    <s v="NO"/>
    <s v="NO"/>
    <n v="1"/>
    <x v="0"/>
    <x v="0"/>
    <m/>
    <s v=""/>
    <s v=""/>
    <s v=""/>
    <x v="1"/>
    <x v="1"/>
    <x v="0"/>
    <x v="0"/>
    <x v="0"/>
    <m/>
    <x v="0"/>
    <x v="0"/>
    <x v="15"/>
    <x v="128"/>
    <x v="61"/>
    <x v="37"/>
    <x v="1"/>
    <x v="0"/>
    <x v="171"/>
    <s v="No"/>
    <d v="2025-06-07T21:13:02"/>
    <x v="0"/>
  </r>
  <r>
    <x v="202"/>
    <x v="202"/>
    <x v="202"/>
    <x v="198"/>
    <s v="Bellavista 305"/>
    <x v="5"/>
    <s v="Celular"/>
    <x v="202"/>
    <x v="0"/>
    <x v="14"/>
    <x v="1"/>
    <x v="3"/>
    <x v="0"/>
    <x v="44"/>
    <x v="0"/>
    <s v="Hector collilef  +56975219133"/>
    <s v="Voy a realizar el curso con mi bebe de 4 meses ya que no tengo quien la cuide pero me interesa mucho realizar el curso y formarme"/>
    <s v="https://drive.google.com/open?id=1Xf9gkIieZjmv7_2Ju1J08JRGIOPddcxj"/>
    <s v="Inicial"/>
    <s v="Ninguno"/>
    <s v="Ninguno"/>
    <s v="Ninguno"/>
    <s v="NO"/>
    <s v="NO"/>
    <s v="NO"/>
    <s v="NO"/>
    <s v="NO"/>
    <n v="1"/>
    <x v="0"/>
    <x v="0"/>
    <m/>
    <s v="Nissan"/>
    <s v="March"/>
    <s v="KCKR70"/>
    <x v="0"/>
    <x v="0"/>
    <x v="0"/>
    <x v="0"/>
    <x v="0"/>
    <m/>
    <x v="0"/>
    <x v="0"/>
    <x v="20"/>
    <x v="129"/>
    <x v="62"/>
    <x v="89"/>
    <x v="3"/>
    <x v="0"/>
    <x v="172"/>
    <s v="No"/>
    <d v="2025-06-09T13:08:57"/>
    <x v="0"/>
  </r>
  <r>
    <x v="203"/>
    <x v="203"/>
    <x v="203"/>
    <x v="199"/>
    <s v="Maguncia 99"/>
    <x v="25"/>
    <s v="Celular"/>
    <x v="203"/>
    <x v="0"/>
    <x v="47"/>
    <x v="0"/>
    <x v="1"/>
    <x v="2"/>
    <x v="0"/>
    <x v="2"/>
    <s v="968456922 Omar ( papá)"/>
    <s v="No"/>
    <s v="https://drive.google.com/open?id=1l9jokT3eQAlF6cOWjdu2WewiVFvfMfPJ"/>
    <s v="Inicial"/>
    <s v="Ninguno"/>
    <s v="Ninguno"/>
    <s v="Ninguno"/>
    <s v="NO"/>
    <s v="NO"/>
    <s v="NO"/>
    <s v="NO"/>
    <s v="NO"/>
    <n v="1"/>
    <x v="0"/>
    <x v="0"/>
    <m/>
    <s v="Kia"/>
    <s v="Sportaje"/>
    <s v="KPSB21"/>
    <x v="1"/>
    <x v="1"/>
    <x v="0"/>
    <x v="0"/>
    <x v="0"/>
    <m/>
    <x v="0"/>
    <x v="0"/>
    <x v="32"/>
    <x v="2"/>
    <x v="5"/>
    <x v="4"/>
    <x v="1"/>
    <x v="3"/>
    <x v="173"/>
    <s v="No"/>
    <d v="2025-06-11T15:50:32"/>
    <x v="0"/>
  </r>
  <r>
    <x v="204"/>
    <x v="204"/>
    <x v="204"/>
    <x v="200"/>
    <s v="Las Margaritas 1680 depto 207"/>
    <x v="0"/>
    <s v="Celular"/>
    <x v="204"/>
    <x v="2"/>
    <x v="2"/>
    <x v="1"/>
    <x v="2"/>
    <x v="0"/>
    <x v="0"/>
    <x v="0"/>
    <s v="Cecilia Silva Jiménez +56977743918"/>
    <s v=""/>
    <s v="https://drive.google.com/open?id=1llck8mh9qag9dsfA9WZUoA7MgGkM2x8x"/>
    <s v="Medio"/>
    <s v="10961"/>
    <s v="Pioneros"/>
    <s v="Ninguno"/>
    <s v="NO"/>
    <s v="NO"/>
    <s v="NO"/>
    <s v="NO"/>
    <s v="NO"/>
    <n v="1"/>
    <x v="0"/>
    <x v="0"/>
    <m/>
    <s v=""/>
    <s v=""/>
    <s v=""/>
    <x v="0"/>
    <x v="0"/>
    <x v="4"/>
    <x v="0"/>
    <x v="0"/>
    <m/>
    <x v="0"/>
    <x v="0"/>
    <x v="15"/>
    <x v="130"/>
    <x v="12"/>
    <x v="14"/>
    <x v="1"/>
    <x v="0"/>
    <x v="171"/>
    <s v="No"/>
    <d v="2025-06-12T10:43:47"/>
    <x v="1"/>
  </r>
  <r>
    <x v="205"/>
    <x v="205"/>
    <x v="205"/>
    <x v="201"/>
    <s v="Coveña 341 Higueras"/>
    <x v="5"/>
    <s v="Celular"/>
    <x v="205"/>
    <x v="0"/>
    <x v="38"/>
    <x v="1"/>
    <x v="3"/>
    <x v="0"/>
    <x v="0"/>
    <x v="0"/>
    <s v="Patricia Garrido / +56963537595"/>
    <s v=""/>
    <s v="https://drive.google.com/open?id=1sLkI2W6kB_cZ-BmTFbIWwWmERTYRcWZG"/>
    <s v="Inicial"/>
    <s v="Ninguno"/>
    <s v="Ninguno"/>
    <s v="Ninguno"/>
    <s v="NO"/>
    <s v="NO"/>
    <s v="NO"/>
    <s v="NO"/>
    <s v="NO"/>
    <n v="1"/>
    <x v="0"/>
    <x v="0"/>
    <m/>
    <s v=""/>
    <s v=""/>
    <s v=""/>
    <x v="0"/>
    <x v="0"/>
    <x v="0"/>
    <x v="2"/>
    <x v="0"/>
    <m/>
    <x v="0"/>
    <x v="0"/>
    <x v="1"/>
    <x v="2"/>
    <x v="18"/>
    <x v="4"/>
    <x v="1"/>
    <x v="0"/>
    <x v="174"/>
    <s v="No"/>
    <d v="2025-06-15T17:20:24"/>
    <x v="0"/>
  </r>
  <r>
    <x v="206"/>
    <x v="206"/>
    <x v="206"/>
    <x v="202"/>
    <s v="Cochrane 815"/>
    <x v="18"/>
    <s v="Celular"/>
    <x v="206"/>
    <x v="0"/>
    <x v="28"/>
    <x v="4"/>
    <x v="0"/>
    <x v="0"/>
    <x v="0"/>
    <x v="0"/>
    <s v="Camila Roca / +56958573099"/>
    <s v=""/>
    <s v="https://drive.google.com/open?id=1bYiWmO1lyP1oshGGenFzMb2DM1h99wm9"/>
    <s v="Inicial"/>
    <s v="Ninguno"/>
    <s v="Ninguno"/>
    <s v="Ninguno"/>
    <s v="NO"/>
    <s v="NO"/>
    <s v="NO"/>
    <s v="NO"/>
    <s v="NO"/>
    <n v="1"/>
    <x v="0"/>
    <x v="0"/>
    <m/>
    <s v="Peugeot"/>
    <s v="NEW 2008"/>
    <s v="TVZK-55"/>
    <x v="1"/>
    <x v="1"/>
    <x v="0"/>
    <x v="0"/>
    <x v="0"/>
    <m/>
    <x v="0"/>
    <x v="0"/>
    <x v="1"/>
    <x v="131"/>
    <x v="31"/>
    <x v="4"/>
    <x v="1"/>
    <x v="0"/>
    <x v="175"/>
    <s v="No"/>
    <d v="2025-06-19T10:32:03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x v="0"/>
    <x v="0"/>
    <s v="Papelógrafos"/>
    <n v="25"/>
    <n v="300"/>
    <n v="7500"/>
    <n v="13"/>
    <m/>
  </r>
  <r>
    <x v="0"/>
    <x v="1"/>
    <s v="Pegotes / maskingtape /o como le llamen en conce"/>
    <n v="4"/>
    <n v="3000"/>
    <n v="12000"/>
    <m/>
    <m/>
  </r>
  <r>
    <x v="0"/>
    <x v="2"/>
    <s v="plumones negros"/>
    <n v="4"/>
    <n v="1900"/>
    <n v="7600"/>
    <m/>
    <m/>
  </r>
  <r>
    <x v="0"/>
    <x v="3"/>
    <s v="plumones verdes"/>
    <n v="4"/>
    <n v="1900"/>
    <n v="7600"/>
    <m/>
    <m/>
  </r>
  <r>
    <x v="0"/>
    <x v="4"/>
    <s v="plumones azules"/>
    <n v="4"/>
    <n v="1900"/>
    <n v="7600"/>
    <m/>
    <m/>
  </r>
  <r>
    <x v="0"/>
    <x v="5"/>
    <s v="Tijeras"/>
    <n v="4"/>
    <n v="0"/>
    <n v="0"/>
    <m/>
    <m/>
  </r>
  <r>
    <x v="0"/>
    <x v="6"/>
    <s v="Pegamento en barra"/>
    <n v="4"/>
    <n v="1000"/>
    <n v="4000"/>
    <m/>
    <m/>
  </r>
  <r>
    <x v="0"/>
    <x v="7"/>
    <s v="corchetera/corchetes"/>
    <n v="1"/>
    <n v="0"/>
    <n v="0"/>
    <m/>
    <m/>
  </r>
  <r>
    <x v="0"/>
    <x v="8"/>
    <s v="hojas blancas"/>
    <n v="100"/>
    <n v="8"/>
    <n v="800"/>
    <m/>
    <m/>
  </r>
  <r>
    <x v="0"/>
    <x v="9"/>
    <s v="plumones de pizarra azules"/>
    <n v="2"/>
    <n v="1000"/>
    <n v="2000"/>
    <m/>
    <m/>
  </r>
  <r>
    <x v="0"/>
    <x v="10"/>
    <s v="plumones de pizarra negros"/>
    <n v="2"/>
    <n v="1000"/>
    <n v="2000"/>
    <m/>
    <m/>
  </r>
  <r>
    <x v="0"/>
    <x v="11"/>
    <s v="plumones de pizarra rojos"/>
    <n v="2"/>
    <n v="1000"/>
    <n v="2000"/>
    <m/>
    <m/>
  </r>
  <r>
    <x v="0"/>
    <x v="12"/>
    <s v="lápiz pasta"/>
    <n v="25"/>
    <n v="90"/>
    <n v="2250"/>
    <m/>
    <m/>
  </r>
  <r>
    <x v="0"/>
    <x v="13"/>
    <s v="Set notas adhesivas de 4 colores (post it u otra marca)"/>
    <n v="2"/>
    <n v="3000"/>
    <n v="6000"/>
    <m/>
    <m/>
  </r>
  <r>
    <x v="0"/>
    <x v="14"/>
    <s v="sobres de cartulinas"/>
    <n v="3"/>
    <n v="1"/>
    <n v="3"/>
    <m/>
    <m/>
  </r>
  <r>
    <x v="0"/>
    <x v="15"/>
    <s v="Sobre de papel entretenido"/>
    <n v="1"/>
    <n v="1500"/>
    <n v="1500"/>
    <m/>
    <m/>
  </r>
  <r>
    <x v="0"/>
    <x v="16"/>
    <s v="set de plumones para pintar"/>
    <n v="4"/>
    <n v="3000"/>
    <n v="12000"/>
    <m/>
    <m/>
  </r>
  <r>
    <x v="0"/>
    <x v="17"/>
    <s v="Dulces (Si es de 100 U, una bolsa por día) si es de menor cantidad 2 o 3 bolsas)"/>
    <n v="3"/>
    <n v="1000"/>
    <n v="3000"/>
    <m/>
    <m/>
  </r>
  <r>
    <x v="0"/>
    <x v="18"/>
    <s v="CARTULINAS blancas grandes "/>
    <n v="5"/>
    <n v="1000"/>
    <n v="5000"/>
    <n v="5"/>
    <m/>
  </r>
  <r>
    <x v="0"/>
    <x v="19"/>
    <s v="Cartulinas de color azul rey"/>
    <n v="2"/>
    <n v="1000"/>
    <n v="2000"/>
    <n v="2"/>
    <m/>
  </r>
  <r>
    <x v="0"/>
    <x v="20"/>
    <s v="Paquete de goma eva de diferentes colores "/>
    <n v="1"/>
    <n v="1500"/>
    <n v="1500"/>
    <m/>
    <m/>
  </r>
  <r>
    <x v="0"/>
    <x v="21"/>
    <s v="Bandera de Rama"/>
    <n v="1"/>
    <n v="0"/>
    <n v="0"/>
    <m/>
    <m/>
  </r>
  <r>
    <x v="0"/>
    <x v="22"/>
    <s v="Piola (bandera)"/>
    <n v="1"/>
    <n v="0"/>
    <n v="0"/>
    <m/>
    <m/>
  </r>
  <r>
    <x v="0"/>
    <x v="23"/>
    <s v="Carpetas de cartón azul rey"/>
    <n v="25"/>
    <n v="200"/>
    <n v="5000"/>
    <m/>
    <m/>
  </r>
  <r>
    <x v="0"/>
    <x v="24"/>
    <s v="Set Termoláminas"/>
    <n v="1"/>
    <n v="1000"/>
    <n v="1000"/>
    <m/>
    <s v="Ya están compradas (Se rendirán)"/>
  </r>
  <r>
    <x v="1"/>
    <x v="17"/>
    <s v="Dulces "/>
    <n v="2"/>
    <n v="1000"/>
    <n v="2000"/>
    <m/>
    <m/>
  </r>
  <r>
    <x v="1"/>
    <x v="13"/>
    <s v="Set post it 5 colores "/>
    <n v="2"/>
    <n v="3000"/>
    <n v="6000"/>
    <m/>
    <m/>
  </r>
  <r>
    <x v="1"/>
    <x v="25"/>
    <s v="Alargador múltiple "/>
    <n v="1"/>
    <n v="0"/>
    <n v="0"/>
    <m/>
    <m/>
  </r>
  <r>
    <x v="1"/>
    <x v="26"/>
    <s v="Bandera de rama "/>
    <n v="1"/>
    <n v="0"/>
    <n v="0"/>
    <m/>
    <m/>
  </r>
  <r>
    <x v="1"/>
    <x v="5"/>
    <s v="Tijeras "/>
    <n v="4"/>
    <n v="0"/>
    <n v="0"/>
    <m/>
    <m/>
  </r>
  <r>
    <x v="1"/>
    <x v="6"/>
    <s v="Pegamento en barra "/>
    <n v="4"/>
    <n v="1000"/>
    <n v="4000"/>
    <m/>
    <m/>
  </r>
  <r>
    <x v="1"/>
    <x v="27"/>
    <s v="Cartulina cyan "/>
    <n v="4"/>
    <n v="1000"/>
    <n v="4000"/>
    <n v="4"/>
    <m/>
  </r>
  <r>
    <x v="1"/>
    <x v="28"/>
    <s v="Cartulina diversos colores "/>
    <n v="12"/>
    <n v="1000"/>
    <n v="12000"/>
    <n v="12"/>
    <m/>
  </r>
  <r>
    <x v="1"/>
    <x v="10"/>
    <s v="plumones de pizarra negros"/>
    <n v="2"/>
    <n v="1000"/>
    <n v="2000"/>
    <n v="2"/>
    <m/>
  </r>
  <r>
    <x v="1"/>
    <x v="11"/>
    <s v="plumones de pizarra rojos"/>
    <n v="2"/>
    <n v="1000"/>
    <n v="2000"/>
    <n v="2"/>
    <m/>
  </r>
  <r>
    <x v="1"/>
    <x v="4"/>
    <s v="plumones de Permanente azules"/>
    <n v="4"/>
    <n v="1900"/>
    <n v="7600"/>
    <m/>
    <m/>
  </r>
  <r>
    <x v="1"/>
    <x v="3"/>
    <s v="plumones de permanente verde"/>
    <n v="4"/>
    <n v="1900"/>
    <n v="7600"/>
    <m/>
    <m/>
  </r>
  <r>
    <x v="1"/>
    <x v="29"/>
    <s v="plumones de permanente rojos"/>
    <n v="4"/>
    <n v="1900"/>
    <n v="7600"/>
    <m/>
    <m/>
  </r>
  <r>
    <x v="1"/>
    <x v="30"/>
    <s v="Borrador de pizarra "/>
    <n v="1"/>
    <n v="0"/>
    <n v="0"/>
    <m/>
    <m/>
  </r>
  <r>
    <x v="1"/>
    <x v="31"/>
    <s v="Perforadora "/>
    <n v="1"/>
    <n v="0"/>
    <n v="0"/>
    <m/>
    <m/>
  </r>
  <r>
    <x v="1"/>
    <x v="7"/>
    <s v="Corchetera "/>
    <n v="1"/>
    <n v="0"/>
    <n v="0"/>
    <m/>
    <m/>
  </r>
  <r>
    <x v="1"/>
    <x v="1"/>
    <s v="Pegote "/>
    <n v="4"/>
    <n v="3000"/>
    <n v="12000"/>
    <m/>
    <m/>
  </r>
  <r>
    <x v="1"/>
    <x v="32"/>
    <s v="Parlante pequeño "/>
    <n v="1"/>
    <n v="0"/>
    <n v="0"/>
    <m/>
    <m/>
  </r>
  <r>
    <x v="1"/>
    <x v="8"/>
    <s v="Hojas blancas "/>
    <n v="100"/>
    <n v="8"/>
    <n v="800"/>
    <m/>
    <m/>
  </r>
  <r>
    <x v="1"/>
    <x v="12"/>
    <s v="Lápiz pasta "/>
    <n v="24"/>
    <n v="90"/>
    <n v="2160"/>
    <m/>
    <m/>
  </r>
  <r>
    <x v="1"/>
    <x v="33"/>
    <s v="Rollos Lana (cualquier color) "/>
    <n v="3"/>
    <n v="2000"/>
    <n v="6000"/>
    <m/>
    <m/>
  </r>
  <r>
    <x v="1"/>
    <x v="0"/>
    <s v="Papel Craft "/>
    <n v="6"/>
    <n v="300"/>
    <n v="1800"/>
    <n v="6"/>
    <m/>
  </r>
  <r>
    <x v="1"/>
    <x v="34"/>
    <s v="Cajas de fósforo "/>
    <n v="6"/>
    <n v="200"/>
    <n v="1200"/>
    <m/>
    <m/>
  </r>
  <r>
    <x v="1"/>
    <x v="35"/>
    <s v="Pop Corn, marca Marco Polo, de 250 g "/>
    <n v="5"/>
    <n v="1500"/>
    <n v="7500"/>
    <m/>
    <s v="Consultar 5 grandes (250 gr.)"/>
  </r>
  <r>
    <x v="1"/>
    <x v="36"/>
    <s v="Láminas de termolaminar de 170 micrones "/>
    <n v="20"/>
    <n v="170"/>
    <n v="3400"/>
    <m/>
    <m/>
  </r>
  <r>
    <x v="2"/>
    <x v="0"/>
    <s v="Papel Kraft"/>
    <n v="35"/>
    <n v="300"/>
    <n v="10500"/>
    <n v="13"/>
    <m/>
  </r>
  <r>
    <x v="2"/>
    <x v="1"/>
    <s v="Pegotes"/>
    <n v="4"/>
    <n v="3000"/>
    <n v="12000"/>
    <m/>
    <m/>
  </r>
  <r>
    <x v="2"/>
    <x v="4"/>
    <s v="plumones de Permanente azules"/>
    <n v="4"/>
    <n v="1900"/>
    <n v="7600"/>
    <m/>
    <m/>
  </r>
  <r>
    <x v="2"/>
    <x v="3"/>
    <s v="plumones de permanente verde"/>
    <n v="4"/>
    <n v="1900"/>
    <n v="7600"/>
    <m/>
    <m/>
  </r>
  <r>
    <x v="2"/>
    <x v="29"/>
    <s v="plumones de permanente rojos"/>
    <n v="4"/>
    <n v="1900"/>
    <n v="7600"/>
    <m/>
    <m/>
  </r>
  <r>
    <x v="2"/>
    <x v="10"/>
    <s v="plumones de pizarra negros"/>
    <n v="4"/>
    <n v="1000"/>
    <n v="4000"/>
    <n v="4"/>
    <m/>
  </r>
  <r>
    <x v="2"/>
    <x v="11"/>
    <s v="plumones de pizarra rojos"/>
    <n v="4"/>
    <n v="1000"/>
    <n v="4000"/>
    <m/>
    <m/>
  </r>
  <r>
    <x v="2"/>
    <x v="37"/>
    <s v="Block de dibujo grande"/>
    <n v="2"/>
    <n v="7000"/>
    <n v="14000"/>
    <m/>
    <m/>
  </r>
  <r>
    <x v="2"/>
    <x v="38"/>
    <s v="Tempera  sòlida de 6 colores"/>
    <n v="2"/>
    <n v="5000"/>
    <n v="10000"/>
    <m/>
    <m/>
  </r>
  <r>
    <x v="2"/>
    <x v="17"/>
    <s v="Bolsas de dulces de diferentes tipos ( fruna)"/>
    <n v="3"/>
    <n v="1000"/>
    <n v="3000"/>
    <m/>
    <m/>
  </r>
  <r>
    <x v="2"/>
    <x v="39"/>
    <s v="Sobres de cartulinas de colores"/>
    <n v="6"/>
    <n v="1000"/>
    <n v="6000"/>
    <m/>
    <m/>
  </r>
  <r>
    <x v="2"/>
    <x v="40"/>
    <s v="pliego cartulina amarilla"/>
    <n v="1"/>
    <n v="1000"/>
    <n v="1000"/>
    <n v="1"/>
    <m/>
  </r>
  <r>
    <x v="2"/>
    <x v="36"/>
    <s v="Hojas termolaminado"/>
    <n v="6"/>
    <n v="170"/>
    <n v="1020"/>
    <m/>
    <m/>
  </r>
  <r>
    <x v="2"/>
    <x v="41"/>
    <s v="Pelotas de Tenis"/>
    <n v="7"/>
    <n v="0"/>
    <n v="0"/>
    <m/>
    <m/>
  </r>
  <r>
    <x v="2"/>
    <x v="5"/>
    <s v="tijeras"/>
    <n v="3"/>
    <n v="0"/>
    <n v="0"/>
    <m/>
    <m/>
  </r>
  <r>
    <x v="2"/>
    <x v="33"/>
    <s v="Ovillos de Lana"/>
    <n v="2"/>
    <n v="2000"/>
    <n v="4000"/>
    <m/>
    <m/>
  </r>
  <r>
    <x v="2"/>
    <x v="42"/>
    <s v="Cartonero"/>
    <n v="1"/>
    <n v="0"/>
    <n v="0"/>
    <m/>
    <m/>
  </r>
  <r>
    <x v="2"/>
    <x v="43"/>
    <s v="tonner canon lbp6000 alternativo negro"/>
    <n v="1"/>
    <n v="20000"/>
    <n v="20000"/>
    <m/>
    <m/>
  </r>
  <r>
    <x v="2"/>
    <x v="8"/>
    <s v="resma de papel carta"/>
    <n v="500"/>
    <n v="8"/>
    <n v="4000"/>
    <m/>
    <m/>
  </r>
  <r>
    <x v="2"/>
    <x v="13"/>
    <s v="pack post - it"/>
    <n v="4"/>
    <n v="3000"/>
    <n v="12000"/>
    <m/>
    <m/>
  </r>
  <r>
    <x v="2"/>
    <x v="44"/>
    <s v="bandera rama"/>
    <n v="1"/>
    <n v="0"/>
    <n v="0"/>
    <m/>
    <m/>
  </r>
  <r>
    <x v="3"/>
    <x v="0"/>
    <s v="Papel Kraft"/>
    <n v="30"/>
    <n v="300"/>
    <n v="9000"/>
    <n v="13"/>
    <m/>
  </r>
  <r>
    <x v="3"/>
    <x v="13"/>
    <s v="Set de Post-it"/>
    <n v="3"/>
    <n v="3000"/>
    <n v="9000"/>
    <m/>
    <m/>
  </r>
  <r>
    <x v="3"/>
    <x v="0"/>
    <s v="Papel Kraft"/>
    <n v="8"/>
    <n v="300"/>
    <n v="2400"/>
    <n v="8"/>
    <m/>
  </r>
  <r>
    <x v="3"/>
    <x v="4"/>
    <s v="plumones de Permanente azules"/>
    <n v="2"/>
    <n v="1900"/>
    <n v="3800"/>
    <m/>
    <m/>
  </r>
  <r>
    <x v="3"/>
    <x v="3"/>
    <s v="plumones de permanente verde"/>
    <n v="2"/>
    <n v="1900"/>
    <n v="3800"/>
    <m/>
    <m/>
  </r>
  <r>
    <x v="3"/>
    <x v="29"/>
    <s v="plumones de permanente rojos"/>
    <n v="2"/>
    <n v="1900"/>
    <n v="3800"/>
    <m/>
    <m/>
  </r>
  <r>
    <x v="3"/>
    <x v="17"/>
    <s v="Bolsa de pastillas"/>
    <n v="3"/>
    <n v="1000"/>
    <n v="3000"/>
    <m/>
    <m/>
  </r>
  <r>
    <x v="3"/>
    <x v="1"/>
    <s v="Pegote o Masking tape"/>
    <n v="4"/>
    <n v="3000"/>
    <n v="12000"/>
    <m/>
    <m/>
  </r>
  <r>
    <x v="3"/>
    <x v="12"/>
    <s v="Lapiz pasta"/>
    <n v="15"/>
    <n v="90"/>
    <n v="1350"/>
    <m/>
    <m/>
  </r>
  <r>
    <x v="3"/>
    <x v="10"/>
    <s v="plumones de pizarra negros"/>
    <n v="1"/>
    <n v="1000"/>
    <n v="1000"/>
    <n v="1"/>
    <m/>
  </r>
  <r>
    <x v="3"/>
    <x v="11"/>
    <s v="plumones de pizarra rojos"/>
    <n v="1"/>
    <n v="1000"/>
    <n v="1000"/>
    <n v="1"/>
    <m/>
  </r>
  <r>
    <x v="3"/>
    <x v="9"/>
    <s v="plumones de pizarra azules"/>
    <n v="1"/>
    <n v="1000"/>
    <n v="1000"/>
    <n v="1"/>
    <m/>
  </r>
  <r>
    <x v="3"/>
    <x v="45"/>
    <s v="Cuerdas 1 a 2 metros"/>
    <n v="2"/>
    <n v="1000"/>
    <n v="2000"/>
    <m/>
    <m/>
  </r>
  <r>
    <x v="3"/>
    <x v="39"/>
    <s v="sobre de cartulina"/>
    <n v="4"/>
    <n v="1000"/>
    <n v="4000"/>
    <m/>
    <m/>
  </r>
  <r>
    <x v="3"/>
    <x v="41"/>
    <s v="Pelotas de tenis"/>
    <n v="3"/>
    <n v="0"/>
    <n v="0"/>
    <m/>
    <m/>
  </r>
  <r>
    <x v="3"/>
    <x v="5"/>
    <s v="Tijeras"/>
    <n v="4"/>
    <n v="0"/>
    <n v="0"/>
    <m/>
    <m/>
  </r>
  <r>
    <x v="3"/>
    <x v="33"/>
    <s v="Lana"/>
    <n v="3"/>
    <n v="2000"/>
    <n v="6000"/>
    <m/>
    <m/>
  </r>
  <r>
    <x v="3"/>
    <x v="8"/>
    <s v="Hojas Blancas"/>
    <n v="50"/>
    <n v="8"/>
    <n v="400"/>
    <m/>
    <m/>
  </r>
  <r>
    <x v="3"/>
    <x v="46"/>
    <s v="clips"/>
    <n v="40"/>
    <n v="500"/>
    <n v="20000"/>
    <m/>
    <m/>
  </r>
  <r>
    <x v="3"/>
    <x v="47"/>
    <s v="Mini imanes"/>
    <n v="4"/>
    <n v="1000"/>
    <n v="4000"/>
    <m/>
    <m/>
  </r>
  <r>
    <x v="3"/>
    <x v="48"/>
    <s v="Piola (cuerda)"/>
    <n v="4"/>
    <n v="2500"/>
    <n v="10000"/>
    <m/>
    <m/>
  </r>
  <r>
    <x v="3"/>
    <x v="49"/>
    <s v="Bandera rama"/>
    <n v="1"/>
    <n v="0"/>
    <n v="0"/>
    <m/>
    <m/>
  </r>
  <r>
    <x v="4"/>
    <x v="0"/>
    <s v="Papelógrafos"/>
    <n v="19"/>
    <n v="300"/>
    <n v="5700"/>
    <n v="19"/>
    <m/>
  </r>
  <r>
    <x v="4"/>
    <x v="1"/>
    <s v="Pegotes / maskingtape /o como le llamen en conce"/>
    <n v="3"/>
    <n v="3000"/>
    <n v="9000"/>
    <m/>
    <m/>
  </r>
  <r>
    <x v="4"/>
    <x v="2"/>
    <s v="plumones negros"/>
    <n v="3"/>
    <n v="1900"/>
    <n v="5700"/>
    <m/>
    <m/>
  </r>
  <r>
    <x v="4"/>
    <x v="3"/>
    <s v="plumones verdes"/>
    <n v="3"/>
    <n v="1900"/>
    <n v="5700"/>
    <m/>
    <m/>
  </r>
  <r>
    <x v="4"/>
    <x v="4"/>
    <s v="plumones azules"/>
    <n v="3"/>
    <n v="1900"/>
    <n v="5700"/>
    <m/>
    <m/>
  </r>
  <r>
    <x v="4"/>
    <x v="5"/>
    <s v="Tijeras"/>
    <n v="3"/>
    <n v="0"/>
    <n v="0"/>
    <m/>
    <m/>
  </r>
  <r>
    <x v="4"/>
    <x v="7"/>
    <s v="corchetera/corchetes"/>
    <n v="1"/>
    <n v="0"/>
    <n v="0"/>
    <m/>
    <m/>
  </r>
  <r>
    <x v="4"/>
    <x v="8"/>
    <s v="hojas blancas"/>
    <n v="100"/>
    <n v="8"/>
    <n v="800"/>
    <m/>
    <m/>
  </r>
  <r>
    <x v="4"/>
    <x v="9"/>
    <s v="plumones de pizarra azules"/>
    <n v="2"/>
    <n v="1000"/>
    <n v="2000"/>
    <n v="2"/>
    <m/>
  </r>
  <r>
    <x v="4"/>
    <x v="10"/>
    <s v="plumones de pizarra negros"/>
    <n v="2"/>
    <n v="1000"/>
    <n v="2000"/>
    <n v="2"/>
    <m/>
  </r>
  <r>
    <x v="4"/>
    <x v="11"/>
    <s v="plumones de pizarra rojos"/>
    <n v="2"/>
    <n v="1000"/>
    <n v="2000"/>
    <n v="2"/>
    <m/>
  </r>
  <r>
    <x v="4"/>
    <x v="12"/>
    <s v="lápiz pasta"/>
    <n v="25"/>
    <n v="90"/>
    <n v="2250"/>
    <m/>
    <m/>
  </r>
  <r>
    <x v="4"/>
    <x v="13"/>
    <s v="Set notas adhesivas de 4 colores (post it u otra marca)"/>
    <n v="2"/>
    <n v="3000"/>
    <n v="6000"/>
    <m/>
    <m/>
  </r>
  <r>
    <x v="4"/>
    <x v="39"/>
    <s v="sobres de cartulinas"/>
    <n v="4"/>
    <n v="1000"/>
    <n v="4000"/>
    <m/>
    <m/>
  </r>
  <r>
    <x v="4"/>
    <x v="50"/>
    <s v="Globos"/>
    <n v="30"/>
    <n v="2000"/>
    <n v="60000"/>
    <m/>
    <m/>
  </r>
  <r>
    <x v="4"/>
    <x v="16"/>
    <s v="set de plumones para pintar"/>
    <n v="3"/>
    <n v="3000"/>
    <n v="9000"/>
    <m/>
    <m/>
  </r>
  <r>
    <x v="4"/>
    <x v="17"/>
    <s v="Dulces "/>
    <n v="3"/>
    <n v="1000"/>
    <n v="3000"/>
    <m/>
    <m/>
  </r>
  <r>
    <x v="4"/>
    <x v="51"/>
    <s v="Bandera de Rama"/>
    <n v="1"/>
    <n v="0"/>
    <n v="0"/>
    <m/>
    <m/>
  </r>
  <r>
    <x v="4"/>
    <x v="22"/>
    <s v="Piola (bandera)"/>
    <n v="1"/>
    <n v="0"/>
    <n v="0"/>
    <m/>
    <m/>
  </r>
  <r>
    <x v="5"/>
    <x v="8"/>
    <s v="Hojas Carta"/>
    <n v="3000"/>
    <n v="8"/>
    <n v="24000"/>
    <m/>
    <m/>
  </r>
  <r>
    <x v="5"/>
    <x v="52"/>
    <s v="1 de cada una"/>
    <n v="4"/>
    <n v="7000"/>
    <n v="28000"/>
    <m/>
    <m/>
  </r>
  <r>
    <x v="6"/>
    <x v="8"/>
    <s v="Hojas blancas"/>
    <n v="100"/>
    <n v="8"/>
    <n v="800"/>
    <m/>
    <m/>
  </r>
  <r>
    <x v="6"/>
    <x v="0"/>
    <s v="Papel Kraft"/>
    <n v="36"/>
    <n v="300"/>
    <n v="10800"/>
    <n v="13"/>
    <m/>
  </r>
  <r>
    <x v="6"/>
    <x v="50"/>
    <s v="Globos"/>
    <n v="35"/>
    <n v="120"/>
    <n v="4200"/>
    <m/>
    <m/>
  </r>
  <r>
    <x v="6"/>
    <x v="53"/>
    <s v="Vasos plásticos"/>
    <n v="32"/>
    <n v="150"/>
    <n v="4800"/>
    <m/>
    <m/>
  </r>
  <r>
    <x v="6"/>
    <x v="12"/>
    <s v="Lápices"/>
    <n v="20"/>
    <n v="90"/>
    <n v="1800"/>
    <m/>
    <m/>
  </r>
  <r>
    <x v="6"/>
    <x v="2"/>
    <s v="plumones negros"/>
    <n v="4"/>
    <n v="1000"/>
    <n v="4000"/>
    <m/>
    <m/>
  </r>
  <r>
    <x v="6"/>
    <x v="3"/>
    <s v="plumones verdes"/>
    <n v="4"/>
    <n v="1000"/>
    <n v="4000"/>
    <m/>
    <m/>
  </r>
  <r>
    <x v="6"/>
    <x v="4"/>
    <s v="plumones azules"/>
    <n v="4"/>
    <n v="1000"/>
    <n v="4000"/>
    <m/>
    <m/>
  </r>
  <r>
    <x v="6"/>
    <x v="54"/>
    <s v="Elásticos"/>
    <n v="4"/>
    <n v="1500"/>
    <n v="6000"/>
    <m/>
    <m/>
  </r>
  <r>
    <x v="6"/>
    <x v="1"/>
    <s v="Masking tape"/>
    <n v="4"/>
    <n v="3000"/>
    <n v="12000"/>
    <m/>
    <m/>
  </r>
  <r>
    <x v="6"/>
    <x v="13"/>
    <s v="Post it"/>
    <n v="4"/>
    <n v="3000"/>
    <n v="12000"/>
    <m/>
    <m/>
  </r>
  <r>
    <x v="6"/>
    <x v="55"/>
    <s v="Cinta adhesiva"/>
    <n v="4"/>
    <n v="1500"/>
    <n v="6000"/>
    <m/>
    <m/>
  </r>
  <r>
    <x v="6"/>
    <x v="17"/>
    <s v="Dulces"/>
    <n v="3"/>
    <n v="1000"/>
    <n v="3000"/>
    <m/>
    <m/>
  </r>
  <r>
    <x v="6"/>
    <x v="56"/>
    <s v="Cuerda algodón 15 m"/>
    <n v="1"/>
    <n v="5000"/>
    <n v="500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7D4EEA-4547-48F1-B8D6-6CEE36D7E56C}" name="TD_TotalVolunt" cacheId="39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Rol" colHeaderCaption="Estado">
  <location ref="L4:N12" firstHeaderRow="1" firstDataRow="2" firstDataCol="1" rowPageCount="1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Row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Col" showAll="0">
      <items count="8">
        <item x="0"/>
        <item m="1" x="5"/>
        <item x="1"/>
        <item m="1" x="3"/>
        <item m="1" x="6"/>
        <item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1">
    <field x="8"/>
  </rowFields>
  <rowItems count="7">
    <i>
      <x/>
    </i>
    <i>
      <x v="1"/>
    </i>
    <i>
      <x v="2"/>
    </i>
    <i>
      <x v="4"/>
    </i>
    <i>
      <x v="5"/>
    </i>
    <i>
      <x v="6"/>
    </i>
    <i t="grand">
      <x/>
    </i>
  </rowItems>
  <colFields count="1">
    <field x="29"/>
  </colFields>
  <colItems count="2">
    <i>
      <x/>
    </i>
    <i t="grand">
      <x/>
    </i>
  </colItems>
  <pageFields count="1">
    <pageField fld="28" hier="-1"/>
  </pageFields>
  <dataFields count="1">
    <dataField name="N° Part." fld="27" baseField="0" baseItem="0"/>
  </dataFields>
  <formats count="2">
    <format dxfId="202">
      <pivotArea field="10" type="button" dataOnly="0" labelOnly="1" outline="0"/>
    </format>
    <format dxfId="201">
      <pivotArea dataOnly="0" labelOnly="1" outline="0" axis="axisValues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9CE7D9-E6F9-4860-B79C-222ED4721621}" name="TD_TotalFormadores" cacheId="39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Rama" colHeaderCaption="Estado">
  <location ref="L16:N32" firstHeaderRow="1" firstDataRow="2" firstDataCol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Row" multipleItemSelectionAllowed="1" showAll="0">
      <items count="8">
        <item h="1" x="3"/>
        <item x="1"/>
        <item h="1" x="0"/>
        <item h="1" m="1" x="6"/>
        <item h="1" x="4"/>
        <item h="1" x="5"/>
        <item x="2"/>
        <item t="default"/>
      </items>
    </pivotField>
    <pivotField showAll="0"/>
    <pivotField axis="axisRow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ame="Estado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13">
        <item m="1" x="4"/>
        <item n="Director" m="1" x="3"/>
        <item n="Formador" m="1" x="2"/>
        <item m="1" x="1"/>
        <item x="0"/>
        <item m="1" x="5"/>
        <item m="1" x="6"/>
        <item m="1" x="7"/>
        <item m="1" x="8"/>
        <item m="1" x="9"/>
        <item m="1" x="10"/>
        <item m="1"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2">
    <field x="10"/>
    <field x="8"/>
  </rowFields>
  <rowItems count="15">
    <i>
      <x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 v="1"/>
    </i>
    <i r="1">
      <x v="6"/>
    </i>
    <i>
      <x v="6"/>
    </i>
    <i r="1">
      <x v="1"/>
    </i>
    <i r="1">
      <x v="6"/>
    </i>
    <i t="grand">
      <x/>
    </i>
  </rowItems>
  <colFields count="1">
    <field x="40"/>
  </colFields>
  <colItems count="2">
    <i>
      <x v="4"/>
    </i>
    <i t="grand">
      <x/>
    </i>
  </colItems>
  <dataFields count="1">
    <dataField name="N° Formadores" fld="27" baseField="0" baseItem="0"/>
  </dataFields>
  <formats count="8">
    <format dxfId="210">
      <pivotArea field="10" type="button" dataOnly="0" labelOnly="1" outline="0" axis="axisRow" fieldPosition="0"/>
    </format>
    <format dxfId="209">
      <pivotArea dataOnly="0" labelOnly="1" outline="0" axis="axisValues" fieldPosition="0"/>
    </format>
    <format dxfId="208">
      <pivotArea type="origin" dataOnly="0" labelOnly="1" outline="0" fieldPosition="0"/>
    </format>
    <format dxfId="207">
      <pivotArea field="40" type="button" dataOnly="0" labelOnly="1" outline="0" axis="axisCol" fieldPosition="0"/>
    </format>
    <format dxfId="206">
      <pivotArea type="topRight" dataOnly="0" labelOnly="1" outline="0" fieldPosition="0"/>
    </format>
    <format dxfId="205">
      <pivotArea field="10" type="button" dataOnly="0" labelOnly="1" outline="0" axis="axisRow" fieldPosition="0"/>
    </format>
    <format dxfId="204">
      <pivotArea dataOnly="0" labelOnly="1" fieldPosition="0">
        <references count="1">
          <reference field="40" count="2">
            <x v="1"/>
            <x v="2"/>
          </reference>
        </references>
      </pivotArea>
    </format>
    <format dxfId="203">
      <pivotArea dataOnly="0" labelOnly="1" grandCol="1" outline="0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C51E21-0953-4B9F-87A7-0B9546C94702}" name="TD_Acreditados" cacheId="39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Rol" colHeaderCaption="Estado">
  <location ref="L50:N58" firstHeaderRow="1" firstDataRow="2" firstDataCol="1" rowPageCount="3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Row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Col" multipleItemSelectionAllowed="1" showAll="0">
      <items count="12">
        <item m="1" x="5"/>
        <item m="1" x="10"/>
        <item m="1" x="8"/>
        <item x="0"/>
        <item m="1" x="7"/>
        <item x="1"/>
        <item m="1" x="4"/>
        <item m="1" x="6"/>
        <item m="1" x="3"/>
        <item m="1" x="9"/>
        <item m="1" x="2"/>
        <item t="default"/>
      </items>
    </pivotField>
    <pivotField name="Estado" axis="axisPage" multipleItemSelectionAllowed="1" showAll="0">
      <items count="8">
        <item m="1" x="3"/>
        <item h="1" x="1"/>
        <item x="0"/>
        <item m="1" x="5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ame="Registrado " axis="axisPage" multipleItemSelectionAllowed="1" showAll="0">
      <items count="7">
        <item x="2"/>
        <item m="1" x="4"/>
        <item x="0"/>
        <item m="1" x="5"/>
        <item m="1" x="3"/>
        <item h="1" x="1"/>
        <item t="default"/>
      </items>
    </pivotField>
    <pivotField name="Acreditado "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1">
    <field x="8"/>
  </rowFields>
  <rowItems count="7">
    <i>
      <x/>
    </i>
    <i>
      <x v="1"/>
    </i>
    <i>
      <x v="2"/>
    </i>
    <i>
      <x v="4"/>
    </i>
    <i>
      <x v="5"/>
    </i>
    <i>
      <x v="6"/>
    </i>
    <i t="grand">
      <x/>
    </i>
  </rowItems>
  <colFields count="1">
    <field x="28"/>
  </colFields>
  <colItems count="2">
    <i>
      <x v="3"/>
    </i>
    <i t="grand">
      <x/>
    </i>
  </colItems>
  <pageFields count="3">
    <pageField fld="38" item="2" hier="-1"/>
    <pageField fld="37" hier="-1"/>
    <pageField fld="29" hier="-1"/>
  </pageFields>
  <dataFields count="1">
    <dataField name="N° Part." fld="27" baseField="0" baseItem="0"/>
  </dataFields>
  <formats count="2">
    <format dxfId="212">
      <pivotArea field="10" type="button" dataOnly="0" labelOnly="1" outline="0"/>
    </format>
    <format dxfId="211">
      <pivotArea dataOnly="0" labelOnly="1" outline="0" axis="axisValues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7791C-19DC-4E8D-A1E0-765880806AD6}" name="TD_Part_Distrito" cacheId="3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H51:I61" firstHeaderRow="1" firstDataRow="1" firstDataCol="1" rowPageCount="2" colPageCount="1"/>
  <pivotFields count="52"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8">
        <item x="5"/>
        <item x="4"/>
        <item x="3"/>
        <item x="1"/>
        <item x="0"/>
        <item m="1" x="6"/>
        <item x="2"/>
        <item t="default"/>
      </items>
    </pivotField>
    <pivotField showAll="0"/>
    <pivotField showAll="0"/>
    <pivotField axis="axisRow" showAll="0">
      <items count="25">
        <item x="1"/>
        <item x="2"/>
        <item x="10"/>
        <item x="9"/>
        <item m="1" x="16"/>
        <item m="1" x="21"/>
        <item x="12"/>
        <item m="1" x="23"/>
        <item m="1" x="14"/>
        <item m="1" x="20"/>
        <item x="0"/>
        <item m="1" x="19"/>
        <item m="1" x="17"/>
        <item m="1" x="15"/>
        <item x="4"/>
        <item m="1" x="13"/>
        <item m="1" x="22"/>
        <item x="8"/>
        <item m="1" x="18"/>
        <item x="6"/>
        <item x="7"/>
        <item x="3"/>
        <item x="1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Page" showAll="0">
      <items count="8">
        <item m="1" x="3"/>
        <item x="1"/>
        <item x="0"/>
        <item m="1" x="6"/>
        <item m="1" x="5"/>
        <item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1">
    <field x="11"/>
  </rowFields>
  <rowItems count="10">
    <i>
      <x/>
    </i>
    <i>
      <x v="1"/>
    </i>
    <i>
      <x v="10"/>
    </i>
    <i>
      <x v="14"/>
    </i>
    <i>
      <x v="17"/>
    </i>
    <i>
      <x v="20"/>
    </i>
    <i>
      <x v="21"/>
    </i>
    <i>
      <x v="22"/>
    </i>
    <i>
      <x v="23"/>
    </i>
    <i t="grand">
      <x/>
    </i>
  </rowItems>
  <colItems count="1">
    <i/>
  </colItems>
  <pageFields count="2">
    <pageField fld="8" item="4" hier="-1"/>
    <pageField fld="29" item="2" hier="-1"/>
  </pageFields>
  <dataFields count="1">
    <dataField name="N° Parti.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85F05-BD5B-41CE-8E82-1E6A934AC4C3}" name="TD_Dominios_Mails" cacheId="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Dominio Correos">
  <location ref="H37:I43" firstHeaderRow="1" firstDataRow="1" firstDataCol="1" rowPageCount="3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3"/>
        <item m="1" x="7"/>
        <item m="1" x="6"/>
        <item m="1" x="8"/>
        <item m="1" x="5"/>
        <item x="1"/>
        <item x="2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1">
    <field x="41"/>
  </rowFields>
  <rowItems count="6">
    <i>
      <x/>
    </i>
    <i>
      <x v="1"/>
    </i>
    <i>
      <x v="6"/>
    </i>
    <i>
      <x v="7"/>
    </i>
    <i>
      <x v="8"/>
    </i>
    <i t="grand">
      <x/>
    </i>
  </rowItems>
  <colItems count="1">
    <i/>
  </colItems>
  <pageFields count="3">
    <pageField fld="8" hier="-1"/>
    <pageField fld="29" hier="-1"/>
    <pageField fld="28" hier="-1"/>
  </pageFields>
  <dataFields count="1">
    <dataField name="N° Part." fld="27" baseField="0" baseItem="0"/>
  </dataFields>
  <formats count="4">
    <format dxfId="216">
      <pivotArea dataOnly="0" labelOnly="1" outline="0" axis="axisValues" fieldPosition="0"/>
    </format>
    <format dxfId="215">
      <pivotArea field="10" type="button" dataOnly="0" labelOnly="1" outline="0"/>
    </format>
    <format dxfId="2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C3210B-0729-4B3D-B3EB-64A5C6EE29D7}" name="TD_Part_Comuna" cacheId="39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Por Comuna" colHeaderCaption="Estado">
  <location ref="A33:C54" firstHeaderRow="1" firstDataRow="2" firstDataCol="1" rowPageCount="2" colPageCount="1"/>
  <pivotFields count="52">
    <pivotField showAll="0"/>
    <pivotField showAll="0"/>
    <pivotField showAll="0"/>
    <pivotField numFmtId="14" showAll="0"/>
    <pivotField showAll="0"/>
    <pivotField axis="axisRow" showAll="0">
      <items count="53">
        <item x="15"/>
        <item x="2"/>
        <item m="1" x="32"/>
        <item x="11"/>
        <item m="1" x="49"/>
        <item x="19"/>
        <item m="1" x="51"/>
        <item m="1" x="31"/>
        <item x="4"/>
        <item m="1" x="48"/>
        <item m="1" x="28"/>
        <item x="3"/>
        <item m="1" x="35"/>
        <item m="1" x="33"/>
        <item x="1"/>
        <item m="1" x="50"/>
        <item x="0"/>
        <item x="5"/>
        <item m="1" x="45"/>
        <item m="1" x="36"/>
        <item m="1" x="37"/>
        <item x="20"/>
        <item m="1" x="38"/>
        <item x="18"/>
        <item m="1" x="46"/>
        <item m="1" x="40"/>
        <item m="1" x="39"/>
        <item m="1" x="41"/>
        <item m="1" x="42"/>
        <item m="1" x="43"/>
        <item m="1" x="34"/>
        <item x="21"/>
        <item m="1" x="44"/>
        <item m="1" x="47"/>
        <item x="22"/>
        <item x="6"/>
        <item x="7"/>
        <item x="8"/>
        <item x="9"/>
        <item m="1" x="29"/>
        <item x="10"/>
        <item x="12"/>
        <item x="13"/>
        <item m="1" x="30"/>
        <item x="14"/>
        <item x="17"/>
        <item x="16"/>
        <item m="1" x="27"/>
        <item x="23"/>
        <item x="24"/>
        <item m="1" x="26"/>
        <item x="25"/>
        <item t="default"/>
      </items>
    </pivotField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Col" showAll="0">
      <items count="8">
        <item x="0"/>
        <item m="1" x="5"/>
        <item x="1"/>
        <item m="1" x="3"/>
        <item m="1" x="6"/>
        <item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1">
    <field x="5"/>
  </rowFields>
  <rowItems count="20">
    <i>
      <x v="1"/>
    </i>
    <i>
      <x v="3"/>
    </i>
    <i>
      <x v="8"/>
    </i>
    <i>
      <x v="11"/>
    </i>
    <i>
      <x v="14"/>
    </i>
    <i>
      <x v="16"/>
    </i>
    <i>
      <x v="17"/>
    </i>
    <i>
      <x v="21"/>
    </i>
    <i>
      <x v="23"/>
    </i>
    <i>
      <x v="31"/>
    </i>
    <i>
      <x v="35"/>
    </i>
    <i>
      <x v="37"/>
    </i>
    <i>
      <x v="38"/>
    </i>
    <i>
      <x v="40"/>
    </i>
    <i>
      <x v="41"/>
    </i>
    <i>
      <x v="42"/>
    </i>
    <i>
      <x v="44"/>
    </i>
    <i>
      <x v="46"/>
    </i>
    <i>
      <x v="51"/>
    </i>
    <i t="grand">
      <x/>
    </i>
  </rowItems>
  <colFields count="1">
    <field x="29"/>
  </colFields>
  <colItems count="2">
    <i>
      <x/>
    </i>
    <i t="grand">
      <x/>
    </i>
  </colItems>
  <pageFields count="2">
    <pageField fld="8" item="2" hier="-1"/>
    <pageField fld="28" hier="-1"/>
  </pageFields>
  <dataFields count="1">
    <dataField name="N° Volunt." fld="27" baseField="5" baseItem="11" numFmtId="3"/>
  </dataFields>
  <formats count="3">
    <format dxfId="219">
      <pivotArea field="10" type="button" dataOnly="0" labelOnly="1" outline="0"/>
    </format>
    <format dxfId="218">
      <pivotArea dataOnly="0" labelOnly="1" outline="0" axis="axisValues" fieldPosition="0"/>
    </format>
    <format dxfId="217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C3B0D9-FCE4-4EBE-AED5-F78C4D41E928}" name="TD_Part_Inscritos" cacheId="396" applyNumberFormats="0" applyBorderFormats="0" applyFontFormats="0" applyPatternFormats="0" applyAlignmentFormats="0" applyWidthHeightFormats="1" dataCaption="Valores" grandTotalCaption="Total" updatedVersion="8" minRefreshableVersion="3" itemPrintTitles="1" createdVersion="8" indent="0" outline="1" outlineData="1" multipleFieldFilters="0" rowHeaderCaption="Rama Curso" colHeaderCaption="Estado">
  <location ref="A5:D24" firstHeaderRow="1" firstDataRow="2" firstDataCol="1" rowPageCount="2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axis="axisRow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2">
        <item m="1" x="10"/>
        <item x="0"/>
        <item m="1" x="5"/>
        <item m="1" x="3"/>
        <item m="1" x="8"/>
        <item m="1" x="6"/>
        <item m="1" x="4"/>
        <item m="1" x="7"/>
        <item x="1"/>
        <item m="1" x="9"/>
        <item m="1" x="2"/>
        <item t="default"/>
      </items>
    </pivotField>
    <pivotField name="Estado" axis="axisCol" multipleItemSelectionAllowed="1" showAll="0">
      <items count="8">
        <item x="0"/>
        <item m="1" x="5"/>
        <item x="1"/>
        <item m="1" x="3"/>
        <item m="1" x="6"/>
        <item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name="Cuotas Pagadas" axis="axisPage" multipleItemSelectionAllowed="1" showAll="0">
      <items count="17">
        <item x="4"/>
        <item x="1"/>
        <item x="5"/>
        <item m="1" x="10"/>
        <item x="2"/>
        <item m="1" x="9"/>
        <item x="0"/>
        <item m="1" x="7"/>
        <item m="1" x="11"/>
        <item m="1" x="15"/>
        <item x="3"/>
        <item m="1" x="14"/>
        <item m="1" x="12"/>
        <item m="1" x="13"/>
        <item x="6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2">
    <field x="10"/>
    <field x="28"/>
  </rowFields>
  <rowItems count="18">
    <i>
      <x/>
    </i>
    <i r="1">
      <x v="1"/>
    </i>
    <i>
      <x v="2"/>
    </i>
    <i r="1">
      <x v="1"/>
    </i>
    <i r="1">
      <x v="8"/>
    </i>
    <i>
      <x v="3"/>
    </i>
    <i r="1">
      <x v="1"/>
    </i>
    <i r="1">
      <x v="8"/>
    </i>
    <i>
      <x v="4"/>
    </i>
    <i r="1">
      <x v="1"/>
    </i>
    <i r="1">
      <x v="8"/>
    </i>
    <i>
      <x v="5"/>
    </i>
    <i r="1">
      <x v="1"/>
    </i>
    <i r="1">
      <x v="8"/>
    </i>
    <i>
      <x v="6"/>
    </i>
    <i r="1">
      <x v="1"/>
    </i>
    <i r="1">
      <x v="8"/>
    </i>
    <i t="grand">
      <x/>
    </i>
  </rowItems>
  <colFields count="1">
    <field x="29"/>
  </colFields>
  <colItems count="3">
    <i>
      <x/>
    </i>
    <i>
      <x v="2"/>
    </i>
    <i t="grand">
      <x/>
    </i>
  </colItems>
  <pageFields count="2">
    <pageField fld="8" item="2" hier="-1"/>
    <pageField fld="36" hier="-1"/>
  </pageFields>
  <dataFields count="1">
    <dataField name="N° Part." fld="27" baseField="0" baseItem="0"/>
  </dataFields>
  <formats count="2">
    <format dxfId="221">
      <pivotArea field="10" type="button" dataOnly="0" labelOnly="1" outline="0" axis="axisRow" fieldPosition="0"/>
    </format>
    <format dxfId="22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29F463-BBD7-4ABF-BD10-CC4E700A11A0}" name="TD_Registro" cacheId="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ol">
  <location ref="H5:J13" firstHeaderRow="1" firstDataRow="1" firstDataCol="2" rowPageCount="2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Row" outline="0" showAll="0" defaultSubtotal="0">
      <items count="7">
        <item x="3"/>
        <item x="1"/>
        <item x="0"/>
        <item m="1" x="6"/>
        <item x="4"/>
        <item x="5"/>
        <item x="2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h="1"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ame="Registro" axis="axisRow" showAll="0">
      <items count="7">
        <item m="1" x="4"/>
        <item x="2"/>
        <item x="0"/>
        <item m="1" x="5"/>
        <item m="1"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2">
    <field x="8"/>
    <field x="37"/>
  </rowFields>
  <rowItems count="8">
    <i>
      <x/>
      <x v="2"/>
    </i>
    <i>
      <x v="1"/>
      <x v="2"/>
    </i>
    <i>
      <x v="2"/>
      <x v="1"/>
    </i>
    <i r="1">
      <x v="2"/>
    </i>
    <i>
      <x v="4"/>
      <x v="2"/>
    </i>
    <i>
      <x v="5"/>
      <x v="2"/>
    </i>
    <i>
      <x v="6"/>
      <x v="2"/>
    </i>
    <i t="grand">
      <x/>
    </i>
  </rowItems>
  <colItems count="1">
    <i/>
  </colItems>
  <pageFields count="2">
    <pageField fld="29" hier="-1"/>
    <pageField fld="28" hier="-1"/>
  </pageFields>
  <dataFields count="1">
    <dataField name="N° Volunt." fld="27" baseField="0" baseItem="0"/>
  </dataFields>
  <formats count="19">
    <format dxfId="240">
      <pivotArea field="10" type="button" dataOnly="0" labelOnly="1" outline="0"/>
    </format>
    <format dxfId="239">
      <pivotArea dataOnly="0" labelOnly="1" outline="0" axis="axisValues" fieldPosition="0"/>
    </format>
    <format dxfId="238">
      <pivotArea field="37" type="button" dataOnly="0" labelOnly="1" outline="0" axis="axisRow" fieldPosition="1"/>
    </format>
    <format dxfId="237">
      <pivotArea dataOnly="0" labelOnly="1" grandRow="1" outline="0" fieldPosition="0"/>
    </format>
    <format dxfId="236">
      <pivotArea dataOnly="0" labelOnly="1" fieldPosition="0">
        <references count="2">
          <reference field="8" count="1" selected="0">
            <x v="0"/>
          </reference>
          <reference field="37" count="0"/>
        </references>
      </pivotArea>
    </format>
    <format dxfId="235">
      <pivotArea field="29" type="button" dataOnly="0" labelOnly="1" outline="0" axis="axisPage" fieldPosition="0"/>
    </format>
    <format dxfId="234">
      <pivotArea dataOnly="0" labelOnly="1" outline="0" fieldPosition="0">
        <references count="1">
          <reference field="29" count="1">
            <x v="0"/>
          </reference>
        </references>
      </pivotArea>
    </format>
    <format dxfId="233">
      <pivotArea dataOnly="0" labelOnly="1" fieldPosition="0">
        <references count="2">
          <reference field="8" count="1" selected="0">
            <x v="0"/>
          </reference>
          <reference field="37" count="1">
            <x v="2"/>
          </reference>
        </references>
      </pivotArea>
    </format>
    <format dxfId="232">
      <pivotArea dataOnly="0" labelOnly="1" fieldPosition="0">
        <references count="2">
          <reference field="8" count="1" selected="0">
            <x v="4"/>
          </reference>
          <reference field="37" count="1">
            <x v="2"/>
          </reference>
        </references>
      </pivotArea>
    </format>
    <format dxfId="231">
      <pivotArea dataOnly="0" labelOnly="1" fieldPosition="0">
        <references count="2">
          <reference field="8" count="1" selected="0">
            <x v="5"/>
          </reference>
          <reference field="37" count="1">
            <x v="2"/>
          </reference>
        </references>
      </pivotArea>
    </format>
    <format dxfId="230">
      <pivotArea dataOnly="0" labelOnly="1" fieldPosition="0">
        <references count="2">
          <reference field="8" count="1" selected="0">
            <x v="1"/>
          </reference>
          <reference field="37" count="0"/>
        </references>
      </pivotArea>
    </format>
    <format dxfId="229">
      <pivotArea dataOnly="0" labelOnly="1" fieldPosition="0">
        <references count="2">
          <reference field="8" count="1" selected="0">
            <x v="2"/>
          </reference>
          <reference field="37" count="0"/>
        </references>
      </pivotArea>
    </format>
    <format dxfId="228">
      <pivotArea dataOnly="0" labelOnly="1" fieldPosition="0">
        <references count="2">
          <reference field="8" count="1" selected="0">
            <x v="6"/>
          </reference>
          <reference field="37" count="0"/>
        </references>
      </pivotArea>
    </format>
    <format dxfId="227">
      <pivotArea dataOnly="0" labelOnly="1" fieldPosition="0">
        <references count="2">
          <reference field="8" count="1" selected="0">
            <x v="0"/>
          </reference>
          <reference field="37" count="1">
            <x v="4"/>
          </reference>
        </references>
      </pivotArea>
    </format>
    <format dxfId="226">
      <pivotArea dataOnly="0" labelOnly="1" fieldPosition="0">
        <references count="2">
          <reference field="8" count="1" selected="0">
            <x v="1"/>
          </reference>
          <reference field="37" count="1">
            <x v="4"/>
          </reference>
        </references>
      </pivotArea>
    </format>
    <format dxfId="225">
      <pivotArea dataOnly="0" labelOnly="1" fieldPosition="0">
        <references count="2">
          <reference field="8" count="1" selected="0">
            <x v="2"/>
          </reference>
          <reference field="37" count="3">
            <x v="1"/>
            <x v="2"/>
            <x v="4"/>
          </reference>
        </references>
      </pivotArea>
    </format>
    <format dxfId="224">
      <pivotArea dataOnly="0" labelOnly="1" fieldPosition="0">
        <references count="2">
          <reference field="8" count="1" selected="0">
            <x v="4"/>
          </reference>
          <reference field="37" count="1">
            <x v="4"/>
          </reference>
        </references>
      </pivotArea>
    </format>
    <format dxfId="223">
      <pivotArea dataOnly="0" labelOnly="1" fieldPosition="0">
        <references count="2">
          <reference field="8" count="1" selected="0">
            <x v="5"/>
          </reference>
          <reference field="37" count="1">
            <x v="4"/>
          </reference>
        </references>
      </pivotArea>
    </format>
    <format dxfId="222">
      <pivotArea dataOnly="0" labelOnly="1" fieldPosition="0">
        <references count="2">
          <reference field="8" count="1" selected="0">
            <x v="6"/>
          </reference>
          <reference field="37" count="1">
            <x v="4"/>
          </reference>
        </references>
      </pivotArea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B937C6-3BE1-4E7B-9247-F239F3FBDC2A}" name="TD_Pagos" cacheId="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Rama Curso">
  <location ref="H21:J28" firstHeaderRow="0" firstDataRow="1" firstDataCol="1" rowPageCount="2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axis="axisRow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1">
    <field x="10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2">
    <pageField fld="8" item="2" hier="-1"/>
    <pageField fld="29" hier="-1"/>
  </pageFields>
  <dataFields count="2">
    <dataField name="N° Part." fld="27" baseField="0" baseItem="0"/>
    <dataField name="Total Cuota" fld="36" baseField="10" baseItem="2" numFmtId="164"/>
  </dataFields>
  <formats count="5">
    <format dxfId="245">
      <pivotArea dataOnly="0" labelOnly="1" outline="0" axis="axisValues" fieldPosition="0"/>
    </format>
    <format dxfId="244">
      <pivotArea outline="0" fieldPosition="0">
        <references count="1">
          <reference field="4294967294" count="1">
            <x v="1"/>
          </reference>
        </references>
      </pivotArea>
    </format>
    <format dxfId="243">
      <pivotArea field="10" type="button" dataOnly="0" labelOnly="1" outline="0" axis="axisRow" fieldPosition="0"/>
    </format>
    <format dxfId="2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A299F-574F-4409-B7D4-8E37F02F17FE}" name="TablaDinámica2" cacheId="35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Colación">
  <location ref="E33:F44" firstHeaderRow="1" firstDataRow="1" firstDataCol="1" rowPageCount="1" colPageCount="1"/>
  <pivotFields count="8">
    <pivotField showAll="0"/>
    <pivotField axis="axisRow" showAll="0" defaultSubtotal="0">
      <items count="4">
        <item x="0"/>
        <item x="1"/>
        <item x="2"/>
        <item x="3"/>
      </items>
    </pivotField>
    <pivotField showAll="0"/>
    <pivotField name="Tipo de Alimentación" axis="axisPage" multipleItemSelectionAllowed="1" showAll="0">
      <items count="7">
        <item h="1" x="1"/>
        <item x="5"/>
        <item x="2"/>
        <item h="1" x="4"/>
        <item x="3"/>
        <item h="1" x="0"/>
        <item t="default"/>
      </items>
    </pivotField>
    <pivotField axis="axisRow" showAll="0">
      <items count="9">
        <item x="2"/>
        <item x="6"/>
        <item x="5"/>
        <item x="3"/>
        <item x="4"/>
        <item x="1"/>
        <item x="7"/>
        <item x="0"/>
        <item t="default"/>
      </items>
    </pivotField>
    <pivotField showAll="0"/>
    <pivotField showAll="0"/>
    <pivotField dataField="1" showAll="0"/>
  </pivotFields>
  <rowFields count="2">
    <field x="1"/>
    <field x="4"/>
  </rowFields>
  <rowItems count="11">
    <i>
      <x v="1"/>
    </i>
    <i r="1">
      <x/>
    </i>
    <i r="1">
      <x v="5"/>
    </i>
    <i>
      <x v="2"/>
    </i>
    <i r="1">
      <x v="3"/>
    </i>
    <i r="1">
      <x v="4"/>
    </i>
    <i>
      <x v="3"/>
    </i>
    <i r="1">
      <x v="1"/>
    </i>
    <i r="1">
      <x v="2"/>
    </i>
    <i r="1">
      <x v="6"/>
    </i>
    <i t="grand">
      <x/>
    </i>
  </rowItems>
  <colItems count="1">
    <i/>
  </colItems>
  <pageFields count="1">
    <pageField fld="3" hier="-1"/>
  </pageFields>
  <dataFields count="1">
    <dataField name="Cant." fld="7" baseField="0" baseItem="0"/>
  </dataFields>
  <formats count="2">
    <format dxfId="174">
      <pivotArea dataOnly="0" labelOnly="1" outline="0" axis="axisValues" fieldPosition="0"/>
    </format>
    <format dxfId="173">
      <pivotArea field="1" type="button" dataOnly="0" labelOnly="1" outline="0" axis="axisRow" fieldPosition="0"/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94FBA1-12CA-409D-92A7-25D3ED4817E8}" name="TD_Alimentacion" cacheId="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Alimentación">
  <location ref="E21:F26" firstHeaderRow="1" firstDataRow="1" firstDataCol="1" rowPageCount="1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ame="Estado" axis="axisPage" multipleItemSelectionAllowed="1" showAll="0">
      <items count="8">
        <item m="1" x="3"/>
        <item h="1" x="1"/>
        <item x="0"/>
        <item m="1" x="6"/>
        <item m="1" x="5"/>
        <item h="1"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9" hier="-1"/>
  </pageFields>
  <dataFields count="1">
    <dataField name="N° Volunt." fld="27" baseField="0" baseItem="0"/>
  </dataFields>
  <formats count="1">
    <format dxfId="17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96195-F00A-4CFD-9DA9-1D083824513D}" name="TD_Part_Distrito_Rama" cacheId="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Distrito">
  <location ref="A6:C55" firstHeaderRow="1" firstDataRow="1" firstDataCol="2" rowPageCount="3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name="Rama Curso" axis="axisRow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axis="axisRow" outline="0" showAll="0">
      <items count="25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2">
    <field x="11"/>
    <field x="10"/>
  </rowFields>
  <rowItems count="49">
    <i>
      <x/>
      <x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  <x/>
    </i>
    <i r="1">
      <x v="2"/>
    </i>
    <i r="1">
      <x v="3"/>
    </i>
    <i r="1">
      <x v="4"/>
    </i>
    <i r="1">
      <x v="5"/>
    </i>
    <i r="1">
      <x v="6"/>
    </i>
    <i t="default">
      <x v="1"/>
    </i>
    <i>
      <x v="4"/>
      <x/>
    </i>
    <i r="1">
      <x v="2"/>
    </i>
    <i r="1">
      <x v="3"/>
    </i>
    <i r="1">
      <x v="4"/>
    </i>
    <i r="1">
      <x v="5"/>
    </i>
    <i r="1">
      <x v="6"/>
    </i>
    <i t="default">
      <x v="4"/>
    </i>
    <i>
      <x v="6"/>
      <x v="2"/>
    </i>
    <i r="1">
      <x v="3"/>
    </i>
    <i r="1">
      <x v="4"/>
    </i>
    <i r="1">
      <x v="5"/>
    </i>
    <i r="1">
      <x v="6"/>
    </i>
    <i t="default">
      <x v="6"/>
    </i>
    <i>
      <x v="17"/>
      <x/>
    </i>
    <i r="1">
      <x v="2"/>
    </i>
    <i r="1">
      <x v="3"/>
    </i>
    <i r="1">
      <x v="4"/>
    </i>
    <i r="1">
      <x v="5"/>
    </i>
    <i r="1">
      <x v="6"/>
    </i>
    <i t="default">
      <x v="17"/>
    </i>
    <i>
      <x v="20"/>
      <x v="5"/>
    </i>
    <i t="default">
      <x v="20"/>
    </i>
    <i>
      <x v="21"/>
      <x/>
    </i>
    <i r="1">
      <x v="2"/>
    </i>
    <i r="1">
      <x v="3"/>
    </i>
    <i r="1">
      <x v="4"/>
    </i>
    <i r="1">
      <x v="5"/>
    </i>
    <i r="1">
      <x v="6"/>
    </i>
    <i t="default">
      <x v="21"/>
    </i>
    <i>
      <x v="22"/>
      <x v="5"/>
    </i>
    <i t="default">
      <x v="22"/>
    </i>
    <i>
      <x v="23"/>
      <x v="2"/>
    </i>
    <i r="1">
      <x v="5"/>
    </i>
    <i t="default">
      <x v="23"/>
    </i>
    <i t="grand">
      <x/>
    </i>
  </rowItems>
  <colItems count="1">
    <i/>
  </colItems>
  <pageFields count="3">
    <pageField fld="8" item="2" hier="-1"/>
    <pageField fld="29" hier="-1"/>
    <pageField fld="28" hier="-1"/>
  </pageFields>
  <dataFields count="1">
    <dataField name="N° Part." fld="27" baseField="0" baseItem="0"/>
  </dataFields>
  <formats count="2">
    <format dxfId="177">
      <pivotArea field="10" type="button" dataOnly="0" labelOnly="1" outline="0" axis="axisRow" fieldPosition="1"/>
    </format>
    <format dxfId="17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3C4BF-22E7-4A12-9941-5EAA288E30FC}" name="TD_Cama" cacheId="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Nombre">
  <location ref="H7:K109" firstHeaderRow="1" firstDataRow="1" firstDataCol="3" rowPageCount="4" colPageCount="1"/>
  <pivotFields count="52">
    <pivotField showAll="0"/>
    <pivotField axis="axisRow" outline="0" showAll="0" defaultSubtotal="0">
      <items count="369">
        <item m="1" x="257"/>
        <item m="1" x="292"/>
        <item m="1" x="318"/>
        <item m="1" x="211"/>
        <item m="1" x="285"/>
        <item m="1" x="294"/>
        <item m="1" x="279"/>
        <item m="1" x="260"/>
        <item m="1" x="305"/>
        <item m="1" x="336"/>
        <item x="94"/>
        <item m="1" x="258"/>
        <item m="1" x="331"/>
        <item m="1" x="216"/>
        <item m="1" x="230"/>
        <item m="1" x="222"/>
        <item m="1" x="212"/>
        <item m="1" x="324"/>
        <item m="1" x="299"/>
        <item m="1" x="223"/>
        <item m="1" x="241"/>
        <item m="1" x="272"/>
        <item x="85"/>
        <item m="1" x="254"/>
        <item x="123"/>
        <item m="1" x="316"/>
        <item m="1" x="256"/>
        <item m="1" x="287"/>
        <item m="1" x="248"/>
        <item m="1" x="335"/>
        <item m="1" x="269"/>
        <item m="1" x="255"/>
        <item m="1" x="268"/>
        <item m="1" x="339"/>
        <item x="190"/>
        <item m="1" x="224"/>
        <item m="1" x="263"/>
        <item m="1" x="247"/>
        <item m="1" x="267"/>
        <item m="1" x="275"/>
        <item m="1" x="327"/>
        <item m="1" x="297"/>
        <item m="1" x="308"/>
        <item m="1" x="310"/>
        <item x="98"/>
        <item m="1" x="298"/>
        <item m="1" x="306"/>
        <item m="1" x="219"/>
        <item m="1" x="309"/>
        <item m="1" x="304"/>
        <item m="1" x="240"/>
        <item m="1" x="218"/>
        <item m="1" x="325"/>
        <item m="1" x="270"/>
        <item m="1" x="295"/>
        <item m="1" x="280"/>
        <item m="1" x="333"/>
        <item m="1" x="242"/>
        <item m="1" x="276"/>
        <item m="1" x="232"/>
        <item m="1" x="312"/>
        <item m="1" x="246"/>
        <item m="1" x="265"/>
        <item m="1" x="322"/>
        <item m="1" x="289"/>
        <item m="1" x="249"/>
        <item x="205"/>
        <item m="1" x="273"/>
        <item m="1" x="264"/>
        <item m="1" x="311"/>
        <item x="84"/>
        <item m="1" x="235"/>
        <item m="1" x="252"/>
        <item m="1" x="291"/>
        <item m="1" x="330"/>
        <item m="1" x="236"/>
        <item m="1" x="221"/>
        <item m="1" x="284"/>
        <item m="1" x="274"/>
        <item m="1" x="234"/>
        <item m="1" x="228"/>
        <item m="1" x="217"/>
        <item m="1" x="251"/>
        <item m="1" x="231"/>
        <item m="1" x="338"/>
        <item x="25"/>
        <item m="1" x="334"/>
        <item m="1" x="250"/>
        <item m="1" x="286"/>
        <item m="1" x="215"/>
        <item m="1" x="225"/>
        <item m="1" x="278"/>
        <item x="88"/>
        <item m="1" x="301"/>
        <item m="1" x="300"/>
        <item m="1" x="368"/>
        <item m="1" x="326"/>
        <item m="1" x="238"/>
        <item m="1" x="237"/>
        <item m="1" x="302"/>
        <item m="1" x="315"/>
        <item m="1" x="323"/>
        <item x="151"/>
        <item m="1" x="245"/>
        <item m="1" x="253"/>
        <item m="1" x="271"/>
        <item m="1" x="303"/>
        <item m="1" x="321"/>
        <item m="1" x="314"/>
        <item m="1" x="262"/>
        <item m="1" x="317"/>
        <item m="1" x="277"/>
        <item m="1" x="296"/>
        <item m="1" x="283"/>
        <item m="1" x="307"/>
        <item m="1" x="213"/>
        <item m="1" x="337"/>
        <item x="87"/>
        <item m="1" x="282"/>
        <item m="1" x="244"/>
        <item m="1" x="288"/>
        <item x="193"/>
        <item m="1" x="328"/>
        <item m="1" x="220"/>
        <item m="1" x="243"/>
        <item m="1" x="227"/>
        <item x="121"/>
        <item m="1" x="329"/>
        <item m="1" x="340"/>
        <item m="1" x="261"/>
        <item m="1" x="293"/>
        <item m="1" x="226"/>
        <item x="92"/>
        <item m="1" x="266"/>
        <item m="1" x="319"/>
        <item m="1" x="320"/>
        <item m="1" x="281"/>
        <item m="1" x="259"/>
        <item x="115"/>
        <item x="142"/>
        <item x="81"/>
        <item m="1" x="229"/>
        <item x="109"/>
        <item m="1" x="233"/>
        <item m="1" x="214"/>
        <item x="204"/>
        <item m="1" x="332"/>
        <item m="1" x="290"/>
        <item m="1" x="239"/>
        <item m="1" x="313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axis="axisRow" outline="0" showAll="0" defaultSubtotal="0">
      <items count="393">
        <item m="1" x="320"/>
        <item m="1" x="211"/>
        <item m="1" x="297"/>
        <item x="82"/>
        <item m="1" x="259"/>
        <item m="1" x="287"/>
        <item m="1" x="281"/>
        <item m="1" x="295"/>
        <item m="1" x="262"/>
        <item m="1" x="391"/>
        <item m="1" x="384"/>
        <item x="151"/>
        <item m="1" x="306"/>
        <item m="1" x="341"/>
        <item x="94"/>
        <item m="1" x="335"/>
        <item m="1" x="222"/>
        <item m="1" x="216"/>
        <item m="1" x="271"/>
        <item m="1" x="230"/>
        <item m="1" x="212"/>
        <item m="1" x="249"/>
        <item m="1" x="291"/>
        <item m="1" x="327"/>
        <item m="1" x="279"/>
        <item m="1" x="300"/>
        <item m="1" x="223"/>
        <item m="1" x="241"/>
        <item m="1" x="344"/>
        <item m="1" x="326"/>
        <item m="1" x="256"/>
        <item m="1" x="385"/>
        <item m="1" x="254"/>
        <item m="1" x="317"/>
        <item m="1" x="274"/>
        <item m="1" x="248"/>
        <item m="1" x="260"/>
        <item m="1" x="255"/>
        <item m="1" x="389"/>
        <item m="1" x="270"/>
        <item m="1" x="224"/>
        <item m="1" x="265"/>
        <item m="1" x="277"/>
        <item m="1" x="340"/>
        <item m="1" x="269"/>
        <item m="1" x="247"/>
        <item m="1" x="237"/>
        <item m="1" x="309"/>
        <item m="1" x="311"/>
        <item m="1" x="330"/>
        <item m="1" x="219"/>
        <item m="1" x="299"/>
        <item x="142"/>
        <item m="1" x="305"/>
        <item m="1" x="392"/>
        <item m="1" x="310"/>
        <item m="1" x="246"/>
        <item m="1" x="313"/>
        <item m="1" x="232"/>
        <item m="1" x="282"/>
        <item m="1" x="272"/>
        <item m="1" x="296"/>
        <item m="1" x="338"/>
        <item m="1" x="242"/>
        <item m="1" x="383"/>
        <item m="1" x="278"/>
        <item m="1" x="218"/>
        <item m="1" x="328"/>
        <item m="1" x="240"/>
        <item m="1" x="267"/>
        <item m="1" x="324"/>
        <item m="1" x="292"/>
        <item m="1" x="289"/>
        <item m="1" x="318"/>
        <item m="1" x="275"/>
        <item m="1" x="312"/>
        <item x="84"/>
        <item m="1" x="334"/>
        <item m="1" x="235"/>
        <item m="1" x="252"/>
        <item x="155"/>
        <item m="1" x="236"/>
        <item m="1" x="221"/>
        <item m="1" x="286"/>
        <item m="1" x="276"/>
        <item m="1" x="217"/>
        <item m="1" x="234"/>
        <item m="1" x="228"/>
        <item m="1" x="251"/>
        <item m="1" x="231"/>
        <item x="25"/>
        <item m="1" x="250"/>
        <item m="1" x="343"/>
        <item m="1" x="339"/>
        <item m="1" x="225"/>
        <item m="1" x="280"/>
        <item m="1" x="220"/>
        <item x="88"/>
        <item m="1" x="321"/>
        <item m="1" x="301"/>
        <item m="1" x="302"/>
        <item m="1" x="331"/>
        <item m="1" x="329"/>
        <item m="1" x="238"/>
        <item m="1" x="303"/>
        <item m="1" x="316"/>
        <item m="1" x="325"/>
        <item m="1" x="288"/>
        <item m="1" x="253"/>
        <item m="1" x="386"/>
        <item m="1" x="390"/>
        <item m="1" x="264"/>
        <item m="1" x="245"/>
        <item m="1" x="298"/>
        <item m="1" x="273"/>
        <item m="1" x="323"/>
        <item m="1" x="304"/>
        <item m="1" x="319"/>
        <item m="1" x="285"/>
        <item m="1" x="342"/>
        <item m="1" x="308"/>
        <item m="1" x="213"/>
        <item x="87"/>
        <item m="1" x="244"/>
        <item m="1" x="290"/>
        <item x="190"/>
        <item m="1" x="227"/>
        <item m="1" x="387"/>
        <item m="1" x="257"/>
        <item x="193"/>
        <item m="1" x="284"/>
        <item m="1" x="294"/>
        <item m="1" x="243"/>
        <item m="1" x="332"/>
        <item m="1" x="263"/>
        <item m="1" x="333"/>
        <item m="1" x="268"/>
        <item m="1" x="322"/>
        <item m="1" x="215"/>
        <item x="121"/>
        <item m="1" x="345"/>
        <item x="92"/>
        <item m="1" x="266"/>
        <item m="1" x="261"/>
        <item m="1" x="388"/>
        <item m="1" x="283"/>
        <item m="1" x="337"/>
        <item m="1" x="258"/>
        <item m="1" x="307"/>
        <item x="115"/>
        <item m="1" x="229"/>
        <item m="1" x="233"/>
        <item m="1" x="226"/>
        <item m="1" x="214"/>
        <item m="1" x="293"/>
        <item x="204"/>
        <item m="1" x="336"/>
        <item m="1" x="239"/>
        <item m="1" x="314"/>
        <item m="1" x="31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name="Necesita CAMA" axis="axisPage" showAll="0">
      <items count="4">
        <item m="1" x="2"/>
        <item x="0"/>
        <item x="1"/>
        <item t="default"/>
      </items>
    </pivotField>
    <pivotField name="Conf. CAMA" axis="axisRow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3">
    <field x="2"/>
    <field x="1"/>
    <field x="35"/>
  </rowFields>
  <rowItems count="102">
    <i>
      <x v="90"/>
      <x v="85"/>
      <x v="2"/>
    </i>
    <i>
      <x v="97"/>
      <x v="92"/>
      <x v="2"/>
    </i>
    <i>
      <x v="139"/>
      <x v="126"/>
      <x v="2"/>
    </i>
    <i>
      <x v="149"/>
      <x v="138"/>
      <x v="2"/>
    </i>
    <i>
      <x v="181"/>
      <x v="171"/>
      <x v="2"/>
    </i>
    <i>
      <x v="204"/>
      <x v="184"/>
      <x v="2"/>
    </i>
    <i>
      <x v="207"/>
      <x v="187"/>
      <x v="2"/>
    </i>
    <i>
      <x v="208"/>
      <x v="188"/>
      <x v="2"/>
    </i>
    <i>
      <x v="209"/>
      <x v="189"/>
      <x v="2"/>
    </i>
    <i>
      <x v="210"/>
      <x v="190"/>
      <x v="2"/>
    </i>
    <i>
      <x v="212"/>
      <x v="192"/>
      <x v="2"/>
    </i>
    <i>
      <x v="213"/>
      <x v="193"/>
      <x v="2"/>
    </i>
    <i>
      <x v="214"/>
      <x v="194"/>
      <x v="2"/>
    </i>
    <i>
      <x v="215"/>
      <x v="195"/>
      <x v="2"/>
    </i>
    <i>
      <x v="216"/>
      <x v="196"/>
      <x v="2"/>
    </i>
    <i>
      <x v="219"/>
      <x v="199"/>
      <x v="2"/>
    </i>
    <i>
      <x v="220"/>
      <x v="200"/>
      <x v="2"/>
    </i>
    <i>
      <x v="221"/>
      <x v="201"/>
      <x v="2"/>
    </i>
    <i>
      <x v="225"/>
      <x v="205"/>
      <x v="2"/>
    </i>
    <i>
      <x v="226"/>
      <x v="206"/>
      <x v="2"/>
    </i>
    <i>
      <x v="227"/>
      <x v="207"/>
      <x v="2"/>
    </i>
    <i>
      <x v="230"/>
      <x v="210"/>
      <x v="2"/>
    </i>
    <i>
      <x v="231"/>
      <x v="211"/>
      <x v="2"/>
    </i>
    <i>
      <x v="239"/>
      <x v="219"/>
      <x v="2"/>
    </i>
    <i>
      <x v="240"/>
      <x v="220"/>
      <x v="2"/>
    </i>
    <i>
      <x v="241"/>
      <x v="221"/>
      <x v="2"/>
    </i>
    <i>
      <x v="244"/>
      <x v="224"/>
      <x v="2"/>
    </i>
    <i>
      <x v="246"/>
      <x v="226"/>
      <x v="2"/>
    </i>
    <i>
      <x v="247"/>
      <x v="227"/>
      <x v="2"/>
    </i>
    <i>
      <x v="248"/>
      <x v="228"/>
      <x v="2"/>
    </i>
    <i>
      <x v="250"/>
      <x v="230"/>
      <x v="2"/>
    </i>
    <i>
      <x v="251"/>
      <x v="231"/>
      <x v="2"/>
    </i>
    <i>
      <x v="252"/>
      <x v="232"/>
      <x v="2"/>
    </i>
    <i>
      <x v="254"/>
      <x v="234"/>
      <x v="2"/>
    </i>
    <i>
      <x v="255"/>
      <x v="235"/>
      <x v="2"/>
    </i>
    <i>
      <x v="257"/>
      <x v="237"/>
      <x v="2"/>
    </i>
    <i>
      <x v="260"/>
      <x v="240"/>
      <x v="2"/>
    </i>
    <i>
      <x v="266"/>
      <x v="246"/>
      <x v="2"/>
    </i>
    <i>
      <x v="267"/>
      <x v="247"/>
      <x v="2"/>
    </i>
    <i>
      <x v="269"/>
      <x v="249"/>
      <x v="2"/>
    </i>
    <i>
      <x v="272"/>
      <x v="252"/>
      <x v="2"/>
    </i>
    <i>
      <x v="277"/>
      <x v="257"/>
      <x v="2"/>
    </i>
    <i>
      <x v="278"/>
      <x v="258"/>
      <x v="2"/>
    </i>
    <i>
      <x v="281"/>
      <x v="261"/>
      <x v="2"/>
    </i>
    <i>
      <x v="286"/>
      <x v="22"/>
      <x v="2"/>
    </i>
    <i>
      <x v="288"/>
      <x v="267"/>
      <x v="2"/>
    </i>
    <i>
      <x v="292"/>
      <x v="271"/>
      <x v="2"/>
    </i>
    <i>
      <x v="294"/>
      <x v="273"/>
      <x v="2"/>
    </i>
    <i>
      <x v="299"/>
      <x v="276"/>
      <x v="2"/>
    </i>
    <i>
      <x v="300"/>
      <x v="277"/>
      <x v="2"/>
    </i>
    <i>
      <x v="305"/>
      <x v="282"/>
      <x v="2"/>
    </i>
    <i>
      <x v="307"/>
      <x v="284"/>
      <x v="2"/>
    </i>
    <i>
      <x v="308"/>
      <x v="142"/>
      <x v="2"/>
    </i>
    <i>
      <x v="310"/>
      <x v="286"/>
      <x v="2"/>
    </i>
    <i>
      <x v="311"/>
      <x v="287"/>
      <x v="2"/>
    </i>
    <i>
      <x v="312"/>
      <x v="288"/>
      <x v="2"/>
    </i>
    <i>
      <x v="313"/>
      <x v="289"/>
      <x v="2"/>
    </i>
    <i>
      <x v="315"/>
      <x v="24"/>
      <x v="2"/>
    </i>
    <i>
      <x v="316"/>
      <x v="291"/>
      <x v="2"/>
    </i>
    <i>
      <x v="318"/>
      <x v="293"/>
      <x v="2"/>
    </i>
    <i>
      <x v="320"/>
      <x v="295"/>
      <x v="2"/>
    </i>
    <i>
      <x v="321"/>
      <x v="296"/>
      <x v="2"/>
    </i>
    <i>
      <x v="322"/>
      <x v="297"/>
      <x v="2"/>
    </i>
    <i>
      <x v="324"/>
      <x v="299"/>
      <x v="2"/>
    </i>
    <i>
      <x v="326"/>
      <x v="301"/>
      <x v="2"/>
    </i>
    <i>
      <x v="330"/>
      <x v="305"/>
      <x v="2"/>
    </i>
    <i>
      <x v="331"/>
      <x v="306"/>
      <x v="2"/>
    </i>
    <i>
      <x v="332"/>
      <x v="307"/>
      <x v="2"/>
    </i>
    <i>
      <x v="333"/>
      <x v="308"/>
      <x v="2"/>
    </i>
    <i>
      <x v="334"/>
      <x v="309"/>
      <x v="2"/>
    </i>
    <i>
      <x v="335"/>
      <x v="310"/>
      <x v="2"/>
    </i>
    <i>
      <x v="336"/>
      <x v="311"/>
      <x v="2"/>
    </i>
    <i>
      <x v="337"/>
      <x v="312"/>
      <x v="2"/>
    </i>
    <i>
      <x v="339"/>
      <x v="314"/>
      <x v="2"/>
    </i>
    <i>
      <x v="340"/>
      <x v="315"/>
      <x v="2"/>
    </i>
    <i>
      <x v="341"/>
      <x v="316"/>
      <x v="2"/>
    </i>
    <i>
      <x v="346"/>
      <x v="321"/>
      <x v="2"/>
    </i>
    <i>
      <x v="347"/>
      <x v="323"/>
      <x v="2"/>
    </i>
    <i>
      <x v="348"/>
      <x v="324"/>
      <x v="2"/>
    </i>
    <i>
      <x v="349"/>
      <x v="325"/>
      <x v="2"/>
    </i>
    <i>
      <x v="350"/>
      <x v="326"/>
      <x v="2"/>
    </i>
    <i>
      <x v="351"/>
      <x v="327"/>
      <x v="2"/>
    </i>
    <i>
      <x v="353"/>
      <x v="329"/>
      <x v="2"/>
    </i>
    <i>
      <x v="357"/>
      <x v="333"/>
      <x v="2"/>
    </i>
    <i>
      <x v="358"/>
      <x v="334"/>
      <x v="2"/>
    </i>
    <i>
      <x v="359"/>
      <x v="335"/>
      <x v="2"/>
    </i>
    <i>
      <x v="360"/>
      <x v="336"/>
      <x v="2"/>
    </i>
    <i>
      <x v="361"/>
      <x v="337"/>
      <x v="2"/>
    </i>
    <i>
      <x v="362"/>
      <x v="338"/>
      <x v="2"/>
    </i>
    <i>
      <x v="363"/>
      <x v="339"/>
      <x v="2"/>
    </i>
    <i>
      <x v="365"/>
      <x v="341"/>
      <x v="2"/>
    </i>
    <i>
      <x v="366"/>
      <x v="342"/>
      <x v="2"/>
    </i>
    <i>
      <x v="367"/>
      <x v="343"/>
      <x v="2"/>
    </i>
    <i>
      <x v="369"/>
      <x v="345"/>
      <x v="2"/>
    </i>
    <i>
      <x v="376"/>
      <x v="352"/>
      <x v="2"/>
    </i>
    <i>
      <x v="380"/>
      <x v="357"/>
      <x v="2"/>
    </i>
    <i>
      <x v="381"/>
      <x v="358"/>
      <x v="2"/>
    </i>
    <i>
      <x v="382"/>
      <x v="359"/>
      <x v="2"/>
    </i>
    <i>
      <x v="387"/>
      <x v="364"/>
      <x v="2"/>
    </i>
    <i>
      <x v="390"/>
      <x v="366"/>
      <x v="2"/>
    </i>
    <i>
      <x v="392"/>
      <x v="368"/>
      <x v="2"/>
    </i>
    <i t="grand">
      <x/>
    </i>
  </rowItems>
  <colItems count="1">
    <i/>
  </colItems>
  <pageFields count="4">
    <pageField fld="8" hier="-1"/>
    <pageField fld="29" hier="-1"/>
    <pageField fld="28" hier="-1"/>
    <pageField fld="34" item="2" hier="-1"/>
  </pageFields>
  <dataFields count="1">
    <dataField name="N° Volunt." fld="27" baseField="0" baseItem="0"/>
  </dataFields>
  <formats count="20">
    <format dxfId="197">
      <pivotArea field="10" type="button" dataOnly="0" labelOnly="1" outline="0"/>
    </format>
    <format dxfId="196">
      <pivotArea dataOnly="0" labelOnly="1" outline="0" axis="axisValues" fieldPosition="0"/>
    </format>
    <format dxfId="195">
      <pivotArea dataOnly="0" labelOnly="1" fieldPosition="0">
        <references count="3">
          <reference field="1" count="1" selected="0">
            <x v="23"/>
          </reference>
          <reference field="2" count="1" selected="0">
            <x v="32"/>
          </reference>
          <reference field="35" count="0"/>
        </references>
      </pivotArea>
    </format>
    <format dxfId="194">
      <pivotArea dataOnly="0" labelOnly="1" fieldPosition="0">
        <references count="3">
          <reference field="1" count="1" selected="0">
            <x v="23"/>
          </reference>
          <reference field="2" count="1" selected="0">
            <x v="32"/>
          </reference>
          <reference field="35" count="1">
            <x v="1"/>
          </reference>
        </references>
      </pivotArea>
    </format>
    <format dxfId="193">
      <pivotArea dataOnly="0" labelOnly="1" fieldPosition="0">
        <references count="3">
          <reference field="1" count="1" selected="0">
            <x v="144"/>
          </reference>
          <reference field="2" count="1" selected="0">
            <x v="153"/>
          </reference>
          <reference field="35" count="1">
            <x v="2"/>
          </reference>
        </references>
      </pivotArea>
    </format>
    <format dxfId="192">
      <pivotArea field="35" type="button" dataOnly="0" labelOnly="1" outline="0" axis="axisRow" fieldPosition="2"/>
    </format>
    <format dxfId="191">
      <pivotArea dataOnly="0" labelOnly="1" grandRow="1" outline="0" fieldPosition="0"/>
    </format>
    <format dxfId="190">
      <pivotArea dataOnly="0" labelOnly="1" fieldPosition="0">
        <references count="3">
          <reference field="1" count="1" selected="0">
            <x v="23"/>
          </reference>
          <reference field="2" count="1" selected="0">
            <x v="32"/>
          </reference>
          <reference field="35" count="1">
            <x v="2"/>
          </reference>
        </references>
      </pivotArea>
    </format>
    <format dxfId="189">
      <pivotArea dataOnly="0" labelOnly="1" fieldPosition="0">
        <references count="3">
          <reference field="1" count="1" selected="0">
            <x v="21"/>
          </reference>
          <reference field="2" count="1" selected="0">
            <x v="34"/>
          </reference>
          <reference field="35" count="1">
            <x v="2"/>
          </reference>
        </references>
      </pivotArea>
    </format>
    <format dxfId="188">
      <pivotArea dataOnly="0" labelOnly="1" fieldPosition="0">
        <references count="3">
          <reference field="1" count="1" selected="0">
            <x v="32"/>
          </reference>
          <reference field="2" count="1" selected="0">
            <x v="39"/>
          </reference>
          <reference field="35" count="1">
            <x v="2"/>
          </reference>
        </references>
      </pivotArea>
    </format>
    <format dxfId="187">
      <pivotArea dataOnly="0" labelOnly="1" fieldPosition="0">
        <references count="3">
          <reference field="1" count="1" selected="0">
            <x v="36"/>
          </reference>
          <reference field="2" count="1" selected="0">
            <x v="41"/>
          </reference>
          <reference field="35" count="1">
            <x v="2"/>
          </reference>
        </references>
      </pivotArea>
    </format>
    <format dxfId="186">
      <pivotArea dataOnly="0" labelOnly="1" fieldPosition="0">
        <references count="3">
          <reference field="1" count="1" selected="0">
            <x v="53"/>
          </reference>
          <reference field="2" count="1" selected="0">
            <x v="60"/>
          </reference>
          <reference field="35" count="1">
            <x v="2"/>
          </reference>
        </references>
      </pivotArea>
    </format>
    <format dxfId="185">
      <pivotArea dataOnly="0" labelOnly="1" fieldPosition="0">
        <references count="3">
          <reference field="1" count="1" selected="0">
            <x v="52"/>
          </reference>
          <reference field="2" count="1" selected="0">
            <x v="67"/>
          </reference>
          <reference field="35" count="1">
            <x v="2"/>
          </reference>
        </references>
      </pivotArea>
    </format>
    <format dxfId="184">
      <pivotArea dataOnly="0" labelOnly="1" fieldPosition="0">
        <references count="3">
          <reference field="1" count="1" selected="0">
            <x v="67"/>
          </reference>
          <reference field="2" count="1" selected="0">
            <x v="74"/>
          </reference>
          <reference field="35" count="1">
            <x v="2"/>
          </reference>
        </references>
      </pivotArea>
    </format>
    <format dxfId="183">
      <pivotArea dataOnly="0" labelOnly="1" fieldPosition="0">
        <references count="3">
          <reference field="1" count="1" selected="0">
            <x v="122"/>
          </reference>
          <reference field="2" count="1" selected="0">
            <x v="133"/>
          </reference>
          <reference field="35" count="1">
            <x v="2"/>
          </reference>
        </references>
      </pivotArea>
    </format>
    <format dxfId="182">
      <pivotArea dataOnly="0" labelOnly="1" fieldPosition="0">
        <references count="3">
          <reference field="1" count="1" selected="0">
            <x v="135"/>
          </reference>
          <reference field="2" count="1" selected="0">
            <x v="137"/>
          </reference>
          <reference field="35" count="1">
            <x v="2"/>
          </reference>
        </references>
      </pivotArea>
    </format>
    <format dxfId="181">
      <pivotArea dataOnly="0" labelOnly="1" fieldPosition="0">
        <references count="3">
          <reference field="1" count="1" selected="0">
            <x v="126"/>
          </reference>
          <reference field="2" count="1" selected="0">
            <x v="139"/>
          </reference>
          <reference field="35" count="1">
            <x v="2"/>
          </reference>
        </references>
      </pivotArea>
    </format>
    <format dxfId="180">
      <pivotArea dataOnly="0" labelOnly="1" fieldPosition="0">
        <references count="3">
          <reference field="1" count="1" selected="0">
            <x v="149"/>
          </reference>
          <reference field="2" count="1" selected="0">
            <x v="158"/>
          </reference>
          <reference field="35" count="1">
            <x v="2"/>
          </reference>
        </references>
      </pivotArea>
    </format>
    <format dxfId="179">
      <pivotArea dataOnly="0" labelOnly="1" fieldPosition="0">
        <references count="3">
          <reference field="1" count="1" selected="0">
            <x v="171"/>
          </reference>
          <reference field="2" count="1" selected="0">
            <x v="181"/>
          </reference>
          <reference field="35" count="1">
            <x v="2"/>
          </reference>
        </references>
      </pivotArea>
    </format>
    <format dxfId="178">
      <pivotArea dataOnly="0" labelOnly="1" fieldPosition="0">
        <references count="3">
          <reference field="1" count="1" selected="0">
            <x v="179"/>
          </reference>
          <reference field="2" count="1" selected="0">
            <x v="189"/>
          </reference>
          <reference field="35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A097A2-337D-4ACA-BE1F-6A52C561763C}" name="TablaDinámica1" cacheId="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Por Rama">
  <location ref="E51:F102" firstHeaderRow="1" firstDataRow="1" firstDataCol="1" rowPageCount="1" colPageCount="1"/>
  <pivotFields count="52">
    <pivotField showAll="0"/>
    <pivotField showAll="0"/>
    <pivotField axis="axisRow" showAll="0">
      <items count="394">
        <item m="1" x="320"/>
        <item m="1" x="211"/>
        <item m="1" x="297"/>
        <item x="68"/>
        <item x="82"/>
        <item x="106"/>
        <item x="6"/>
        <item x="187"/>
        <item m="1" x="259"/>
        <item x="114"/>
        <item x="31"/>
        <item m="1" x="287"/>
        <item x="67"/>
        <item x="86"/>
        <item x="40"/>
        <item x="23"/>
        <item x="91"/>
        <item x="17"/>
        <item m="1" x="281"/>
        <item x="0"/>
        <item m="1" x="295"/>
        <item x="117"/>
        <item x="125"/>
        <item x="28"/>
        <item x="39"/>
        <item x="26"/>
        <item m="1" x="361"/>
        <item m="1" x="262"/>
        <item m="1" x="391"/>
        <item x="97"/>
        <item x="50"/>
        <item x="27"/>
        <item x="36"/>
        <item x="147"/>
        <item m="1" x="384"/>
        <item x="151"/>
        <item m="1" x="306"/>
        <item x="128"/>
        <item m="1" x="341"/>
        <item x="104"/>
        <item x="9"/>
        <item x="44"/>
        <item x="94"/>
        <item x="99"/>
        <item x="107"/>
        <item m="1" x="335"/>
        <item x="42"/>
        <item x="41"/>
        <item m="1" x="222"/>
        <item x="96"/>
        <item m="1" x="216"/>
        <item m="1" x="271"/>
        <item m="1" x="230"/>
        <item x="12"/>
        <item x="55"/>
        <item m="1" x="212"/>
        <item m="1" x="249"/>
        <item x="85"/>
        <item m="1" x="291"/>
        <item m="1" x="327"/>
        <item m="1" x="353"/>
        <item x="116"/>
        <item x="37"/>
        <item m="1" x="351"/>
        <item m="1" x="279"/>
        <item x="5"/>
        <item x="3"/>
        <item m="1" x="300"/>
        <item x="47"/>
        <item m="1" x="223"/>
        <item m="1" x="241"/>
        <item m="1" x="344"/>
        <item x="123"/>
        <item m="1" x="326"/>
        <item m="1" x="256"/>
        <item m="1" x="385"/>
        <item m="1" x="254"/>
        <item m="1" x="317"/>
        <item m="1" x="274"/>
        <item m="1" x="348"/>
        <item x="118"/>
        <item m="1" x="248"/>
        <item x="146"/>
        <item x="79"/>
        <item m="1" x="260"/>
        <item x="90"/>
        <item m="1" x="255"/>
        <item m="1" x="389"/>
        <item m="1" x="369"/>
        <item x="83"/>
        <item m="1" x="270"/>
        <item x="144"/>
        <item x="141"/>
        <item x="102"/>
        <item m="1" x="224"/>
        <item x="70"/>
        <item m="1" x="265"/>
        <item m="1" x="358"/>
        <item x="126"/>
        <item x="33"/>
        <item m="1" x="277"/>
        <item m="1" x="340"/>
        <item x="45"/>
        <item m="1" x="269"/>
        <item m="1" x="247"/>
        <item x="20"/>
        <item m="1" x="237"/>
        <item x="34"/>
        <item m="1" x="309"/>
        <item m="1" x="311"/>
        <item x="98"/>
        <item m="1" x="330"/>
        <item x="113"/>
        <item x="59"/>
        <item x="8"/>
        <item m="1" x="219"/>
        <item m="1" x="299"/>
        <item x="142"/>
        <item m="1" x="305"/>
        <item m="1" x="392"/>
        <item m="1" x="310"/>
        <item m="1" x="246"/>
        <item m="1" x="313"/>
        <item x="134"/>
        <item x="38"/>
        <item x="51"/>
        <item m="1" x="232"/>
        <item x="101"/>
        <item m="1" x="282"/>
        <item m="1" x="272"/>
        <item m="1" x="296"/>
        <item m="1" x="338"/>
        <item m="1" x="350"/>
        <item m="1" x="362"/>
        <item m="1" x="242"/>
        <item m="1" x="383"/>
        <item m="1" x="278"/>
        <item m="1" x="218"/>
        <item m="1" x="328"/>
        <item x="18"/>
        <item m="1" x="240"/>
        <item x="124"/>
        <item m="1" x="366"/>
        <item m="1" x="267"/>
        <item m="1" x="324"/>
        <item x="57"/>
        <item x="135"/>
        <item m="1" x="371"/>
        <item x="7"/>
        <item m="1" x="292"/>
        <item m="1" x="289"/>
        <item m="1" x="318"/>
        <item x="139"/>
        <item x="11"/>
        <item x="21"/>
        <item m="1" x="275"/>
        <item x="143"/>
        <item x="29"/>
        <item x="93"/>
        <item x="56"/>
        <item m="1" x="312"/>
        <item x="84"/>
        <item x="145"/>
        <item m="1" x="355"/>
        <item x="140"/>
        <item m="1" x="334"/>
        <item m="1" x="235"/>
        <item x="122"/>
        <item m="1" x="252"/>
        <item x="155"/>
        <item x="30"/>
        <item m="1" x="236"/>
        <item m="1" x="363"/>
        <item m="1" x="357"/>
        <item m="1" x="221"/>
        <item m="1" x="207"/>
        <item m="1" x="286"/>
        <item m="1" x="276"/>
        <item x="129"/>
        <item m="1" x="217"/>
        <item x="15"/>
        <item m="1" x="234"/>
        <item m="1" x="228"/>
        <item x="189"/>
        <item x="127"/>
        <item m="1" x="251"/>
        <item m="1" x="364"/>
        <item x="72"/>
        <item m="1" x="231"/>
        <item x="25"/>
        <item m="1" x="250"/>
        <item x="46"/>
        <item m="1" x="343"/>
        <item m="1" x="339"/>
        <item m="1" x="225"/>
        <item m="1" x="280"/>
        <item m="1" x="220"/>
        <item x="24"/>
        <item x="88"/>
        <item x="16"/>
        <item m="1" x="321"/>
        <item x="136"/>
        <item m="1" x="301"/>
        <item m="1" x="302"/>
        <item m="1" x="331"/>
        <item x="95"/>
        <item m="1" x="329"/>
        <item m="1" x="238"/>
        <item x="110"/>
        <item x="132"/>
        <item x="22"/>
        <item m="1" x="354"/>
        <item m="1" x="360"/>
        <item x="103"/>
        <item x="53"/>
        <item m="1" x="346"/>
        <item m="1" x="303"/>
        <item m="1" x="316"/>
        <item m="1" x="325"/>
        <item m="1" x="288"/>
        <item x="60"/>
        <item x="130"/>
        <item m="1" x="253"/>
        <item m="1" x="386"/>
        <item m="1" x="390"/>
        <item m="1" x="264"/>
        <item m="1" x="245"/>
        <item m="1" x="359"/>
        <item x="131"/>
        <item m="1" x="298"/>
        <item m="1" x="273"/>
        <item m="1" x="323"/>
        <item m="1" x="304"/>
        <item x="58"/>
        <item x="108"/>
        <item m="1" x="319"/>
        <item x="112"/>
        <item x="4"/>
        <item x="138"/>
        <item m="1" x="285"/>
        <item m="1" x="342"/>
        <item m="1" x="372"/>
        <item m="1" x="308"/>
        <item x="13"/>
        <item m="1" x="213"/>
        <item x="62"/>
        <item x="10"/>
        <item x="52"/>
        <item x="2"/>
        <item x="49"/>
        <item x="87"/>
        <item x="188"/>
        <item m="1" x="244"/>
        <item x="76"/>
        <item m="1" x="290"/>
        <item x="190"/>
        <item m="1" x="352"/>
        <item m="1" x="227"/>
        <item m="1" x="387"/>
        <item m="1" x="257"/>
        <item x="1"/>
        <item x="193"/>
        <item m="1" x="284"/>
        <item m="1" x="294"/>
        <item m="1" x="209"/>
        <item x="120"/>
        <item m="1" x="243"/>
        <item x="69"/>
        <item m="1" x="332"/>
        <item x="48"/>
        <item m="1" x="263"/>
        <item m="1" x="349"/>
        <item m="1" x="333"/>
        <item x="61"/>
        <item x="78"/>
        <item x="14"/>
        <item m="1" x="268"/>
        <item x="54"/>
        <item m="1" x="322"/>
        <item x="191"/>
        <item m="1" x="215"/>
        <item x="121"/>
        <item m="1" x="345"/>
        <item x="105"/>
        <item x="92"/>
        <item m="1" x="266"/>
        <item m="1" x="370"/>
        <item m="1" x="261"/>
        <item m="1" x="388"/>
        <item m="1" x="368"/>
        <item x="43"/>
        <item m="1" x="367"/>
        <item x="111"/>
        <item x="63"/>
        <item x="19"/>
        <item m="1" x="283"/>
        <item m="1" x="337"/>
        <item x="109"/>
        <item x="80"/>
        <item x="81"/>
        <item m="1" x="258"/>
        <item m="1" x="356"/>
        <item m="1" x="307"/>
        <item m="1" x="373"/>
        <item m="1" x="382"/>
        <item m="1" x="374"/>
        <item m="1" x="375"/>
        <item m="1" x="379"/>
        <item m="1" x="380"/>
        <item m="1" x="381"/>
        <item m="1" x="376"/>
        <item m="1" x="377"/>
        <item m="1" x="378"/>
        <item x="115"/>
        <item x="35"/>
        <item m="1" x="229"/>
        <item x="100"/>
        <item x="75"/>
        <item m="1" x="365"/>
        <item x="137"/>
        <item x="32"/>
        <item x="71"/>
        <item x="77"/>
        <item x="64"/>
        <item x="89"/>
        <item x="133"/>
        <item m="1" x="233"/>
        <item m="1" x="347"/>
        <item m="1" x="226"/>
        <item x="65"/>
        <item m="1" x="214"/>
        <item m="1" x="293"/>
        <item x="204"/>
        <item x="119"/>
        <item m="1" x="336"/>
        <item x="74"/>
        <item m="1" x="239"/>
        <item m="1" x="314"/>
        <item x="66"/>
        <item m="1" x="315"/>
        <item m="1" x="210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2"/>
        <item m="1" x="8"/>
        <item m="1" x="9"/>
        <item x="6"/>
        <item x="5"/>
        <item x="0"/>
        <item x="3"/>
        <item x="1"/>
        <item x="4"/>
        <item m="1" x="7"/>
        <item t="default"/>
      </items>
    </pivotField>
    <pivotField axis="axisRow" showAll="0">
      <items count="25">
        <item x="1"/>
        <item x="2"/>
        <item x="10"/>
        <item x="9"/>
        <item m="1" x="16"/>
        <item m="1" x="21"/>
        <item x="12"/>
        <item m="1" x="23"/>
        <item m="1" x="14"/>
        <item m="1" x="20"/>
        <item x="0"/>
        <item m="1" x="19"/>
        <item m="1" x="17"/>
        <item m="1" x="15"/>
        <item x="4"/>
        <item m="1" x="13"/>
        <item x="3"/>
        <item m="1" x="22"/>
        <item x="11"/>
        <item x="7"/>
        <item x="6"/>
        <item x="8"/>
        <item m="1" x="18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ame="Estado" axis="axisPage" showAll="0">
      <items count="8">
        <item m="1" x="3"/>
        <item x="1"/>
        <item x="0"/>
        <item m="1" x="6"/>
        <item m="1" x="5"/>
        <item m="1" x="2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3">
    <field x="10"/>
    <field x="11"/>
    <field x="2"/>
  </rowFields>
  <rowItems count="51">
    <i>
      <x v="4"/>
    </i>
    <i r="1">
      <x v="14"/>
    </i>
    <i r="2">
      <x v="43"/>
    </i>
    <i r="2">
      <x v="156"/>
    </i>
    <i r="1">
      <x v="16"/>
    </i>
    <i r="2">
      <x v="145"/>
    </i>
    <i r="1">
      <x v="20"/>
    </i>
    <i r="2">
      <x v="335"/>
    </i>
    <i>
      <x v="5"/>
    </i>
    <i r="1">
      <x/>
    </i>
    <i r="2">
      <x v="83"/>
    </i>
    <i r="1">
      <x v="14"/>
    </i>
    <i r="2">
      <x v="246"/>
    </i>
    <i r="1">
      <x v="16"/>
    </i>
    <i r="2">
      <x v="112"/>
    </i>
    <i r="2">
      <x v="283"/>
    </i>
    <i r="1">
      <x v="21"/>
    </i>
    <i r="2">
      <x v="167"/>
    </i>
    <i>
      <x v="6"/>
    </i>
    <i r="1">
      <x/>
    </i>
    <i r="2">
      <x v="35"/>
    </i>
    <i r="1">
      <x v="1"/>
    </i>
    <i r="2">
      <x v="41"/>
    </i>
    <i r="2">
      <x v="49"/>
    </i>
    <i r="2">
      <x v="343"/>
    </i>
    <i r="1">
      <x v="10"/>
    </i>
    <i r="2">
      <x v="85"/>
    </i>
    <i r="2">
      <x v="344"/>
    </i>
    <i r="1">
      <x v="14"/>
    </i>
    <i r="2">
      <x v="221"/>
    </i>
    <i r="1">
      <x v="21"/>
    </i>
    <i r="2">
      <x v="371"/>
    </i>
    <i>
      <x v="7"/>
    </i>
    <i r="1">
      <x/>
    </i>
    <i r="2">
      <x v="372"/>
    </i>
    <i r="1">
      <x v="16"/>
    </i>
    <i r="2">
      <x v="385"/>
    </i>
    <i r="1">
      <x v="20"/>
    </i>
    <i r="2">
      <x v="199"/>
    </i>
    <i r="1">
      <x v="21"/>
    </i>
    <i r="2">
      <x v="201"/>
    </i>
    <i r="2">
      <x v="320"/>
    </i>
    <i r="2">
      <x v="364"/>
    </i>
    <i>
      <x v="8"/>
    </i>
    <i r="1">
      <x v="1"/>
    </i>
    <i r="2">
      <x v="114"/>
    </i>
    <i r="2">
      <x v="345"/>
    </i>
    <i r="2">
      <x v="354"/>
    </i>
    <i r="1">
      <x v="16"/>
    </i>
    <i r="2">
      <x v="375"/>
    </i>
    <i t="grand">
      <x/>
    </i>
  </rowItems>
  <colItems count="1">
    <i/>
  </colItems>
  <pageFields count="1">
    <pageField fld="29" item="1" hier="-1"/>
  </pageFields>
  <dataFields count="1">
    <dataField name="N° Volunt." fld="27" baseField="0" baseItem="0"/>
  </dataFields>
  <formats count="1">
    <format dxfId="19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6EC317-81BB-400C-8AC8-7DF9FEF527BC}" name="TD_Limitaciones" cacheId="3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rowHeaderCaption="Limitaciones">
  <location ref="E6:F13" firstHeaderRow="1" firstDataRow="1" firstDataCol="1" rowPageCount="3" colPageCount="1"/>
  <pivotFields count="52">
    <pivotField showAll="0"/>
    <pivotField showAll="0"/>
    <pivotField showAll="0"/>
    <pivotField numFmtId="14" showAll="0"/>
    <pivotField showAll="0"/>
    <pivotField showAll="0"/>
    <pivotField showAll="0"/>
    <pivotField showAll="0"/>
    <pivotField name="Rol" axis="axisPage" showAll="0">
      <items count="8">
        <item x="3"/>
        <item x="1"/>
        <item x="0"/>
        <item m="1" x="6"/>
        <item x="4"/>
        <item x="5"/>
        <item x="2"/>
        <item t="default"/>
      </items>
    </pivotField>
    <pivotField showAll="0"/>
    <pivotField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showAll="0"/>
    <pivotField showAll="0"/>
    <pivotField showAll="0"/>
    <pivotField axis="axisRow" showAll="0">
      <items count="20">
        <item x="2"/>
        <item m="1" x="15"/>
        <item m="1" x="17"/>
        <item m="1" x="12"/>
        <item m="1" x="9"/>
        <item x="1"/>
        <item x="0"/>
        <item m="1" x="16"/>
        <item m="1" x="13"/>
        <item x="3"/>
        <item m="1" x="14"/>
        <item m="1" x="10"/>
        <item m="1" x="11"/>
        <item m="1" x="18"/>
        <item m="1" x="8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ame="Avisado " axis="axisPage" multipleItemSelectionAllowed="1" showAll="0">
      <items count="12">
        <item h="1" m="1" x="5"/>
        <item m="1" x="10"/>
        <item m="1" x="8"/>
        <item x="0"/>
        <item m="1" x="7"/>
        <item h="1" x="1"/>
        <item m="1" x="4"/>
        <item m="1" x="6"/>
        <item m="1" x="3"/>
        <item m="1" x="9"/>
        <item h="1" m="1" x="2"/>
        <item t="default"/>
      </items>
    </pivotField>
    <pivotField name="Estado" axis="axisPage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showAll="0"/>
  </pivotFields>
  <rowFields count="1">
    <field x="14"/>
  </rowFields>
  <rowItems count="7">
    <i>
      <x/>
    </i>
    <i>
      <x v="5"/>
    </i>
    <i>
      <x v="6"/>
    </i>
    <i>
      <x v="9"/>
    </i>
    <i>
      <x v="15"/>
    </i>
    <i>
      <x v="16"/>
    </i>
    <i t="grand">
      <x/>
    </i>
  </rowItems>
  <colItems count="1">
    <i/>
  </colItems>
  <pageFields count="3">
    <pageField fld="8" hier="-1"/>
    <pageField fld="29" hier="-1"/>
    <pageField fld="28" hier="-1"/>
  </pageFields>
  <dataFields count="1">
    <dataField name="N° Volunt." fld="27" baseField="0" baseItem="0"/>
  </dataFields>
  <formats count="2">
    <format dxfId="200">
      <pivotArea field="10" type="button" dataOnly="0" labelOnly="1" outline="0"/>
    </format>
    <format dxfId="199">
      <pivotArea dataOnly="0" labelOnly="1" outline="0" axis="axisValues" fieldPosition="0"/>
    </format>
  </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82EC5-EB24-4529-93AA-4754D1884088}" name="TablaDinámica1" cacheId="351" applyNumberFormats="0" applyBorderFormats="0" applyFontFormats="0" applyPatternFormats="0" applyAlignmentFormats="0" applyWidthHeightFormats="1" dataCaption="Valores" tag="82a57178-1904-4d02-8bff-11ff7184b1c8" updatedVersion="8" minRefreshableVersion="3" itemPrintTitles="1" createdVersion="8" indent="0" compact="0" compactData="0" multipleFieldFilters="0">
  <location ref="A5:L214" firstHeaderRow="0" firstDataRow="1" firstDataCol="7" rowPageCount="3" colPageCount="1"/>
  <pivotFields count="15">
    <pivotField name="Distrito "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Grupo " axis="axisRow" compact="0" allDrilled="1" outline="0" subtotalTop="0" showAll="0" dataSourceSort="1" defaultSubtotal="0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ombre Completo" axis="axisRow" compact="0" allDrilled="1" outline="0" subtotalTop="0" showAll="0" dataSourceSort="1" defaultSubtotal="0" defaultAttributeDrillState="1">
      <items count="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</items>
    </pivotField>
    <pivotField name="Rama Curso"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name="R.U.N." axis="axisRow" compact="0" allDrilled="1" outline="0" subtotalTop="0" showAll="0" dataSourceSort="1" defaultSubtotal="0" defaultAttributeDrillState="1">
      <items count="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</items>
    </pivotField>
    <pivotField name="Correo Electrónico" axis="axisRow" compact="0" allDrilled="1" outline="0" subtotalTop="0" showAll="0" dataSourceSort="1" defaultSubtotal="0" defaultAttributeDrillState="1">
      <items count="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</items>
    </pivotField>
    <pivotField name="Fono " axis="axisRow" compact="0" allDrilled="1" outline="0" subtotalTop="0" showAll="0" dataSourceSort="1" defaultSubtotal="0" defaultAttributeDrillState="1">
      <items count="20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name="Rol " axis="axisPage" compact="0" allDrilled="1" outline="0" subtotalTop="0" showAll="0" dataSourceSort="1" defaultSubtotal="0" defaultAttributeDrillState="1"/>
    <pivotField name="Estado " axis="axisPage" compact="0" allDrilled="1" outline="0" subtotalTop="0" showAll="0" dataSourceSort="1" defaultSubtotal="0" defaultAttributeDrillState="1"/>
    <pivotField dataField="1" compact="0" outline="0" subtotalTop="0" showAll="0" defaultSubtotal="0"/>
    <pivotField name="Avisado " axis="axisPage"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7">
    <field x="0"/>
    <field x="1"/>
    <field x="2"/>
    <field x="3"/>
    <field x="4"/>
    <field x="5"/>
    <field x="6"/>
  </rowFields>
  <rowItems count="209">
    <i>
      <x/>
      <x/>
      <x/>
      <x/>
      <x/>
      <x/>
      <x/>
    </i>
    <i r="2">
      <x v="1"/>
      <x v="1"/>
      <x v="1"/>
      <x v="1"/>
      <x v="1"/>
    </i>
    <i r="2">
      <x v="2"/>
      <x v="2"/>
      <x v="2"/>
      <x v="2"/>
      <x v="2"/>
    </i>
    <i r="1">
      <x v="1"/>
      <x v="3"/>
      <x v="3"/>
      <x v="3"/>
      <x v="3"/>
      <x v="3"/>
    </i>
    <i r="1">
      <x v="2"/>
      <x v="4"/>
      <x v="2"/>
      <x v="4"/>
      <x v="4"/>
      <x v="4"/>
    </i>
    <i r="1">
      <x v="3"/>
      <x v="5"/>
      <x v="1"/>
      <x v="5"/>
      <x v="5"/>
      <x v="5"/>
    </i>
    <i r="1">
      <x v="4"/>
      <x v="6"/>
      <x v="1"/>
      <x v="6"/>
      <x v="6"/>
      <x v="6"/>
    </i>
    <i r="2">
      <x v="7"/>
      <x v="3"/>
      <x v="7"/>
      <x v="7"/>
      <x v="7"/>
    </i>
    <i r="2">
      <x v="8"/>
      <x v="4"/>
      <x v="8"/>
      <x v="8"/>
      <x v="8"/>
    </i>
    <i r="2">
      <x v="9"/>
      <x v="4"/>
      <x v="9"/>
      <x v="9"/>
      <x v="9"/>
    </i>
    <i r="2">
      <x v="10"/>
      <x v="1"/>
      <x v="10"/>
      <x v="10"/>
      <x v="10"/>
    </i>
    <i r="2">
      <x v="11"/>
      <x v="4"/>
      <x v="11"/>
      <x v="11"/>
      <x v="11"/>
    </i>
    <i r="2">
      <x v="12"/>
      <x/>
      <x v="12"/>
      <x v="12"/>
      <x v="12"/>
    </i>
    <i r="2">
      <x v="13"/>
      <x v="3"/>
      <x v="13"/>
      <x v="13"/>
      <x v="13"/>
    </i>
    <i r="2">
      <x v="14"/>
      <x v="1"/>
      <x v="14"/>
      <x v="14"/>
      <x v="14"/>
    </i>
    <i r="2">
      <x v="15"/>
      <x v="5"/>
      <x v="15"/>
      <x v="15"/>
      <x v="15"/>
    </i>
    <i r="1">
      <x v="5"/>
      <x v="16"/>
      <x v="5"/>
      <x v="16"/>
      <x v="16"/>
      <x v="16"/>
    </i>
    <i r="2">
      <x v="17"/>
      <x v="4"/>
      <x v="17"/>
      <x v="17"/>
      <x v="17"/>
    </i>
    <i r="2">
      <x v="18"/>
      <x v="4"/>
      <x v="18"/>
      <x v="18"/>
      <x v="18"/>
    </i>
    <i r="2">
      <x v="19"/>
      <x v="2"/>
      <x v="19"/>
      <x v="19"/>
      <x v="19"/>
    </i>
    <i r="2">
      <x v="20"/>
      <x v="5"/>
      <x v="20"/>
      <x v="20"/>
      <x v="20"/>
    </i>
    <i r="2">
      <x v="21"/>
      <x v="2"/>
      <x v="21"/>
      <x v="21"/>
      <x v="21"/>
    </i>
    <i r="2">
      <x v="22"/>
      <x v="4"/>
      <x v="22"/>
      <x v="22"/>
      <x v="22"/>
    </i>
    <i r="2">
      <x v="23"/>
      <x v="2"/>
      <x v="23"/>
      <x v="23"/>
      <x v="23"/>
    </i>
    <i r="1">
      <x v="6"/>
      <x v="24"/>
      <x v="3"/>
      <x v="24"/>
      <x v="24"/>
      <x v="24"/>
    </i>
    <i r="1">
      <x v="7"/>
      <x v="25"/>
      <x/>
      <x v="25"/>
      <x v="25"/>
      <x v="25"/>
    </i>
    <i>
      <x v="1"/>
      <x v="8"/>
      <x v="26"/>
      <x v="2"/>
      <x v="26"/>
      <x v="26"/>
      <x v="26"/>
    </i>
    <i r="2">
      <x v="27"/>
      <x v="5"/>
      <x v="27"/>
      <x v="27"/>
      <x v="27"/>
    </i>
    <i r="2">
      <x v="28"/>
      <x v="5"/>
      <x v="28"/>
      <x v="28"/>
      <x v="28"/>
    </i>
    <i r="2">
      <x v="29"/>
      <x v="5"/>
      <x v="29"/>
      <x v="29"/>
      <x v="29"/>
    </i>
    <i r="2">
      <x v="30"/>
      <x v="1"/>
      <x v="30"/>
      <x v="30"/>
      <x v="30"/>
    </i>
    <i r="2">
      <x v="31"/>
      <x/>
      <x v="31"/>
      <x v="31"/>
      <x v="31"/>
    </i>
    <i r="2">
      <x v="32"/>
      <x v="4"/>
      <x v="32"/>
      <x v="32"/>
      <x v="32"/>
    </i>
    <i r="2">
      <x v="33"/>
      <x v="1"/>
      <x v="33"/>
      <x v="33"/>
      <x v="33"/>
    </i>
    <i r="2">
      <x v="34"/>
      <x v="5"/>
      <x v="34"/>
      <x v="34"/>
      <x v="34"/>
    </i>
    <i r="1">
      <x v="9"/>
      <x v="35"/>
      <x v="4"/>
      <x v="35"/>
      <x v="35"/>
      <x v="35"/>
    </i>
    <i r="2">
      <x v="36"/>
      <x/>
      <x v="36"/>
      <x v="36"/>
      <x v="36"/>
    </i>
    <i r="2">
      <x v="37"/>
      <x v="2"/>
      <x v="37"/>
      <x v="37"/>
      <x v="37"/>
    </i>
    <i r="2">
      <x v="38"/>
      <x v="5"/>
      <x v="38"/>
      <x v="38"/>
      <x v="38"/>
    </i>
    <i r="2">
      <x v="39"/>
      <x v="3"/>
      <x v="39"/>
      <x v="39"/>
      <x v="39"/>
    </i>
    <i r="2">
      <x v="40"/>
      <x v="5"/>
      <x v="40"/>
      <x v="40"/>
      <x v="40"/>
    </i>
    <i r="2">
      <x v="41"/>
      <x v="3"/>
      <x v="41"/>
      <x v="41"/>
      <x v="41"/>
    </i>
    <i r="2">
      <x v="42"/>
      <x v="3"/>
      <x v="42"/>
      <x v="42"/>
      <x v="42"/>
    </i>
    <i r="2">
      <x v="43"/>
      <x v="1"/>
      <x v="43"/>
      <x v="43"/>
      <x v="43"/>
    </i>
    <i r="2">
      <x v="44"/>
      <x v="5"/>
      <x v="44"/>
      <x v="44"/>
      <x v="44"/>
    </i>
    <i r="2">
      <x v="45"/>
      <x v="1"/>
      <x v="45"/>
      <x v="45"/>
      <x v="45"/>
    </i>
    <i r="2">
      <x v="46"/>
      <x v="4"/>
      <x v="46"/>
      <x v="46"/>
      <x v="46"/>
    </i>
    <i r="2">
      <x v="47"/>
      <x v="4"/>
      <x v="47"/>
      <x v="47"/>
      <x v="47"/>
    </i>
    <i r="2">
      <x v="48"/>
      <x v="2"/>
      <x v="48"/>
      <x v="48"/>
      <x v="48"/>
    </i>
    <i r="2">
      <x v="49"/>
      <x/>
      <x v="49"/>
      <x v="49"/>
      <x v="49"/>
    </i>
    <i r="2">
      <x v="50"/>
      <x v="4"/>
      <x v="50"/>
      <x v="50"/>
      <x v="50"/>
    </i>
    <i r="2">
      <x v="51"/>
      <x v="3"/>
      <x v="51"/>
      <x v="51"/>
      <x v="51"/>
    </i>
    <i r="2">
      <x v="52"/>
      <x/>
      <x v="52"/>
      <x v="52"/>
      <x v="52"/>
    </i>
    <i r="1">
      <x v="10"/>
      <x v="53"/>
      <x v="3"/>
      <x v="53"/>
      <x v="53"/>
      <x v="53"/>
    </i>
    <i r="2">
      <x v="54"/>
      <x v="2"/>
      <x v="54"/>
      <x v="54"/>
      <x v="54"/>
    </i>
    <i r="2">
      <x v="55"/>
      <x v="4"/>
      <x v="55"/>
      <x v="55"/>
      <x v="55"/>
    </i>
    <i r="2">
      <x v="56"/>
      <x v="4"/>
      <x v="56"/>
      <x v="56"/>
      <x v="56"/>
    </i>
    <i r="2">
      <x v="57"/>
      <x v="2"/>
      <x v="57"/>
      <x v="57"/>
      <x v="57"/>
    </i>
    <i r="2">
      <x v="58"/>
      <x v="3"/>
      <x v="58"/>
      <x v="58"/>
      <x v="58"/>
    </i>
    <i r="2">
      <x v="59"/>
      <x v="5"/>
      <x v="59"/>
      <x v="59"/>
      <x v="59"/>
    </i>
    <i r="2">
      <x v="60"/>
      <x/>
      <x v="60"/>
      <x v="60"/>
      <x v="60"/>
    </i>
    <i r="2">
      <x v="61"/>
      <x/>
      <x v="61"/>
      <x v="61"/>
      <x v="61"/>
    </i>
    <i r="2">
      <x v="62"/>
      <x v="4"/>
      <x v="62"/>
      <x v="62"/>
      <x v="62"/>
    </i>
    <i r="2">
      <x v="63"/>
      <x v="5"/>
      <x v="63"/>
      <x v="63"/>
      <x v="63"/>
    </i>
    <i r="2">
      <x v="64"/>
      <x v="5"/>
      <x v="64"/>
      <x v="64"/>
      <x v="64"/>
    </i>
    <i r="2">
      <x v="65"/>
      <x v="4"/>
      <x v="65"/>
      <x v="65"/>
      <x v="65"/>
    </i>
    <i r="2">
      <x v="66"/>
      <x v="5"/>
      <x v="66"/>
      <x v="66"/>
      <x v="66"/>
    </i>
    <i r="1">
      <x v="11"/>
      <x v="67"/>
      <x v="3"/>
      <x v="67"/>
      <x v="67"/>
      <x v="67"/>
    </i>
    <i r="2">
      <x v="68"/>
      <x/>
      <x v="68"/>
      <x v="68"/>
      <x v="68"/>
    </i>
    <i r="2">
      <x v="69"/>
      <x v="4"/>
      <x v="69"/>
      <x v="69"/>
      <x v="69"/>
    </i>
    <i r="2">
      <x v="70"/>
      <x v="3"/>
      <x v="70"/>
      <x v="70"/>
      <x v="70"/>
    </i>
    <i r="2">
      <x v="71"/>
      <x/>
      <x v="71"/>
      <x v="71"/>
      <x v="71"/>
    </i>
    <i r="2">
      <x v="72"/>
      <x/>
      <x v="72"/>
      <x v="72"/>
      <x v="72"/>
    </i>
    <i>
      <x v="2"/>
      <x v="12"/>
      <x v="73"/>
      <x v="2"/>
      <x v="73"/>
      <x v="73"/>
      <x v="73"/>
    </i>
    <i r="1">
      <x v="13"/>
      <x v="74"/>
      <x v="4"/>
      <x v="74"/>
      <x v="74"/>
      <x v="74"/>
    </i>
    <i>
      <x v="3"/>
      <x v="14"/>
      <x v="75"/>
      <x v="6"/>
      <x v="75"/>
      <x v="75"/>
      <x v="75"/>
    </i>
    <i r="1">
      <x v="9"/>
      <x v="76"/>
      <x/>
      <x v="76"/>
      <x v="76"/>
      <x v="76"/>
    </i>
    <i>
      <x v="4"/>
      <x v="15"/>
      <x v="77"/>
      <x v="1"/>
      <x v="77"/>
      <x v="77"/>
      <x v="77"/>
    </i>
    <i>
      <x v="5"/>
      <x v="16"/>
      <x v="78"/>
      <x v="4"/>
      <x v="78"/>
      <x v="78"/>
      <x v="78"/>
    </i>
    <i r="1">
      <x v="17"/>
      <x v="79"/>
      <x v="6"/>
      <x v="79"/>
      <x v="79"/>
      <x v="79"/>
    </i>
    <i r="2">
      <x v="80"/>
      <x v="5"/>
      <x v="80"/>
      <x v="80"/>
      <x v="80"/>
    </i>
    <i r="1">
      <x v="18"/>
      <x v="81"/>
      <x v="5"/>
      <x v="81"/>
      <x v="81"/>
      <x v="81"/>
    </i>
    <i r="2">
      <x v="82"/>
      <x v="4"/>
      <x v="82"/>
      <x v="82"/>
      <x v="82"/>
    </i>
    <i r="2">
      <x v="83"/>
      <x v="3"/>
      <x v="83"/>
      <x v="83"/>
      <x v="83"/>
    </i>
    <i r="2">
      <x v="84"/>
      <x/>
      <x v="84"/>
      <x v="84"/>
      <x v="84"/>
    </i>
    <i r="2">
      <x v="85"/>
      <x/>
      <x v="85"/>
      <x v="85"/>
      <x v="85"/>
    </i>
    <i r="2">
      <x v="86"/>
      <x v="1"/>
      <x v="86"/>
      <x v="86"/>
      <x v="86"/>
    </i>
    <i r="1">
      <x v="19"/>
      <x v="87"/>
      <x v="4"/>
      <x v="87"/>
      <x v="87"/>
      <x v="87"/>
    </i>
    <i r="2">
      <x v="88"/>
      <x v="5"/>
      <x v="88"/>
      <x v="88"/>
      <x v="88"/>
    </i>
    <i r="2">
      <x v="89"/>
      <x/>
      <x v="89"/>
      <x v="89"/>
      <x v="89"/>
    </i>
    <i r="1">
      <x v="20"/>
      <x v="90"/>
      <x v="2"/>
      <x v="90"/>
      <x v="90"/>
      <x v="90"/>
    </i>
    <i r="2">
      <x v="91"/>
      <x v="4"/>
      <x v="91"/>
      <x v="91"/>
      <x v="91"/>
    </i>
    <i r="2">
      <x v="92"/>
      <x/>
      <x v="92"/>
      <x v="92"/>
      <x v="92"/>
    </i>
    <i r="2">
      <x v="93"/>
      <x v="5"/>
      <x v="93"/>
      <x v="93"/>
      <x v="93"/>
    </i>
    <i r="1">
      <x v="21"/>
      <x v="94"/>
      <x v="2"/>
      <x v="94"/>
      <x v="94"/>
      <x v="94"/>
    </i>
    <i r="2">
      <x v="95"/>
      <x v="4"/>
      <x v="95"/>
      <x v="95"/>
      <x v="95"/>
    </i>
    <i r="1">
      <x v="22"/>
      <x v="96"/>
      <x v="2"/>
      <x v="96"/>
      <x v="96"/>
      <x v="96"/>
    </i>
    <i r="2">
      <x v="97"/>
      <x v="2"/>
      <x v="97"/>
      <x v="97"/>
      <x v="97"/>
    </i>
    <i r="2">
      <x v="98"/>
      <x v="5"/>
      <x v="98"/>
      <x v="98"/>
      <x v="98"/>
    </i>
    <i r="2">
      <x v="99"/>
      <x v="3"/>
      <x v="99"/>
      <x v="99"/>
      <x v="99"/>
    </i>
    <i r="2">
      <x v="100"/>
      <x v="4"/>
      <x v="100"/>
      <x v="100"/>
      <x v="100"/>
    </i>
    <i>
      <x v="6"/>
      <x v="23"/>
      <x v="101"/>
      <x v="2"/>
      <x v="101"/>
      <x v="101"/>
      <x v="101"/>
    </i>
    <i r="2">
      <x v="102"/>
      <x v="3"/>
      <x v="102"/>
      <x v="102"/>
      <x v="102"/>
    </i>
    <i r="1">
      <x v="24"/>
      <x v="103"/>
      <x v="6"/>
      <x v="103"/>
      <x v="103"/>
      <x v="103"/>
    </i>
    <i r="2">
      <x v="104"/>
      <x v="6"/>
      <x v="104"/>
      <x v="104"/>
      <x v="104"/>
    </i>
    <i r="1">
      <x v="14"/>
      <x v="105"/>
      <x v="6"/>
      <x v="105"/>
      <x v="105"/>
      <x v="105"/>
    </i>
    <i r="1">
      <x v="25"/>
      <x v="106"/>
      <x/>
      <x v="106"/>
      <x v="106"/>
      <x v="106"/>
    </i>
    <i r="2">
      <x v="107"/>
      <x v="2"/>
      <x v="107"/>
      <x v="107"/>
      <x v="107"/>
    </i>
    <i r="2">
      <x v="108"/>
      <x v="5"/>
      <x v="108"/>
      <x v="108"/>
      <x v="108"/>
    </i>
    <i r="1">
      <x v="26"/>
      <x v="109"/>
      <x/>
      <x v="109"/>
      <x v="109"/>
      <x v="109"/>
    </i>
    <i r="1">
      <x v="27"/>
      <x v="110"/>
      <x v="2"/>
      <x v="110"/>
      <x v="110"/>
      <x v="110"/>
    </i>
    <i r="2">
      <x v="111"/>
      <x v="5"/>
      <x v="111"/>
      <x v="111"/>
      <x v="111"/>
    </i>
    <i r="2">
      <x v="112"/>
      <x v="3"/>
      <x v="112"/>
      <x v="112"/>
      <x v="112"/>
    </i>
    <i r="2">
      <x v="113"/>
      <x v="5"/>
      <x v="113"/>
      <x v="113"/>
      <x v="113"/>
    </i>
    <i r="2">
      <x v="114"/>
      <x v="4"/>
      <x v="114"/>
      <x v="114"/>
      <x v="114"/>
    </i>
    <i r="2">
      <x v="115"/>
      <x v="1"/>
      <x v="115"/>
      <x v="115"/>
      <x v="115"/>
    </i>
    <i r="2">
      <x v="116"/>
      <x/>
      <x v="116"/>
      <x v="116"/>
      <x v="116"/>
    </i>
    <i r="2">
      <x v="117"/>
      <x v="5"/>
      <x v="117"/>
      <x v="117"/>
      <x v="117"/>
    </i>
    <i r="1">
      <x v="28"/>
      <x v="118"/>
      <x v="3"/>
      <x v="118"/>
      <x v="118"/>
      <x v="118"/>
    </i>
    <i r="2">
      <x v="119"/>
      <x v="4"/>
      <x v="119"/>
      <x v="119"/>
      <x v="119"/>
    </i>
    <i r="2">
      <x v="120"/>
      <x v="2"/>
      <x v="120"/>
      <x v="120"/>
      <x v="120"/>
    </i>
    <i>
      <x v="7"/>
      <x v="29"/>
      <x v="121"/>
      <x/>
      <x v="121"/>
      <x v="121"/>
      <x v="121"/>
    </i>
    <i r="2">
      <x v="122"/>
      <x/>
      <x v="122"/>
      <x v="122"/>
      <x v="122"/>
    </i>
    <i r="2">
      <x v="123"/>
      <x v="5"/>
      <x v="123"/>
      <x v="123"/>
      <x v="123"/>
    </i>
    <i r="1">
      <x v="30"/>
      <x v="124"/>
      <x v="4"/>
      <x v="124"/>
      <x v="124"/>
      <x v="124"/>
    </i>
    <i r="1">
      <x v="31"/>
      <x v="125"/>
      <x v="5"/>
      <x v="125"/>
      <x v="125"/>
      <x v="125"/>
    </i>
    <i r="2">
      <x v="126"/>
      <x v="2"/>
      <x v="126"/>
      <x v="126"/>
      <x v="126"/>
    </i>
    <i r="2">
      <x v="127"/>
      <x/>
      <x v="127"/>
      <x v="127"/>
      <x v="127"/>
    </i>
    <i r="2">
      <x v="128"/>
      <x v="2"/>
      <x v="128"/>
      <x v="128"/>
      <x v="128"/>
    </i>
    <i r="2">
      <x v="129"/>
      <x v="4"/>
      <x v="129"/>
      <x v="129"/>
      <x v="129"/>
    </i>
    <i r="2">
      <x v="130"/>
      <x v="3"/>
      <x v="130"/>
      <x v="130"/>
      <x v="130"/>
    </i>
    <i r="2">
      <x v="131"/>
      <x v="1"/>
      <x v="131"/>
      <x v="131"/>
      <x v="131"/>
    </i>
    <i r="1">
      <x v="32"/>
      <x v="132"/>
      <x v="3"/>
      <x v="132"/>
      <x v="132"/>
      <x v="132"/>
    </i>
    <i r="2">
      <x v="133"/>
      <x v="2"/>
      <x v="133"/>
      <x v="133"/>
      <x v="133"/>
    </i>
    <i r="1">
      <x v="33"/>
      <x v="134"/>
      <x v="2"/>
      <x v="134"/>
      <x v="134"/>
      <x v="134"/>
    </i>
    <i r="2">
      <x v="135"/>
      <x v="5"/>
      <x v="135"/>
      <x v="135"/>
      <x v="135"/>
    </i>
    <i r="2">
      <x v="136"/>
      <x/>
      <x v="136"/>
      <x v="136"/>
      <x v="136"/>
    </i>
    <i r="2">
      <x v="137"/>
      <x v="4"/>
      <x v="137"/>
      <x v="137"/>
      <x v="137"/>
    </i>
    <i r="2">
      <x v="138"/>
      <x v="1"/>
      <x v="138"/>
      <x v="138"/>
      <x v="138"/>
    </i>
    <i r="2">
      <x v="139"/>
      <x v="3"/>
      <x v="139"/>
      <x v="139"/>
      <x v="139"/>
    </i>
    <i r="1">
      <x v="34"/>
      <x v="140"/>
      <x v="1"/>
      <x v="140"/>
      <x v="140"/>
      <x v="140"/>
    </i>
    <i r="1">
      <x v="35"/>
      <x v="141"/>
      <x v="1"/>
      <x v="141"/>
      <x v="141"/>
      <x v="141"/>
    </i>
    <i r="2">
      <x v="142"/>
      <x v="5"/>
      <x v="142"/>
      <x v="142"/>
      <x v="142"/>
    </i>
    <i r="2">
      <x v="143"/>
      <x v="5"/>
      <x v="143"/>
      <x v="143"/>
      <x v="143"/>
    </i>
    <i r="2">
      <x v="144"/>
      <x v="2"/>
      <x v="144"/>
      <x v="144"/>
      <x v="144"/>
    </i>
    <i r="2">
      <x v="145"/>
      <x v="3"/>
      <x v="145"/>
      <x v="145"/>
      <x v="145"/>
    </i>
    <i r="2">
      <x v="146"/>
      <x v="1"/>
      <x v="146"/>
      <x v="146"/>
      <x v="146"/>
    </i>
    <i r="2">
      <x v="147"/>
      <x v="1"/>
      <x v="147"/>
      <x v="147"/>
      <x v="147"/>
    </i>
    <i r="1">
      <x v="36"/>
      <x v="148"/>
      <x v="3"/>
      <x v="148"/>
      <x v="148"/>
      <x v="148"/>
    </i>
    <i r="2">
      <x v="149"/>
      <x v="1"/>
      <x v="149"/>
      <x v="149"/>
      <x v="149"/>
    </i>
    <i r="2">
      <x v="150"/>
      <x v="5"/>
      <x v="150"/>
      <x v="150"/>
      <x v="150"/>
    </i>
    <i r="2">
      <x v="151"/>
      <x v="2"/>
      <x v="151"/>
      <x v="151"/>
      <x v="151"/>
    </i>
    <i r="2">
      <x v="152"/>
      <x v="3"/>
      <x v="152"/>
      <x v="152"/>
      <x v="152"/>
    </i>
    <i r="1">
      <x v="37"/>
      <x v="153"/>
      <x/>
      <x v="153"/>
      <x v="153"/>
      <x v="153"/>
    </i>
    <i r="2">
      <x v="154"/>
      <x/>
      <x v="154"/>
      <x v="154"/>
      <x v="154"/>
    </i>
    <i r="2">
      <x v="155"/>
      <x v="4"/>
      <x v="155"/>
      <x v="155"/>
      <x v="155"/>
    </i>
    <i r="2">
      <x v="156"/>
      <x v="2"/>
      <x v="156"/>
      <x v="156"/>
      <x v="156"/>
    </i>
    <i r="2">
      <x v="157"/>
      <x v="1"/>
      <x v="157"/>
      <x v="157"/>
      <x v="157"/>
    </i>
    <i r="2">
      <x v="158"/>
      <x/>
      <x v="158"/>
      <x v="158"/>
      <x v="158"/>
    </i>
    <i r="2">
      <x v="159"/>
      <x v="1"/>
      <x v="159"/>
      <x v="159"/>
      <x v="159"/>
    </i>
    <i r="2">
      <x v="160"/>
      <x/>
      <x v="160"/>
      <x v="160"/>
      <x v="160"/>
    </i>
    <i r="2">
      <x v="161"/>
      <x v="2"/>
      <x v="161"/>
      <x v="161"/>
      <x v="161"/>
    </i>
    <i>
      <x v="8"/>
      <x v="15"/>
      <x v="162"/>
      <x v="1"/>
      <x v="162"/>
      <x v="162"/>
      <x v="162"/>
    </i>
    <i r="1">
      <x v="38"/>
      <x v="163"/>
      <x/>
      <x v="163"/>
      <x v="163"/>
      <x v="163"/>
    </i>
    <i>
      <x v="9"/>
      <x v="39"/>
      <x v="164"/>
      <x/>
      <x v="164"/>
      <x v="164"/>
      <x v="164"/>
    </i>
    <i r="1">
      <x v="40"/>
      <x v="165"/>
      <x v="5"/>
      <x v="165"/>
      <x v="165"/>
      <x v="165"/>
    </i>
    <i>
      <x v="10"/>
      <x v="41"/>
      <x v="166"/>
      <x/>
      <x v="166"/>
      <x v="166"/>
      <x v="166"/>
    </i>
    <i r="2">
      <x v="167"/>
      <x v="2"/>
      <x v="167"/>
      <x v="167"/>
      <x v="167"/>
    </i>
    <i>
      <x v="11"/>
      <x v="42"/>
      <x v="168"/>
      <x v="2"/>
      <x v="168"/>
      <x v="168"/>
      <x v="168"/>
    </i>
    <i r="2">
      <x v="169"/>
      <x/>
      <x v="169"/>
      <x v="169"/>
      <x v="169"/>
    </i>
    <i>
      <x v="12"/>
      <x v="43"/>
      <x v="170"/>
      <x v="1"/>
      <x v="170"/>
      <x v="170"/>
      <x v="170"/>
    </i>
    <i r="2">
      <x v="171"/>
      <x v="5"/>
      <x v="171"/>
      <x v="171"/>
      <x v="171"/>
    </i>
    <i r="2">
      <x v="172"/>
      <x v="5"/>
      <x v="172"/>
      <x v="172"/>
      <x v="172"/>
    </i>
    <i r="2">
      <x v="173"/>
      <x v="5"/>
      <x v="173"/>
      <x v="173"/>
      <x v="173"/>
    </i>
    <i r="2">
      <x v="174"/>
      <x v="5"/>
      <x v="174"/>
      <x v="174"/>
      <x v="174"/>
    </i>
    <i r="2">
      <x v="175"/>
      <x v="4"/>
      <x v="175"/>
      <x v="175"/>
      <x v="175"/>
    </i>
    <i r="2">
      <x v="176"/>
      <x v="3"/>
      <x v="176"/>
      <x v="176"/>
      <x v="176"/>
    </i>
    <i r="2">
      <x v="177"/>
      <x v="3"/>
      <x v="177"/>
      <x v="177"/>
      <x v="177"/>
    </i>
    <i r="2">
      <x v="178"/>
      <x v="4"/>
      <x v="178"/>
      <x v="178"/>
      <x v="178"/>
    </i>
    <i r="2">
      <x v="179"/>
      <x v="3"/>
      <x v="179"/>
      <x v="179"/>
      <x v="179"/>
    </i>
    <i r="2">
      <x v="180"/>
      <x/>
      <x v="180"/>
      <x v="180"/>
      <x v="180"/>
    </i>
    <i r="1">
      <x v="44"/>
      <x v="181"/>
      <x v="3"/>
      <x v="181"/>
      <x v="181"/>
      <x v="181"/>
    </i>
    <i r="2">
      <x v="182"/>
      <x v="2"/>
      <x v="182"/>
      <x v="182"/>
      <x v="182"/>
    </i>
    <i r="2">
      <x v="183"/>
      <x/>
      <x v="183"/>
      <x v="183"/>
      <x v="183"/>
    </i>
    <i r="2">
      <x v="184"/>
      <x v="2"/>
      <x v="184"/>
      <x v="184"/>
      <x v="184"/>
    </i>
    <i r="2">
      <x v="185"/>
      <x v="3"/>
      <x v="185"/>
      <x v="185"/>
      <x v="185"/>
    </i>
    <i r="2">
      <x v="186"/>
      <x/>
      <x v="186"/>
      <x v="186"/>
      <x v="186"/>
    </i>
    <i r="2">
      <x v="187"/>
      <x v="5"/>
      <x v="187"/>
      <x v="187"/>
      <x v="187"/>
    </i>
    <i r="2">
      <x v="188"/>
      <x v="3"/>
      <x v="188"/>
      <x v="188"/>
      <x v="188"/>
    </i>
    <i r="2">
      <x v="189"/>
      <x v="2"/>
      <x v="189"/>
      <x v="189"/>
      <x v="189"/>
    </i>
    <i r="2">
      <x v="190"/>
      <x v="4"/>
      <x v="190"/>
      <x v="190"/>
      <x v="190"/>
    </i>
    <i r="2">
      <x v="191"/>
      <x v="4"/>
      <x v="191"/>
      <x v="191"/>
      <x v="191"/>
    </i>
    <i r="2">
      <x v="192"/>
      <x v="3"/>
      <x v="192"/>
      <x v="192"/>
      <x v="192"/>
    </i>
    <i r="2">
      <x v="193"/>
      <x v="4"/>
      <x v="193"/>
      <x v="193"/>
      <x v="193"/>
    </i>
    <i r="2">
      <x v="194"/>
      <x v="1"/>
      <x v="194"/>
      <x v="194"/>
      <x v="194"/>
    </i>
    <i r="2">
      <x v="195"/>
      <x/>
      <x v="195"/>
      <x v="195"/>
      <x v="195"/>
    </i>
    <i r="1">
      <x v="45"/>
      <x v="196"/>
      <x v="2"/>
      <x v="196"/>
      <x v="196"/>
      <x v="196"/>
    </i>
    <i r="2">
      <x v="197"/>
      <x/>
      <x v="197"/>
      <x v="197"/>
      <x v="197"/>
    </i>
    <i r="2">
      <x v="198"/>
      <x/>
      <x v="198"/>
      <x v="198"/>
      <x v="198"/>
    </i>
    <i r="2">
      <x v="199"/>
      <x v="3"/>
      <x v="199"/>
      <x v="199"/>
      <x v="199"/>
    </i>
    <i r="2">
      <x v="200"/>
      <x v="3"/>
      <x v="200"/>
      <x v="200"/>
      <x v="200"/>
    </i>
    <i r="1">
      <x v="46"/>
      <x v="201"/>
      <x v="5"/>
      <x v="201"/>
      <x v="201"/>
      <x v="201"/>
    </i>
    <i r="2">
      <x v="202"/>
      <x v="1"/>
      <x v="202"/>
      <x v="202"/>
      <x v="202"/>
    </i>
    <i r="2">
      <x v="203"/>
      <x v="3"/>
      <x v="203"/>
      <x v="203"/>
      <x v="203"/>
    </i>
    <i r="1">
      <x v="47"/>
      <x v="204"/>
      <x v="4"/>
      <x v="204"/>
      <x v="204"/>
      <x v="204"/>
    </i>
    <i r="2">
      <x v="205"/>
      <x v="3"/>
      <x v="205"/>
      <x v="205"/>
      <x v="205"/>
    </i>
    <i r="2">
      <x v="206"/>
      <x v="5"/>
      <x v="206"/>
      <x v="206"/>
      <x v="206"/>
    </i>
    <i>
      <x v="13"/>
      <x v="48"/>
      <x v="207"/>
      <x v="7"/>
      <x v="207"/>
      <x v="207"/>
      <x v="20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3">
    <pageField fld="10" hier="88" name="[T_Voluntarios].[ROL].[All]" cap="All"/>
    <pageField fld="11" hier="109" name="[T_Voluntarios].[ESTADO].[All]" cap="All"/>
    <pageField fld="13" hier="108" name="[T_Voluntarios].[AVISADO].[All]" cap="All"/>
  </pageFields>
  <dataFields count="5">
    <dataField name="N° Part." fld="12" baseField="0" baseItem="0"/>
    <dataField name="Cuota1" fld="7" baseField="6" baseItem="1" numFmtId="164"/>
    <dataField name="Cuota2" fld="8" baseField="6" baseItem="1" numFmtId="164"/>
    <dataField name="Cuota3" fld="9" baseField="6" baseItem="1" numFmtId="164"/>
    <dataField name="Total" fld="14" subtotal="count" baseField="6" baseItem="106" numFmtId="164"/>
  </dataFields>
  <formats count="10">
    <format dxfId="76">
      <pivotArea outline="0" fieldPosition="0">
        <references count="1">
          <reference field="4294967294" count="1" selected="0">
            <x v="0"/>
          </reference>
        </references>
      </pivotArea>
    </format>
    <format dxfId="75">
      <pivotArea field="0" type="button" dataOnly="0" labelOnly="1" outline="0" axis="axisRow" fieldPosition="0"/>
    </format>
    <format dxfId="74">
      <pivotArea field="1" type="button" dataOnly="0" labelOnly="1" outline="0" axis="axisRow" fieldPosition="1"/>
    </format>
    <format dxfId="73">
      <pivotArea field="2" type="button" dataOnly="0" labelOnly="1" outline="0" axis="axisRow" fieldPosition="2"/>
    </format>
    <format dxfId="72">
      <pivotArea field="3" type="button" dataOnly="0" labelOnly="1" outline="0" axis="axisRow" fieldPosition="3"/>
    </format>
    <format dxfId="71">
      <pivotArea field="4" type="button" dataOnly="0" labelOnly="1" outline="0" axis="axisRow" fieldPosition="4"/>
    </format>
    <format dxfId="70">
      <pivotArea field="5" type="button" dataOnly="0" labelOnly="1" outline="0" axis="axisRow" fieldPosition="5"/>
    </format>
    <format dxfId="69">
      <pivotArea field="6" type="button" dataOnly="0" labelOnly="1" outline="0" axis="axisRow" fieldPosition="6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outline="0" fieldPosition="0">
        <references count="1">
          <reference field="4294967294" count="1">
            <x v="4"/>
          </reference>
        </references>
      </pivotArea>
    </format>
  </formats>
  <pivotHierarchies count="1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R.U.N."/>
    <pivotHierarchy dragToData="1" caption="Correo Electrónico"/>
    <pivotHierarchy dragToData="1" caption="Nombre Completo"/>
    <pivotHierarchy dragToData="1"/>
    <pivotHierarchy dragToData="1"/>
    <pivotHierarchy dragToData="1"/>
    <pivotHierarchy dragToData="1"/>
    <pivotHierarchy dragToData="1" caption="Fono "/>
    <pivotHierarchy dragToData="1" caption="Rol "/>
    <pivotHierarchy dragToData="1" caption="Grupo "/>
    <pivotHierarchy dragToData="1" caption="Rama Curso"/>
    <pivotHierarchy dragToData="1" caption="Distrito 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Avisado "/>
    <pivotHierarchy multipleItemSelectionAllowed="1" dragToData="1" caption="Estado 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uota1"/>
    <pivotHierarchy dragToData="1" caption="Cuota2"/>
    <pivotHierarchy dragToData="1" caption="Cuota3"/>
    <pivotHierarchy dragToData="1" caption="N° Part."/>
    <pivotHierarchy dragToRow="0" dragToCol="0" dragToPage="0" dragToData="1" caption="Total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7">
    <rowHierarchyUsage hierarchyUsage="91"/>
    <rowHierarchyUsage hierarchyUsage="89"/>
    <rowHierarchyUsage hierarchyUsage="82"/>
    <rowHierarchyUsage hierarchyUsage="90"/>
    <rowHierarchyUsage hierarchyUsage="80"/>
    <rowHierarchyUsage hierarchyUsage="81"/>
    <rowHierarchyUsage hierarchyUsage="8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Voluntarios]"/>
        <x15:activeTabTopLevelEntity name="[T_Cuot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2483F8-A88C-4024-8A72-DA8DA43611A6}" name="TablaDinámica1" cacheId="363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>
  <location ref="A3:E145" firstHeaderRow="0" firstDataRow="1" firstDataCol="2" rowPageCount="1" colPageCount="1"/>
  <pivotFields count="13">
    <pivotField compact="0" outline="0" showAll="0"/>
    <pivotField name="Nombre Participante" axis="axisRow" compact="0" outline="0" subtotalTop="0" showAll="0" defaultSubtotal="0">
      <items count="197">
        <item x="68"/>
        <item m="1" x="172"/>
        <item x="91"/>
        <item x="6"/>
        <item m="1" x="188"/>
        <item x="31"/>
        <item x="67"/>
        <item m="1" x="176"/>
        <item x="40"/>
        <item x="152"/>
        <item x="23"/>
        <item m="1" x="179"/>
        <item x="17"/>
        <item x="0"/>
        <item x="98"/>
        <item x="105"/>
        <item x="28"/>
        <item x="39"/>
        <item x="26"/>
        <item x="85"/>
        <item x="50"/>
        <item x="27"/>
        <item x="36"/>
        <item x="126"/>
        <item x="148"/>
        <item x="130"/>
        <item m="1" x="194"/>
        <item x="107"/>
        <item x="89"/>
        <item x="132"/>
        <item x="9"/>
        <item x="44"/>
        <item m="1" x="182"/>
        <item x="86"/>
        <item x="151"/>
        <item x="92"/>
        <item x="42"/>
        <item x="41"/>
        <item x="84"/>
        <item x="12"/>
        <item x="55"/>
        <item m="1" x="175"/>
        <item x="97"/>
        <item x="37"/>
        <item x="5"/>
        <item x="158"/>
        <item x="3"/>
        <item x="135"/>
        <item x="47"/>
        <item x="103"/>
        <item x="160"/>
        <item x="99"/>
        <item x="154"/>
        <item x="125"/>
        <item x="79"/>
        <item x="82"/>
        <item x="157"/>
        <item m="1" x="173"/>
        <item x="123"/>
        <item x="120"/>
        <item x="144"/>
        <item m="1" x="184"/>
        <item x="70"/>
        <item m="1" x="191"/>
        <item x="33"/>
        <item x="45"/>
        <item x="20"/>
        <item x="34"/>
        <item m="1" x="183"/>
        <item x="96"/>
        <item x="59"/>
        <item x="8"/>
        <item x="121"/>
        <item x="161"/>
        <item x="138"/>
        <item m="1" x="193"/>
        <item x="113"/>
        <item x="38"/>
        <item x="51"/>
        <item x="143"/>
        <item m="1" x="195"/>
        <item x="88"/>
        <item x="145"/>
        <item x="141"/>
        <item x="147"/>
        <item x="18"/>
        <item x="104"/>
        <item x="57"/>
        <item x="114"/>
        <item x="7"/>
        <item x="136"/>
        <item x="118"/>
        <item x="11"/>
        <item x="21"/>
        <item x="142"/>
        <item x="122"/>
        <item x="29"/>
        <item m="1" x="181"/>
        <item x="56"/>
        <item m="1" x="174"/>
        <item x="155"/>
        <item x="124"/>
        <item x="119"/>
        <item x="134"/>
        <item x="102"/>
        <item m="1" x="192"/>
        <item x="30"/>
        <item m="1" x="170"/>
        <item x="108"/>
        <item x="15"/>
        <item x="106"/>
        <item x="72"/>
        <item x="25"/>
        <item x="131"/>
        <item x="46"/>
        <item x="24"/>
        <item m="1" x="178"/>
        <item x="16"/>
        <item x="137"/>
        <item x="128"/>
        <item x="115"/>
        <item x="83"/>
        <item x="93"/>
        <item x="146"/>
        <item x="111"/>
        <item x="169"/>
        <item m="1" x="185"/>
        <item x="53"/>
        <item x="60"/>
        <item x="109"/>
        <item x="127"/>
        <item x="139"/>
        <item x="110"/>
        <item x="140"/>
        <item m="1" x="196"/>
        <item x="58"/>
        <item m="1" x="186"/>
        <item x="95"/>
        <item x="4"/>
        <item x="117"/>
        <item x="13"/>
        <item x="62"/>
        <item x="10"/>
        <item x="52"/>
        <item x="2"/>
        <item x="49"/>
        <item m="1" x="177"/>
        <item x="76"/>
        <item x="1"/>
        <item x="101"/>
        <item x="153"/>
        <item x="69"/>
        <item x="48"/>
        <item x="156"/>
        <item x="61"/>
        <item x="149"/>
        <item x="129"/>
        <item x="78"/>
        <item x="14"/>
        <item x="54"/>
        <item m="1" x="190"/>
        <item x="90"/>
        <item m="1" x="180"/>
        <item x="43"/>
        <item x="94"/>
        <item x="63"/>
        <item x="19"/>
        <item m="1" x="187"/>
        <item x="80"/>
        <item m="1" x="171"/>
        <item x="159"/>
        <item m="1" x="189"/>
        <item x="35"/>
        <item x="87"/>
        <item x="75"/>
        <item x="116"/>
        <item x="32"/>
        <item x="71"/>
        <item x="77"/>
        <item x="64"/>
        <item x="81"/>
        <item x="112"/>
        <item x="150"/>
        <item x="65"/>
        <item x="133"/>
        <item x="100"/>
        <item x="74"/>
        <item x="66"/>
        <item x="22"/>
        <item x="162"/>
        <item x="73"/>
        <item x="163"/>
        <item x="164"/>
        <item x="165"/>
        <item x="166"/>
        <item x="167"/>
        <item x="168"/>
      </items>
    </pivotField>
    <pivotField dataField="1" compact="0" numFmtId="164" outline="0" showAll="0"/>
    <pivotField dataField="1" compact="0" numFmtId="164" outline="0" showAll="0"/>
    <pivotField dataField="1" compact="0" numFmtId="164" outline="0" showAll="0"/>
    <pivotField compact="0" numFmtId="164" outline="0" showAll="0"/>
    <pivotField compact="0" outline="0" showAll="0"/>
    <pivotField axis="axisRow" compact="0" outline="0" showAll="0">
      <items count="198">
        <item x="152"/>
        <item x="85"/>
        <item x="68"/>
        <item m="1" x="172"/>
        <item x="91"/>
        <item x="6"/>
        <item m="1" x="188"/>
        <item x="67"/>
        <item m="1" x="176"/>
        <item x="40"/>
        <item m="1" x="179"/>
        <item x="0"/>
        <item x="17"/>
        <item x="98"/>
        <item x="39"/>
        <item x="26"/>
        <item x="36"/>
        <item x="27"/>
        <item x="50"/>
        <item x="105"/>
        <item x="126"/>
        <item x="148"/>
        <item m="1" x="194"/>
        <item x="107"/>
        <item x="95"/>
        <item x="44"/>
        <item x="132"/>
        <item m="1" x="182"/>
        <item x="151"/>
        <item x="86"/>
        <item x="89"/>
        <item x="42"/>
        <item x="37"/>
        <item x="84"/>
        <item x="41"/>
        <item x="97"/>
        <item x="12"/>
        <item x="55"/>
        <item x="47"/>
        <item m="1" x="173"/>
        <item x="5"/>
        <item x="9"/>
        <item x="135"/>
        <item m="1" x="175"/>
        <item x="103"/>
        <item x="160"/>
        <item m="1" x="185"/>
        <item x="146"/>
        <item x="154"/>
        <item x="125"/>
        <item x="79"/>
        <item x="3"/>
        <item x="82"/>
        <item x="157"/>
        <item x="131"/>
        <item m="1" x="184"/>
        <item x="70"/>
        <item x="123"/>
        <item m="1" x="191"/>
        <item x="120"/>
        <item x="45"/>
        <item x="99"/>
        <item x="33"/>
        <item x="20"/>
        <item m="1" x="183"/>
        <item x="96"/>
        <item x="59"/>
        <item x="8"/>
        <item m="1" x="193"/>
        <item x="161"/>
        <item x="38"/>
        <item x="28"/>
        <item x="138"/>
        <item x="51"/>
        <item m="1" x="195"/>
        <item x="143"/>
        <item x="145"/>
        <item x="88"/>
        <item x="147"/>
        <item x="141"/>
        <item x="113"/>
        <item x="57"/>
        <item x="104"/>
        <item x="114"/>
        <item x="7"/>
        <item x="80"/>
        <item x="142"/>
        <item x="53"/>
        <item x="118"/>
        <item x="122"/>
        <item x="29"/>
        <item m="1" x="181"/>
        <item x="56"/>
        <item x="21"/>
        <item m="1" x="174"/>
        <item x="124"/>
        <item x="155"/>
        <item x="119"/>
        <item x="134"/>
        <item x="102"/>
        <item x="30"/>
        <item m="1" x="192"/>
        <item x="73"/>
        <item x="108"/>
        <item x="15"/>
        <item x="106"/>
        <item x="72"/>
        <item x="46"/>
        <item x="25"/>
        <item x="18"/>
        <item x="24"/>
        <item m="1" x="178"/>
        <item x="16"/>
        <item x="137"/>
        <item m="1" x="170"/>
        <item x="83"/>
        <item x="139"/>
        <item x="93"/>
        <item x="110"/>
        <item x="111"/>
        <item x="169"/>
        <item x="130"/>
        <item x="109"/>
        <item x="60"/>
        <item x="127"/>
        <item x="34"/>
        <item m="1" x="196"/>
        <item x="71"/>
        <item x="140"/>
        <item x="4"/>
        <item x="58"/>
        <item m="1" x="186"/>
        <item x="23"/>
        <item x="11"/>
        <item x="117"/>
        <item x="13"/>
        <item x="62"/>
        <item x="10"/>
        <item x="52"/>
        <item x="2"/>
        <item m="1" x="177"/>
        <item x="76"/>
        <item x="1"/>
        <item x="101"/>
        <item x="153"/>
        <item x="48"/>
        <item m="1" x="190"/>
        <item x="156"/>
        <item x="128"/>
        <item x="158"/>
        <item x="31"/>
        <item x="69"/>
        <item x="61"/>
        <item x="78"/>
        <item m="1" x="180"/>
        <item x="149"/>
        <item x="129"/>
        <item x="14"/>
        <item x="87"/>
        <item x="92"/>
        <item x="90"/>
        <item x="43"/>
        <item x="94"/>
        <item m="1" x="189"/>
        <item x="63"/>
        <item x="159"/>
        <item x="19"/>
        <item x="121"/>
        <item m="1" x="171"/>
        <item x="35"/>
        <item m="1" x="187"/>
        <item x="75"/>
        <item x="116"/>
        <item x="32"/>
        <item x="77"/>
        <item x="49"/>
        <item x="144"/>
        <item x="64"/>
        <item x="81"/>
        <item x="112"/>
        <item x="136"/>
        <item x="54"/>
        <item x="150"/>
        <item x="65"/>
        <item x="133"/>
        <item x="100"/>
        <item x="74"/>
        <item x="66"/>
        <item x="22"/>
        <item x="162"/>
        <item x="163"/>
        <item x="164"/>
        <item x="165"/>
        <item x="115"/>
        <item x="166"/>
        <item x="167"/>
        <item x="168"/>
        <item t="default"/>
      </items>
    </pivotField>
    <pivotField compact="0" outline="0" showAll="0"/>
    <pivotField compact="0" outline="0" showAll="0"/>
    <pivotField compact="0" outline="0" showAll="0"/>
    <pivotField axis="axisPage" compact="0" outline="0" showAll="0">
      <items count="7">
        <item m="1" x="3"/>
        <item m="1" x="4"/>
        <item x="1"/>
        <item x="0"/>
        <item m="1" x="5"/>
        <item x="2"/>
        <item t="default"/>
      </items>
    </pivotField>
    <pivotField compact="0" outline="0" showAll="0"/>
  </pivotFields>
  <rowFields count="2">
    <field x="1"/>
    <field x="7"/>
  </rowFields>
  <rowItems count="142">
    <i>
      <x/>
      <x v="2"/>
    </i>
    <i>
      <x v="2"/>
      <x v="4"/>
    </i>
    <i>
      <x v="3"/>
      <x v="5"/>
    </i>
    <i>
      <x v="5"/>
      <x v="150"/>
    </i>
    <i>
      <x v="6"/>
      <x v="7"/>
    </i>
    <i>
      <x v="8"/>
      <x v="9"/>
    </i>
    <i>
      <x v="9"/>
      <x/>
    </i>
    <i>
      <x v="10"/>
      <x v="132"/>
    </i>
    <i>
      <x v="12"/>
      <x v="12"/>
    </i>
    <i>
      <x v="13"/>
      <x v="11"/>
    </i>
    <i>
      <x v="14"/>
      <x v="13"/>
    </i>
    <i>
      <x v="15"/>
      <x v="19"/>
    </i>
    <i>
      <x v="16"/>
      <x v="71"/>
    </i>
    <i>
      <x v="17"/>
      <x v="14"/>
    </i>
    <i>
      <x v="18"/>
      <x v="15"/>
    </i>
    <i>
      <x v="19"/>
      <x v="1"/>
    </i>
    <i>
      <x v="20"/>
      <x v="18"/>
    </i>
    <i>
      <x v="21"/>
      <x v="17"/>
    </i>
    <i>
      <x v="22"/>
      <x v="16"/>
    </i>
    <i>
      <x v="23"/>
      <x v="20"/>
    </i>
    <i>
      <x v="27"/>
      <x v="23"/>
    </i>
    <i>
      <x v="28"/>
      <x v="30"/>
    </i>
    <i>
      <x v="30"/>
      <x v="41"/>
    </i>
    <i>
      <x v="34"/>
      <x v="28"/>
    </i>
    <i>
      <x v="35"/>
      <x v="159"/>
    </i>
    <i>
      <x v="36"/>
      <x v="31"/>
    </i>
    <i>
      <x v="37"/>
      <x v="34"/>
    </i>
    <i>
      <x v="39"/>
      <x v="36"/>
    </i>
    <i>
      <x v="40"/>
      <x v="37"/>
    </i>
    <i>
      <x v="42"/>
      <x v="35"/>
    </i>
    <i>
      <x v="43"/>
      <x v="32"/>
    </i>
    <i>
      <x v="44"/>
      <x v="40"/>
    </i>
    <i>
      <x v="46"/>
      <x v="51"/>
    </i>
    <i>
      <x v="47"/>
      <x v="42"/>
    </i>
    <i>
      <x v="48"/>
      <x v="38"/>
    </i>
    <i>
      <x v="49"/>
      <x v="44"/>
    </i>
    <i>
      <x v="50"/>
      <x v="45"/>
    </i>
    <i>
      <x v="51"/>
      <x v="61"/>
    </i>
    <i>
      <x v="52"/>
      <x v="48"/>
    </i>
    <i>
      <x v="53"/>
      <x v="49"/>
    </i>
    <i>
      <x v="56"/>
      <x v="53"/>
    </i>
    <i>
      <x v="58"/>
      <x v="57"/>
    </i>
    <i>
      <x v="59"/>
      <x v="59"/>
    </i>
    <i>
      <x v="60"/>
      <x v="176"/>
    </i>
    <i>
      <x v="62"/>
      <x v="56"/>
    </i>
    <i>
      <x v="64"/>
      <x v="62"/>
    </i>
    <i>
      <x v="65"/>
      <x v="60"/>
    </i>
    <i>
      <x v="66"/>
      <x v="63"/>
    </i>
    <i>
      <x v="67"/>
      <x v="125"/>
    </i>
    <i>
      <x v="70"/>
      <x v="66"/>
    </i>
    <i>
      <x v="72"/>
      <x v="167"/>
    </i>
    <i>
      <x v="73"/>
      <x v="69"/>
    </i>
    <i>
      <x v="74"/>
      <x v="72"/>
    </i>
    <i>
      <x v="76"/>
      <x v="80"/>
    </i>
    <i>
      <x v="77"/>
      <x v="70"/>
    </i>
    <i>
      <x v="78"/>
      <x v="73"/>
    </i>
    <i>
      <x v="79"/>
      <x v="75"/>
    </i>
    <i>
      <x v="81"/>
      <x v="77"/>
    </i>
    <i>
      <x v="82"/>
      <x v="76"/>
    </i>
    <i>
      <x v="83"/>
      <x v="79"/>
    </i>
    <i>
      <x v="84"/>
      <x v="78"/>
    </i>
    <i>
      <x v="85"/>
      <x v="109"/>
    </i>
    <i>
      <x v="86"/>
      <x v="82"/>
    </i>
    <i>
      <x v="88"/>
      <x v="83"/>
    </i>
    <i>
      <x v="89"/>
      <x v="84"/>
    </i>
    <i>
      <x v="90"/>
      <x v="180"/>
    </i>
    <i>
      <x v="91"/>
      <x v="88"/>
    </i>
    <i>
      <x v="92"/>
      <x v="133"/>
    </i>
    <i>
      <x v="93"/>
      <x v="93"/>
    </i>
    <i>
      <x v="94"/>
      <x v="86"/>
    </i>
    <i>
      <x v="96"/>
      <x v="90"/>
    </i>
    <i>
      <x v="98"/>
      <x v="92"/>
    </i>
    <i>
      <x v="101"/>
      <x v="95"/>
    </i>
    <i>
      <x v="102"/>
      <x v="97"/>
    </i>
    <i>
      <x v="103"/>
      <x v="98"/>
    </i>
    <i>
      <x v="106"/>
      <x v="100"/>
    </i>
    <i>
      <x v="108"/>
      <x v="103"/>
    </i>
    <i>
      <x v="109"/>
      <x v="104"/>
    </i>
    <i>
      <x v="110"/>
      <x v="105"/>
    </i>
    <i>
      <x v="111"/>
      <x v="106"/>
    </i>
    <i>
      <x v="112"/>
      <x v="108"/>
    </i>
    <i>
      <x v="114"/>
      <x v="107"/>
    </i>
    <i>
      <x v="115"/>
      <x v="110"/>
    </i>
    <i>
      <x v="118"/>
      <x v="113"/>
    </i>
    <i>
      <x v="119"/>
      <x v="148"/>
    </i>
    <i>
      <x v="121"/>
      <x v="115"/>
    </i>
    <i>
      <x v="122"/>
      <x v="117"/>
    </i>
    <i>
      <x v="123"/>
      <x v="47"/>
    </i>
    <i>
      <x v="124"/>
      <x v="119"/>
    </i>
    <i>
      <x v="125"/>
      <x v="120"/>
    </i>
    <i>
      <x v="127"/>
      <x v="87"/>
    </i>
    <i>
      <x v="128"/>
      <x v="123"/>
    </i>
    <i>
      <x v="130"/>
      <x v="124"/>
    </i>
    <i>
      <x v="132"/>
      <x v="118"/>
    </i>
    <i>
      <x v="133"/>
      <x v="128"/>
    </i>
    <i>
      <x v="135"/>
      <x v="130"/>
    </i>
    <i>
      <x v="137"/>
      <x v="24"/>
    </i>
    <i>
      <x v="138"/>
      <x v="129"/>
    </i>
    <i>
      <x v="139"/>
      <x v="134"/>
    </i>
    <i>
      <x v="140"/>
      <x v="135"/>
    </i>
    <i>
      <x v="141"/>
      <x v="136"/>
    </i>
    <i>
      <x v="143"/>
      <x v="138"/>
    </i>
    <i>
      <x v="144"/>
      <x v="139"/>
    </i>
    <i>
      <x v="145"/>
      <x v="175"/>
    </i>
    <i>
      <x v="147"/>
      <x v="141"/>
    </i>
    <i>
      <x v="148"/>
      <x v="142"/>
    </i>
    <i>
      <x v="149"/>
      <x v="143"/>
    </i>
    <i>
      <x v="150"/>
      <x v="144"/>
    </i>
    <i>
      <x v="151"/>
      <x v="151"/>
    </i>
    <i>
      <x v="152"/>
      <x v="145"/>
    </i>
    <i>
      <x v="154"/>
      <x v="152"/>
    </i>
    <i>
      <x v="155"/>
      <x v="155"/>
    </i>
    <i>
      <x v="157"/>
      <x v="153"/>
    </i>
    <i>
      <x v="158"/>
      <x v="157"/>
    </i>
    <i>
      <x v="159"/>
      <x v="181"/>
    </i>
    <i>
      <x v="163"/>
      <x v="161"/>
    </i>
    <i>
      <x v="164"/>
      <x v="162"/>
    </i>
    <i>
      <x v="165"/>
      <x v="164"/>
    </i>
    <i>
      <x v="166"/>
      <x v="166"/>
    </i>
    <i>
      <x v="168"/>
      <x v="85"/>
    </i>
    <i>
      <x v="170"/>
      <x v="165"/>
    </i>
    <i>
      <x v="172"/>
      <x v="169"/>
    </i>
    <i>
      <x v="173"/>
      <x v="158"/>
    </i>
    <i>
      <x v="174"/>
      <x v="171"/>
    </i>
    <i>
      <x v="175"/>
      <x v="172"/>
    </i>
    <i>
      <x v="177"/>
      <x v="127"/>
    </i>
    <i>
      <x v="178"/>
      <x v="174"/>
    </i>
    <i>
      <x v="179"/>
      <x v="177"/>
    </i>
    <i>
      <x v="180"/>
      <x v="178"/>
    </i>
    <i>
      <x v="181"/>
      <x v="179"/>
    </i>
    <i>
      <x v="182"/>
      <x v="182"/>
    </i>
    <i>
      <x v="183"/>
      <x v="183"/>
    </i>
    <i>
      <x v="184"/>
      <x v="184"/>
    </i>
    <i>
      <x v="185"/>
      <x v="185"/>
    </i>
    <i>
      <x v="187"/>
      <x v="187"/>
    </i>
    <i>
      <x v="189"/>
      <x v="189"/>
    </i>
    <i>
      <x v="190"/>
      <x v="102"/>
    </i>
    <i>
      <x v="192"/>
      <x v="191"/>
    </i>
    <i>
      <x v="193"/>
      <x v="192"/>
    </i>
    <i>
      <x v="194"/>
      <x v="194"/>
    </i>
    <i>
      <x v="195"/>
      <x v="195"/>
    </i>
    <i>
      <x v="196"/>
      <x v="196"/>
    </i>
  </rowItems>
  <colFields count="1">
    <field x="-2"/>
  </colFields>
  <colItems count="3">
    <i>
      <x/>
    </i>
    <i i="1">
      <x v="1"/>
    </i>
    <i i="2">
      <x v="2"/>
    </i>
  </colItems>
  <pageFields count="1">
    <pageField fld="11" item="3" hier="-1"/>
  </pageFields>
  <dataFields count="3">
    <dataField name="Cuota N°1" fld="2" baseField="0" baseItem="0" numFmtId="164"/>
    <dataField name="Cuota N°2" fld="3" baseField="0" baseItem="0" numFmtId="164"/>
    <dataField name="Cuota N°3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60813-5C0F-4FF6-9613-AE813D06CF38}" name="TablaDinámica9" cacheId="348" applyNumberFormats="0" applyBorderFormats="0" applyFontFormats="0" applyPatternFormats="0" applyAlignmentFormats="0" applyWidthHeightFormats="1" dataCaption="Valores" tag="e4d0fdd5-a06b-4dba-9249-50bae9dc3b8a" updatedVersion="8" minRefreshableVersion="3" useAutoFormatting="1" itemPrintTitles="1" createdVersion="8" indent="0" compact="0" compactData="0" multipleFieldFilters="0">
  <location ref="A3:D40" firstHeaderRow="1" firstDataRow="1" firstDataCol="3" rowPageCount="1" colPageCount="1"/>
  <pivotFields count="5">
    <pivotField name="Rol " axis="axisPage" compact="0" allDrilled="1" outline="0" subtotalTop="0" showAll="0" dataSourceSort="1" defaultSubtotal="0" defaultAttributeDrillState="1"/>
    <pivotField name="Rama" axis="axisRow" compact="0" allDrilled="1" outline="0" subtotalTop="0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compact="0" outline="0" subtotalTop="0" showAll="0" defaultSubtotal="0"/>
    <pivotField name="Cargo" axis="axisRow" compact="0" allDrilled="1" outline="0" subtotalTop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Nombre Completo" axis="axisRow" compact="0" allDrilled="1" outline="0" subtotalTop="0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</pivotFields>
  <rowFields count="3">
    <field x="1"/>
    <field x="3"/>
    <field x="4"/>
  </rowFields>
  <rowItems count="37">
    <i>
      <x/>
      <x/>
      <x/>
    </i>
    <i r="2">
      <x v="1"/>
    </i>
    <i r="2">
      <x v="2"/>
    </i>
    <i r="2">
      <x v="3"/>
    </i>
    <i r="2">
      <x v="4"/>
    </i>
    <i t="default">
      <x/>
    </i>
    <i>
      <x v="1"/>
      <x/>
      <x v="5"/>
    </i>
    <i r="2">
      <x v="6"/>
    </i>
    <i r="2">
      <x v="7"/>
    </i>
    <i r="2">
      <x v="8"/>
    </i>
    <i r="2">
      <x v="9"/>
    </i>
    <i t="default">
      <x v="1"/>
    </i>
    <i>
      <x v="2"/>
      <x/>
      <x v="10"/>
    </i>
    <i r="2">
      <x v="11"/>
    </i>
    <i r="2">
      <x v="12"/>
    </i>
    <i r="2">
      <x v="13"/>
    </i>
    <i r="2">
      <x v="14"/>
    </i>
    <i t="default">
      <x v="2"/>
    </i>
    <i>
      <x v="3"/>
      <x/>
      <x v="15"/>
    </i>
    <i r="2">
      <x v="16"/>
    </i>
    <i r="2">
      <x v="17"/>
    </i>
    <i r="2">
      <x v="18"/>
    </i>
    <i t="default">
      <x v="3"/>
    </i>
    <i>
      <x v="4"/>
      <x/>
      <x v="19"/>
    </i>
    <i r="2">
      <x v="20"/>
    </i>
    <i r="2">
      <x v="21"/>
    </i>
    <i r="2">
      <x v="22"/>
    </i>
    <i r="2">
      <x v="23"/>
    </i>
    <i r="2">
      <x v="24"/>
    </i>
    <i t="default">
      <x v="4"/>
    </i>
    <i>
      <x v="5"/>
      <x/>
      <x v="25"/>
    </i>
    <i r="2">
      <x v="26"/>
    </i>
    <i r="2">
      <x v="27"/>
    </i>
    <i r="2">
      <x v="28"/>
    </i>
    <i r="2">
      <x v="29"/>
    </i>
    <i t="default">
      <x v="5"/>
    </i>
    <i t="grand">
      <x/>
    </i>
  </rowItems>
  <colItems count="1">
    <i/>
  </colItems>
  <pageFields count="1">
    <pageField fld="0" hier="88" name="[T_Voluntarios].[ROL].&amp;[Formador(a)]" cap="Formador(a)"/>
  </pageFields>
  <dataFields count="1">
    <dataField name="N° Form." fld="2" baseField="0" baseItem="0"/>
  </dataFields>
  <pivotHierarchies count="1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ombre Completo"/>
    <pivotHierarchy dragToData="1"/>
    <pivotHierarchy dragToData="1"/>
    <pivotHierarchy dragToData="1"/>
    <pivotHierarchy dragToData="1"/>
    <pivotHierarchy dragToData="1"/>
    <pivotHierarchy multipleItemSelectionAllowed="1" dragToData="1" caption="Rol ">
      <members count="2" level="1">
        <member name="[T_Voluntarios].[ROL].&amp;[Formador(a)]"/>
        <member name="[T_Voluntarios].[ROL].&amp;[Apoyo a Formadores]"/>
      </members>
    </pivotHierarchy>
    <pivotHierarchy dragToData="1"/>
    <pivotHierarchy dragToData="1" caption="Rama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rgo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° Form.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rowHierarchiesUsage count="3">
    <rowHierarchyUsage hierarchyUsage="90"/>
    <rowHierarchyUsage hierarchyUsage="120"/>
    <rowHierarchyUsage hierarchyUsage="8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Voluntari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686400-9196-4126-9E48-4D9AEED2D3A0}" name="TablaDinámica4" cacheId="396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>
  <location ref="A3:H184" firstHeaderRow="1" firstDataRow="1" firstDataCol="8" rowPageCount="1" colPageCount="1"/>
  <pivotFields count="52">
    <pivotField axis="axisRow" compact="0" outline="0" showAll="0" defaultSubtotal="0">
      <items count="381">
        <item m="1" x="375"/>
        <item m="1" x="259"/>
        <item m="1" x="292"/>
        <item m="1" x="366"/>
        <item m="1" x="216"/>
        <item x="125"/>
        <item x="180"/>
        <item x="91"/>
        <item x="149"/>
        <item x="85"/>
        <item x="115"/>
        <item x="90"/>
        <item x="190"/>
        <item m="1" x="336"/>
        <item m="1" x="351"/>
        <item m="1" x="318"/>
        <item m="1" x="358"/>
        <item m="1" x="380"/>
        <item m="1" x="215"/>
        <item m="1" x="210"/>
        <item x="100"/>
        <item x="170"/>
        <item x="82"/>
        <item x="16"/>
        <item m="1" x="264"/>
        <item x="116"/>
        <item x="114"/>
        <item m="1" x="364"/>
        <item x="193"/>
        <item x="171"/>
        <item x="141"/>
        <item m="1" x="258"/>
        <item m="1" x="260"/>
        <item x="66"/>
        <item m="1" x="323"/>
        <item m="1" x="217"/>
        <item x="74"/>
        <item m="1" x="255"/>
        <item x="13"/>
        <item x="70"/>
        <item m="1" x="314"/>
        <item x="132"/>
        <item m="1" x="235"/>
        <item x="76"/>
        <item x="48"/>
        <item m="1" x="218"/>
        <item x="135"/>
        <item x="195"/>
        <item m="1" x="326"/>
        <item x="145"/>
        <item x="174"/>
        <item x="28"/>
        <item x="95"/>
        <item x="202"/>
        <item x="196"/>
        <item x="178"/>
        <item x="105"/>
        <item x="119"/>
        <item m="1" x="347"/>
        <item x="89"/>
        <item x="75"/>
        <item x="106"/>
        <item m="1" x="327"/>
        <item m="1" x="250"/>
        <item m="1" x="288"/>
        <item x="162"/>
        <item m="1" x="219"/>
        <item m="1" x="289"/>
        <item x="20"/>
        <item x="4"/>
        <item x="44"/>
        <item x="191"/>
        <item x="17"/>
        <item m="1" x="352"/>
        <item x="92"/>
        <item x="187"/>
        <item x="200"/>
        <item x="18"/>
        <item x="94"/>
        <item x="84"/>
        <item m="1" x="355"/>
        <item m="1" x="285"/>
        <item m="1" x="360"/>
        <item m="1" x="337"/>
        <item m="1" x="365"/>
        <item x="31"/>
        <item m="1" x="273"/>
        <item x="183"/>
        <item x="140"/>
        <item m="1" x="315"/>
        <item m="1" x="290"/>
        <item m="1" x="349"/>
        <item x="172"/>
        <item m="1" x="363"/>
        <item m="1" x="343"/>
        <item m="1" x="321"/>
        <item x="138"/>
        <item m="1" x="350"/>
        <item x="87"/>
        <item m="1" x="208"/>
        <item m="1" x="348"/>
        <item x="102"/>
        <item m="1" x="378"/>
        <item m="1" x="346"/>
        <item x="98"/>
        <item x="32"/>
        <item x="194"/>
        <item x="0"/>
        <item x="151"/>
        <item m="1" x="214"/>
        <item x="110"/>
        <item x="57"/>
        <item m="1" x="345"/>
        <item x="71"/>
        <item x="25"/>
        <item m="1" x="246"/>
        <item m="1" x="277"/>
        <item x="30"/>
        <item x="155"/>
        <item m="1" x="279"/>
        <item m="1" x="342"/>
        <item x="38"/>
        <item m="1" x="265"/>
        <item m="1" x="353"/>
        <item m="1" x="249"/>
        <item m="1" x="224"/>
        <item m="1" x="261"/>
        <item m="1" x="234"/>
        <item m="1" x="300"/>
        <item m="1" x="308"/>
        <item x="165"/>
        <item m="1" x="269"/>
        <item x="51"/>
        <item x="81"/>
        <item m="1" x="377"/>
        <item m="1" x="295"/>
        <item x="109"/>
        <item x="157"/>
        <item x="177"/>
        <item x="156"/>
        <item x="80"/>
        <item x="111"/>
        <item x="160"/>
        <item m="1" x="329"/>
        <item m="1" x="324"/>
        <item m="1" x="209"/>
        <item m="1" x="262"/>
        <item m="1" x="310"/>
        <item x="52"/>
        <item m="1" x="233"/>
        <item x="40"/>
        <item m="1" x="379"/>
        <item m="1" x="274"/>
        <item x="77"/>
        <item x="99"/>
        <item x="108"/>
        <item x="93"/>
        <item m="1" x="333"/>
        <item x="161"/>
        <item m="1" x="298"/>
        <item x="103"/>
        <item x="118"/>
        <item m="1" x="221"/>
        <item x="113"/>
        <item x="117"/>
        <item x="201"/>
        <item m="1" x="252"/>
        <item m="1" x="331"/>
        <item m="1" x="328"/>
        <item x="204"/>
        <item x="121"/>
        <item m="1" x="356"/>
        <item x="68"/>
        <item m="1" x="376"/>
        <item m="1" x="245"/>
        <item x="45"/>
        <item m="1" x="247"/>
        <item x="107"/>
        <item m="1" x="361"/>
        <item x="35"/>
        <item m="1" x="230"/>
        <item m="1" x="243"/>
        <item m="1" x="291"/>
        <item m="1" x="294"/>
        <item m="1" x="334"/>
        <item m="1" x="227"/>
        <item x="142"/>
        <item m="1" x="344"/>
        <item m="1" x="226"/>
        <item m="1" x="305"/>
        <item x="88"/>
        <item x="199"/>
        <item m="1" x="225"/>
        <item m="1" x="340"/>
        <item x="49"/>
        <item m="1" x="293"/>
        <item m="1" x="241"/>
        <item m="1" x="238"/>
        <item m="1" x="263"/>
        <item m="1" x="244"/>
        <item m="1" x="213"/>
        <item m="1" x="228"/>
        <item x="83"/>
        <item x="3"/>
        <item m="1" x="309"/>
        <item m="1" x="330"/>
        <item m="1" x="248"/>
        <item x="147"/>
        <item m="1" x="332"/>
        <item x="175"/>
        <item m="1" x="320"/>
        <item m="1" x="222"/>
        <item m="1" x="220"/>
        <item m="1" x="270"/>
        <item m="1" x="283"/>
        <item m="1" x="251"/>
        <item m="1" x="212"/>
        <item x="205"/>
        <item m="1" x="268"/>
        <item x="6"/>
        <item m="1" x="267"/>
        <item m="1" x="242"/>
        <item x="21"/>
        <item m="1" x="302"/>
        <item m="1" x="231"/>
        <item m="1" x="280"/>
        <item x="169"/>
        <item m="1" x="276"/>
        <item m="1" x="301"/>
        <item m="1" x="296"/>
        <item m="1" x="299"/>
        <item m="1" x="304"/>
        <item x="152"/>
        <item m="1" x="232"/>
        <item m="1" x="297"/>
        <item m="1" x="357"/>
        <item x="64"/>
        <item m="1" x="239"/>
        <item m="1" x="272"/>
        <item m="1" x="278"/>
        <item x="78"/>
        <item m="1" x="236"/>
        <item x="24"/>
        <item m="1" x="317"/>
        <item m="1" x="229"/>
        <item m="1" x="257"/>
        <item x="1"/>
        <item x="104"/>
        <item m="1" x="223"/>
        <item m="1" x="275"/>
        <item x="192"/>
        <item m="1" x="354"/>
        <item x="167"/>
        <item m="1" x="312"/>
        <item x="12"/>
        <item m="1" x="322"/>
        <item m="1" x="237"/>
        <item m="1" x="307"/>
        <item x="86"/>
        <item m="1" x="311"/>
        <item x="96"/>
        <item x="128"/>
        <item m="1" x="286"/>
        <item x="23"/>
        <item x="182"/>
        <item m="1" x="266"/>
        <item x="131"/>
        <item m="1" x="316"/>
        <item m="1" x="256"/>
        <item x="139"/>
        <item m="1" x="271"/>
        <item m="1" x="338"/>
        <item x="130"/>
        <item m="1" x="303"/>
        <item x="50"/>
        <item m="1" x="339"/>
        <item m="1" x="240"/>
        <item m="1" x="325"/>
        <item m="1" x="306"/>
        <item x="120"/>
        <item m="1" x="319"/>
        <item x="7"/>
        <item x="2"/>
        <item x="8"/>
        <item m="1" x="282"/>
        <item x="101"/>
        <item x="166"/>
        <item m="1" x="254"/>
        <item x="133"/>
        <item x="181"/>
        <item x="173"/>
        <item x="126"/>
        <item x="179"/>
        <item m="1" x="313"/>
        <item x="47"/>
        <item x="37"/>
        <item m="1" x="287"/>
        <item x="198"/>
        <item m="1" x="284"/>
        <item x="150"/>
        <item x="79"/>
        <item x="176"/>
        <item m="1" x="253"/>
        <item x="69"/>
        <item x="36"/>
        <item x="58"/>
        <item m="1" x="359"/>
        <item x="73"/>
        <item x="127"/>
        <item x="146"/>
        <item x="39"/>
        <item x="143"/>
        <item m="1" x="281"/>
        <item x="11"/>
        <item x="134"/>
        <item x="158"/>
        <item m="1" x="362"/>
        <item x="168"/>
        <item x="185"/>
        <item x="61"/>
        <item x="159"/>
        <item x="153"/>
        <item x="54"/>
        <item x="124"/>
        <item x="42"/>
        <item x="34"/>
        <item x="148"/>
        <item m="1" x="341"/>
        <item x="5"/>
        <item x="10"/>
        <item x="97"/>
        <item x="123"/>
        <item x="59"/>
        <item x="19"/>
        <item x="184"/>
        <item x="129"/>
        <item x="63"/>
        <item x="67"/>
        <item x="56"/>
        <item x="144"/>
        <item x="186"/>
        <item x="112"/>
        <item x="26"/>
        <item x="29"/>
        <item x="65"/>
        <item m="1" x="335"/>
        <item x="122"/>
        <item x="55"/>
        <item x="60"/>
        <item x="136"/>
        <item x="137"/>
        <item m="1" x="207"/>
        <item x="46"/>
        <item x="62"/>
        <item x="14"/>
        <item x="33"/>
        <item x="41"/>
        <item x="163"/>
        <item x="197"/>
        <item x="15"/>
        <item x="27"/>
        <item x="53"/>
        <item x="9"/>
        <item x="164"/>
        <item x="43"/>
        <item x="154"/>
        <item x="72"/>
        <item m="1" x="367"/>
        <item x="203"/>
        <item m="1" x="368"/>
        <item m="1" x="372"/>
        <item m="1" x="373"/>
        <item m="1" x="374"/>
        <item m="1" x="369"/>
        <item x="189"/>
        <item m="1" x="370"/>
        <item x="188"/>
        <item m="1" x="371"/>
        <item m="1" x="211"/>
        <item x="206"/>
        <item x="22"/>
      </items>
    </pivotField>
    <pivotField compact="0" outline="0" showAll="0"/>
    <pivotField axis="axisRow" compact="0" outline="0" showAll="0" defaultSubtotal="0">
      <items count="393">
        <item m="1" x="320"/>
        <item m="1" x="211"/>
        <item m="1" x="297"/>
        <item x="68"/>
        <item x="82"/>
        <item x="106"/>
        <item x="6"/>
        <item x="187"/>
        <item m="1" x="259"/>
        <item x="114"/>
        <item x="31"/>
        <item m="1" x="287"/>
        <item x="67"/>
        <item x="86"/>
        <item x="40"/>
        <item x="177"/>
        <item x="23"/>
        <item x="203"/>
        <item x="91"/>
        <item x="17"/>
        <item m="1" x="281"/>
        <item x="0"/>
        <item m="1" x="295"/>
        <item x="117"/>
        <item x="125"/>
        <item x="28"/>
        <item x="39"/>
        <item x="26"/>
        <item m="1" x="361"/>
        <item m="1" x="262"/>
        <item m="1" x="391"/>
        <item x="97"/>
        <item x="50"/>
        <item x="27"/>
        <item x="36"/>
        <item x="198"/>
        <item x="147"/>
        <item x="173"/>
        <item m="1" x="384"/>
        <item x="151"/>
        <item m="1" x="306"/>
        <item x="160"/>
        <item x="128"/>
        <item x="197"/>
        <item m="1" x="341"/>
        <item x="104"/>
        <item x="153"/>
        <item x="9"/>
        <item x="44"/>
        <item x="94"/>
        <item x="99"/>
        <item x="176"/>
        <item x="107"/>
        <item m="1" x="335"/>
        <item m="1" x="208"/>
        <item x="42"/>
        <item x="200"/>
        <item x="41"/>
        <item m="1" x="222"/>
        <item x="96"/>
        <item m="1" x="216"/>
        <item m="1" x="271"/>
        <item m="1" x="230"/>
        <item x="12"/>
        <item x="55"/>
        <item m="1" x="212"/>
        <item m="1" x="249"/>
        <item x="85"/>
        <item m="1" x="291"/>
        <item m="1" x="327"/>
        <item m="1" x="353"/>
        <item x="116"/>
        <item x="37"/>
        <item m="1" x="351"/>
        <item m="1" x="279"/>
        <item x="5"/>
        <item x="184"/>
        <item x="3"/>
        <item m="1" x="300"/>
        <item x="199"/>
        <item x="158"/>
        <item x="47"/>
        <item m="1" x="223"/>
        <item m="1" x="241"/>
        <item m="1" x="344"/>
        <item x="123"/>
        <item m="1" x="326"/>
        <item m="1" x="256"/>
        <item m="1" x="385"/>
        <item x="186"/>
        <item m="1" x="254"/>
        <item m="1" x="317"/>
        <item m="1" x="274"/>
        <item m="1" x="348"/>
        <item x="118"/>
        <item m="1" x="248"/>
        <item x="179"/>
        <item x="146"/>
        <item x="79"/>
        <item m="1" x="260"/>
        <item x="90"/>
        <item m="1" x="255"/>
        <item x="182"/>
        <item m="1" x="389"/>
        <item m="1" x="369"/>
        <item x="83"/>
        <item m="1" x="270"/>
        <item x="144"/>
        <item x="141"/>
        <item x="168"/>
        <item x="102"/>
        <item m="1" x="224"/>
        <item x="70"/>
        <item m="1" x="265"/>
        <item m="1" x="358"/>
        <item x="126"/>
        <item x="33"/>
        <item m="1" x="277"/>
        <item m="1" x="340"/>
        <item x="45"/>
        <item m="1" x="269"/>
        <item m="1" x="247"/>
        <item x="20"/>
        <item m="1" x="237"/>
        <item x="34"/>
        <item m="1" x="309"/>
        <item m="1" x="311"/>
        <item x="98"/>
        <item m="1" x="330"/>
        <item x="113"/>
        <item x="59"/>
        <item x="8"/>
        <item m="1" x="219"/>
        <item m="1" x="299"/>
        <item x="142"/>
        <item x="194"/>
        <item m="1" x="305"/>
        <item m="1" x="392"/>
        <item x="195"/>
        <item m="1" x="310"/>
        <item x="162"/>
        <item x="157"/>
        <item m="1" x="246"/>
        <item m="1" x="313"/>
        <item x="134"/>
        <item x="38"/>
        <item x="51"/>
        <item x="167"/>
        <item x="170"/>
        <item m="1" x="232"/>
        <item x="101"/>
        <item x="169"/>
        <item m="1" x="282"/>
        <item m="1" x="272"/>
        <item m="1" x="296"/>
        <item x="165"/>
        <item m="1" x="338"/>
        <item m="1" x="350"/>
        <item x="172"/>
        <item m="1" x="362"/>
        <item m="1" x="242"/>
        <item m="1" x="383"/>
        <item m="1" x="278"/>
        <item m="1" x="218"/>
        <item m="1" x="328"/>
        <item x="18"/>
        <item m="1" x="240"/>
        <item x="124"/>
        <item m="1" x="366"/>
        <item m="1" x="267"/>
        <item m="1" x="324"/>
        <item x="57"/>
        <item x="135"/>
        <item m="1" x="371"/>
        <item x="7"/>
        <item m="1" x="292"/>
        <item m="1" x="289"/>
        <item x="205"/>
        <item m="1" x="318"/>
        <item x="159"/>
        <item x="139"/>
        <item x="11"/>
        <item x="21"/>
        <item x="166"/>
        <item m="1" x="275"/>
        <item x="143"/>
        <item x="29"/>
        <item x="93"/>
        <item x="56"/>
        <item m="1" x="312"/>
        <item x="84"/>
        <item x="180"/>
        <item x="145"/>
        <item m="1" x="355"/>
        <item x="140"/>
        <item m="1" x="334"/>
        <item x="156"/>
        <item m="1" x="235"/>
        <item x="122"/>
        <item m="1" x="252"/>
        <item x="155"/>
        <item x="30"/>
        <item m="1" x="236"/>
        <item m="1" x="363"/>
        <item m="1" x="357"/>
        <item m="1" x="221"/>
        <item x="73"/>
        <item m="1" x="207"/>
        <item m="1" x="286"/>
        <item m="1" x="276"/>
        <item x="129"/>
        <item m="1" x="217"/>
        <item x="15"/>
        <item m="1" x="234"/>
        <item m="1" x="228"/>
        <item x="189"/>
        <item x="127"/>
        <item m="1" x="251"/>
        <item m="1" x="364"/>
        <item x="72"/>
        <item m="1" x="231"/>
        <item x="25"/>
        <item m="1" x="250"/>
        <item x="152"/>
        <item x="46"/>
        <item m="1" x="343"/>
        <item m="1" x="339"/>
        <item x="192"/>
        <item m="1" x="225"/>
        <item m="1" x="280"/>
        <item m="1" x="220"/>
        <item x="24"/>
        <item x="88"/>
        <item x="16"/>
        <item x="161"/>
        <item m="1" x="321"/>
        <item x="149"/>
        <item x="136"/>
        <item x="202"/>
        <item m="1" x="301"/>
        <item m="1" x="302"/>
        <item m="1" x="331"/>
        <item x="95"/>
        <item m="1" x="329"/>
        <item m="1" x="238"/>
        <item x="110"/>
        <item x="171"/>
        <item x="132"/>
        <item x="22"/>
        <item m="1" x="354"/>
        <item m="1" x="360"/>
        <item x="103"/>
        <item x="53"/>
        <item m="1" x="346"/>
        <item m="1" x="303"/>
        <item m="1" x="316"/>
        <item m="1" x="325"/>
        <item m="1" x="288"/>
        <item x="60"/>
        <item x="130"/>
        <item m="1" x="253"/>
        <item x="148"/>
        <item x="163"/>
        <item m="1" x="386"/>
        <item m="1" x="390"/>
        <item m="1" x="264"/>
        <item m="1" x="245"/>
        <item m="1" x="359"/>
        <item x="131"/>
        <item m="1" x="298"/>
        <item m="1" x="273"/>
        <item m="1" x="323"/>
        <item x="196"/>
        <item m="1" x="304"/>
        <item x="164"/>
        <item x="183"/>
        <item x="58"/>
        <item x="108"/>
        <item m="1" x="319"/>
        <item x="112"/>
        <item x="4"/>
        <item x="138"/>
        <item m="1" x="285"/>
        <item m="1" x="342"/>
        <item m="1" x="372"/>
        <item m="1" x="308"/>
        <item x="13"/>
        <item m="1" x="213"/>
        <item x="62"/>
        <item x="10"/>
        <item x="52"/>
        <item x="2"/>
        <item x="49"/>
        <item x="87"/>
        <item x="188"/>
        <item m="1" x="244"/>
        <item x="76"/>
        <item m="1" x="290"/>
        <item x="190"/>
        <item m="1" x="352"/>
        <item m="1" x="227"/>
        <item m="1" x="387"/>
        <item m="1" x="257"/>
        <item x="1"/>
        <item x="193"/>
        <item m="1" x="284"/>
        <item m="1" x="294"/>
        <item m="1" x="209"/>
        <item x="120"/>
        <item m="1" x="243"/>
        <item x="178"/>
        <item x="69"/>
        <item m="1" x="332"/>
        <item x="48"/>
        <item m="1" x="263"/>
        <item x="181"/>
        <item m="1" x="349"/>
        <item m="1" x="333"/>
        <item x="61"/>
        <item x="174"/>
        <item x="150"/>
        <item x="78"/>
        <item x="14"/>
        <item m="1" x="268"/>
        <item x="54"/>
        <item m="1" x="322"/>
        <item x="191"/>
        <item m="1" x="215"/>
        <item x="121"/>
        <item m="1" x="345"/>
        <item x="105"/>
        <item x="92"/>
        <item m="1" x="266"/>
        <item m="1" x="370"/>
        <item m="1" x="261"/>
        <item m="1" x="388"/>
        <item m="1" x="368"/>
        <item x="43"/>
        <item m="1" x="367"/>
        <item x="111"/>
        <item x="63"/>
        <item x="19"/>
        <item m="1" x="283"/>
        <item m="1" x="337"/>
        <item x="109"/>
        <item x="80"/>
        <item x="81"/>
        <item x="185"/>
        <item m="1" x="258"/>
        <item m="1" x="356"/>
        <item m="1" x="307"/>
        <item m="1" x="373"/>
        <item m="1" x="382"/>
        <item m="1" x="374"/>
        <item m="1" x="375"/>
        <item m="1" x="379"/>
        <item m="1" x="380"/>
        <item m="1" x="381"/>
        <item m="1" x="376"/>
        <item m="1" x="377"/>
        <item m="1" x="378"/>
        <item x="115"/>
        <item x="35"/>
        <item m="1" x="229"/>
        <item x="100"/>
        <item x="75"/>
        <item m="1" x="365"/>
        <item x="137"/>
        <item x="32"/>
        <item x="71"/>
        <item x="77"/>
        <item x="64"/>
        <item x="89"/>
        <item x="133"/>
        <item m="1" x="233"/>
        <item x="175"/>
        <item m="1" x="347"/>
        <item m="1" x="226"/>
        <item x="65"/>
        <item m="1" x="214"/>
        <item x="201"/>
        <item m="1" x="293"/>
        <item x="204"/>
        <item x="154"/>
        <item x="119"/>
        <item m="1" x="336"/>
        <item x="74"/>
        <item m="1" x="239"/>
        <item m="1" x="314"/>
        <item x="66"/>
        <item m="1" x="315"/>
        <item m="1" x="210"/>
        <item x="206"/>
      </items>
    </pivotField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8">
        <item x="2"/>
        <item x="5"/>
        <item x="4"/>
        <item x="3"/>
        <item x="1"/>
        <item x="0"/>
        <item m="1" x="6"/>
        <item t="default"/>
      </items>
    </pivotField>
    <pivotField axis="axisRow" compact="0" outline="0" showAll="0" defaultSubtotal="0">
      <items count="80">
        <item x="38"/>
        <item x="6"/>
        <item x="9"/>
        <item x="45"/>
        <item x="25"/>
        <item x="47"/>
        <item m="1" x="68"/>
        <item m="1" x="74"/>
        <item x="23"/>
        <item x="41"/>
        <item x="44"/>
        <item x="26"/>
        <item x="24"/>
        <item m="1" x="69"/>
        <item x="46"/>
        <item x="14"/>
        <item x="37"/>
        <item m="1" x="49"/>
        <item m="1" x="52"/>
        <item x="40"/>
        <item x="3"/>
        <item x="0"/>
        <item m="1" x="70"/>
        <item x="20"/>
        <item m="1" x="48"/>
        <item x="29"/>
        <item x="11"/>
        <item m="1" x="75"/>
        <item x="31"/>
        <item m="1" x="67"/>
        <item m="1" x="76"/>
        <item x="1"/>
        <item x="30"/>
        <item x="22"/>
        <item x="19"/>
        <item x="7"/>
        <item x="28"/>
        <item x="35"/>
        <item x="27"/>
        <item x="4"/>
        <item m="1" x="66"/>
        <item x="39"/>
        <item m="1" x="63"/>
        <item x="10"/>
        <item x="15"/>
        <item x="12"/>
        <item x="21"/>
        <item x="5"/>
        <item m="1" x="55"/>
        <item x="16"/>
        <item m="1" x="59"/>
        <item m="1" x="56"/>
        <item m="1" x="57"/>
        <item m="1" x="58"/>
        <item m="1" x="64"/>
        <item x="17"/>
        <item m="1" x="51"/>
        <item m="1" x="53"/>
        <item x="2"/>
        <item m="1" x="50"/>
        <item m="1" x="61"/>
        <item x="33"/>
        <item x="32"/>
        <item m="1" x="78"/>
        <item m="1" x="79"/>
        <item x="13"/>
        <item x="18"/>
        <item m="1" x="73"/>
        <item m="1" x="71"/>
        <item x="43"/>
        <item m="1" x="62"/>
        <item x="42"/>
        <item m="1" x="54"/>
        <item x="34"/>
        <item m="1" x="72"/>
        <item m="1" x="65"/>
        <item m="1" x="77"/>
        <item m="1" x="60"/>
        <item x="8"/>
        <item x="36"/>
      </items>
    </pivotField>
    <pivotField axis="axisRow" compact="0" outline="0" showAll="0" defaultSubtotal="0">
      <items count="10">
        <item x="2"/>
        <item m="1" x="8"/>
        <item m="1" x="9"/>
        <item x="6"/>
        <item x="5"/>
        <item x="0"/>
        <item x="3"/>
        <item x="1"/>
        <item x="4"/>
        <item m="1" x="7"/>
      </items>
    </pivotField>
    <pivotField compact="0" outline="0" showAll="0"/>
    <pivotField axis="axisRow" compact="0" outline="0" showAll="0" defaultSubtotal="0">
      <items count="4">
        <item x="3"/>
        <item x="0"/>
        <item x="2"/>
        <item x="1"/>
      </items>
    </pivotField>
    <pivotField axis="axisRow" compact="0" outline="0" showAll="0" defaultSubtotal="0">
      <items count="45">
        <item x="8"/>
        <item x="40"/>
        <item x="29"/>
        <item x="44"/>
        <item x="1"/>
        <item x="39"/>
        <item x="23"/>
        <item x="20"/>
        <item x="7"/>
        <item x="17"/>
        <item x="9"/>
        <item x="31"/>
        <item x="32"/>
        <item x="2"/>
        <item x="14"/>
        <item x="33"/>
        <item x="15"/>
        <item x="42"/>
        <item x="25"/>
        <item x="34"/>
        <item x="21"/>
        <item x="18"/>
        <item x="19"/>
        <item x="12"/>
        <item x="5"/>
        <item x="28"/>
        <item x="10"/>
        <item x="36"/>
        <item x="16"/>
        <item x="4"/>
        <item x="13"/>
        <item x="6"/>
        <item x="30"/>
        <item x="3"/>
        <item x="11"/>
        <item x="24"/>
        <item x="26"/>
        <item x="22"/>
        <item x="0"/>
        <item x="38"/>
        <item x="37"/>
        <item x="43"/>
        <item x="41"/>
        <item x="27"/>
        <item x="35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8">
        <item h="1" m="1" x="2"/>
        <item m="1" x="3"/>
        <item h="1" x="1"/>
        <item m="1" x="4"/>
        <item x="0"/>
        <item m="1" x="6"/>
        <item m="1"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6">
        <item x="62"/>
        <item x="74"/>
        <item x="5"/>
        <item x="103"/>
        <item x="61"/>
        <item x="78"/>
        <item x="39"/>
        <item x="173"/>
        <item x="0"/>
        <item x="106"/>
        <item x="38"/>
        <item x="27"/>
        <item x="25"/>
        <item x="16"/>
        <item x="35"/>
        <item x="26"/>
        <item x="88"/>
        <item x="130"/>
        <item x="132"/>
        <item x="149"/>
        <item x="136"/>
        <item x="116"/>
        <item x="167"/>
        <item x="137"/>
        <item x="95"/>
        <item x="43"/>
        <item x="85"/>
        <item x="151"/>
        <item x="100"/>
        <item x="87"/>
        <item x="170"/>
        <item x="40"/>
        <item x="105"/>
        <item x="11"/>
        <item x="77"/>
        <item x="36"/>
        <item x="3"/>
        <item x="169"/>
        <item x="159"/>
        <item x="141"/>
        <item x="174"/>
        <item x="115"/>
        <item x="51"/>
        <item x="104"/>
        <item x="161"/>
        <item x="112"/>
        <item x="148"/>
        <item x="131"/>
        <item x="154"/>
        <item x="73"/>
        <item x="107"/>
        <item x="94"/>
        <item x="75"/>
        <item x="82"/>
        <item x="129"/>
        <item x="93"/>
        <item x="114"/>
        <item x="127"/>
        <item x="139"/>
        <item x="44"/>
        <item x="19"/>
        <item x="33"/>
        <item x="89"/>
        <item x="55"/>
        <item x="164"/>
        <item x="165"/>
        <item x="140"/>
        <item x="48"/>
        <item x="37"/>
        <item x="145"/>
        <item x="92"/>
        <item x="113"/>
        <item x="53"/>
        <item x="121"/>
        <item x="6"/>
        <item x="8"/>
        <item x="125"/>
        <item x="28"/>
        <item x="84"/>
        <item x="52"/>
        <item x="76"/>
        <item x="155"/>
        <item x="126"/>
        <item x="111"/>
        <item x="29"/>
        <item x="67"/>
        <item x="14"/>
        <item x="117"/>
        <item x="66"/>
        <item x="60"/>
        <item x="45"/>
        <item x="24"/>
        <item x="90"/>
        <item x="163"/>
        <item x="23"/>
        <item x="80"/>
        <item x="15"/>
        <item x="142"/>
        <item x="134"/>
        <item x="122"/>
        <item x="172"/>
        <item x="86"/>
        <item x="96"/>
        <item x="99"/>
        <item x="119"/>
        <item x="21"/>
        <item x="56"/>
        <item x="118"/>
        <item x="133"/>
        <item x="143"/>
        <item x="166"/>
        <item x="158"/>
        <item x="54"/>
        <item x="7"/>
        <item x="97"/>
        <item x="101"/>
        <item x="22"/>
        <item x="4"/>
        <item x="50"/>
        <item x="10"/>
        <item x="124"/>
        <item x="12"/>
        <item x="41"/>
        <item x="49"/>
        <item x="9"/>
        <item x="160"/>
        <item x="102"/>
        <item x="2"/>
        <item x="47"/>
        <item x="79"/>
        <item x="70"/>
        <item x="1"/>
        <item x="17"/>
        <item x="13"/>
        <item x="109"/>
        <item x="153"/>
        <item x="63"/>
        <item x="46"/>
        <item x="156"/>
        <item x="152"/>
        <item x="57"/>
        <item x="144"/>
        <item x="135"/>
        <item x="72"/>
        <item x="157"/>
        <item x="110"/>
        <item x="83"/>
        <item x="146"/>
        <item x="168"/>
        <item x="42"/>
        <item x="18"/>
        <item x="98"/>
        <item x="32"/>
        <item x="34"/>
        <item x="91"/>
        <item x="69"/>
        <item x="30"/>
        <item x="65"/>
        <item x="123"/>
        <item x="20"/>
        <item x="128"/>
        <item x="31"/>
        <item x="71"/>
        <item x="150"/>
        <item x="81"/>
        <item x="147"/>
        <item x="58"/>
        <item x="120"/>
        <item x="59"/>
        <item x="138"/>
        <item x="171"/>
        <item x="108"/>
        <item x="68"/>
        <item x="162"/>
        <item x="64"/>
        <item x="175"/>
      </items>
    </pivotField>
    <pivotField compact="0" outline="0" showAll="0"/>
    <pivotField compact="0" numFmtId="168" outline="0" showAll="0"/>
    <pivotField compact="0" outline="0" showAll="0"/>
  </pivotFields>
  <rowFields count="8">
    <field x="2"/>
    <field x="48"/>
    <field x="0"/>
    <field x="9"/>
    <field x="12"/>
    <field x="10"/>
    <field x="13"/>
    <field x="8"/>
  </rowFields>
  <rowItems count="181">
    <i>
      <x v="3"/>
      <x/>
      <x v="172"/>
      <x v="55"/>
      <x v="1"/>
      <x v="4"/>
      <x v="38"/>
      <x v="5"/>
    </i>
    <i>
      <x v="4"/>
      <x v="1"/>
      <x v="22"/>
      <x v="21"/>
      <x v="1"/>
      <x v="6"/>
      <x v="38"/>
      <x v="4"/>
    </i>
    <i>
      <x v="5"/>
      <x v="102"/>
      <x v="61"/>
      <x v="20"/>
      <x v="1"/>
      <x v="4"/>
      <x v="38"/>
      <x v="5"/>
    </i>
    <i>
      <x v="6"/>
      <x v="2"/>
      <x v="219"/>
      <x v="31"/>
      <x v="1"/>
      <x/>
      <x v="38"/>
      <x v="5"/>
    </i>
    <i>
      <x v="7"/>
      <x v="173"/>
      <x v="75"/>
      <x v="3"/>
      <x v="1"/>
      <x v="3"/>
      <x v="38"/>
      <x v="3"/>
    </i>
    <i>
      <x v="9"/>
      <x v="3"/>
      <x v="26"/>
      <x v="28"/>
      <x v="1"/>
      <x/>
      <x v="38"/>
      <x v="4"/>
    </i>
    <i>
      <x v="10"/>
      <x v="156"/>
      <x v="85"/>
      <x v="21"/>
      <x v="1"/>
      <x v="8"/>
      <x v="38"/>
      <x v="5"/>
    </i>
    <i>
      <x v="12"/>
      <x v="4"/>
      <x v="337"/>
      <x v="43"/>
      <x v="3"/>
      <x v="8"/>
      <x v="38"/>
      <x v="5"/>
    </i>
    <i>
      <x v="13"/>
      <x v="5"/>
      <x v="258"/>
      <x v="33"/>
      <x v="1"/>
      <x v="8"/>
      <x v="38"/>
      <x/>
    </i>
    <i>
      <x v="14"/>
      <x v="6"/>
      <x v="150"/>
      <x v="26"/>
      <x v="2"/>
      <x/>
      <x v="38"/>
      <x v="5"/>
    </i>
    <i>
      <x v="15"/>
      <x v="139"/>
      <x v="138"/>
      <x v="66"/>
      <x v="1"/>
      <x v="7"/>
      <x v="38"/>
      <x v="5"/>
    </i>
    <i>
      <x v="16"/>
      <x v="116"/>
      <x v="263"/>
      <x v="26"/>
      <x v="1"/>
      <x v="6"/>
      <x/>
      <x v="5"/>
    </i>
    <i>
      <x v="17"/>
      <x v="7"/>
      <x v="368"/>
      <x v="5"/>
      <x v="2"/>
      <x v="5"/>
      <x v="38"/>
      <x v="5"/>
    </i>
    <i>
      <x v="18"/>
      <x v="12"/>
      <x v="7"/>
      <x v="34"/>
      <x v="1"/>
      <x v="4"/>
      <x v="38"/>
      <x v="4"/>
    </i>
    <i>
      <x v="19"/>
      <x v="13"/>
      <x v="72"/>
      <x v="2"/>
      <x v="1"/>
      <x v="7"/>
      <x v="31"/>
      <x v="5"/>
    </i>
    <i>
      <x v="21"/>
      <x v="8"/>
      <x v="107"/>
      <x v="21"/>
      <x v="1"/>
      <x v="5"/>
      <x v="38"/>
      <x v="5"/>
    </i>
    <i>
      <x v="23"/>
      <x v="9"/>
      <x v="164"/>
      <x v="25"/>
      <x v="1"/>
      <x/>
      <x v="38"/>
      <x v="5"/>
    </i>
    <i>
      <x v="24"/>
      <x v="10"/>
      <x v="5"/>
      <x v="73"/>
      <x v="1"/>
      <x v="4"/>
      <x v="2"/>
      <x v="5"/>
    </i>
    <i>
      <x v="25"/>
      <x v="11"/>
      <x v="51"/>
      <x v="39"/>
      <x v="2"/>
      <x v="4"/>
      <x v="26"/>
      <x v="5"/>
    </i>
    <i>
      <x v="26"/>
      <x v="10"/>
      <x v="310"/>
      <x v="43"/>
      <x v="3"/>
      <x v="7"/>
      <x v="38"/>
      <x v="5"/>
    </i>
    <i>
      <x v="27"/>
      <x v="12"/>
      <x v="342"/>
      <x v="26"/>
      <x v="1"/>
      <x v="6"/>
      <x v="38"/>
      <x v="5"/>
    </i>
    <i>
      <x v="31"/>
      <x v="16"/>
      <x v="330"/>
      <x v="39"/>
      <x v="3"/>
      <x v="6"/>
      <x v="38"/>
      <x v="5"/>
    </i>
    <i>
      <x v="32"/>
      <x v="14"/>
      <x v="274"/>
      <x v="26"/>
      <x v="1"/>
      <x v="6"/>
      <x v="38"/>
      <x v="5"/>
    </i>
    <i>
      <x v="33"/>
      <x v="15"/>
      <x v="360"/>
      <x v="26"/>
      <x v="1"/>
      <x v="6"/>
      <x v="38"/>
      <x v="5"/>
    </i>
    <i>
      <x v="34"/>
      <x v="14"/>
      <x v="304"/>
      <x v="45"/>
      <x v="1"/>
      <x v="5"/>
      <x v="38"/>
      <x v="5"/>
    </i>
    <i>
      <x v="35"/>
      <x v="148"/>
      <x v="297"/>
      <x v="43"/>
      <x v="1"/>
      <x v="4"/>
      <x v="38"/>
      <x v="5"/>
    </i>
    <i>
      <x v="36"/>
      <x v="18"/>
      <x v="207"/>
      <x v="79"/>
      <x v="1"/>
      <x v="7"/>
      <x v="19"/>
      <x v="5"/>
    </i>
    <i>
      <x v="41"/>
      <x v="21"/>
      <x v="142"/>
      <x v="19"/>
      <x v="2"/>
      <x v="5"/>
      <x v="40"/>
      <x v="4"/>
    </i>
    <i>
      <x v="42"/>
      <x v="21"/>
      <x v="261"/>
      <x v="45"/>
      <x v="1"/>
      <x v="4"/>
      <x v="38"/>
      <x v="5"/>
    </i>
    <i>
      <x v="43"/>
      <x v="22"/>
      <x v="358"/>
      <x v="47"/>
      <x v="2"/>
      <x v="4"/>
      <x v="32"/>
      <x v="1"/>
    </i>
    <i>
      <x v="45"/>
      <x v="24"/>
      <x v="247"/>
      <x v="66"/>
      <x v="1"/>
      <x v="7"/>
      <x v="38"/>
      <x v="5"/>
    </i>
    <i>
      <x v="47"/>
      <x v="75"/>
      <x v="362"/>
      <x v="47"/>
      <x v="1"/>
      <x v="6"/>
      <x v="29"/>
      <x v="5"/>
    </i>
    <i>
      <x v="49"/>
      <x v="26"/>
      <x v="78"/>
      <x v="12"/>
      <x v="1"/>
      <x v="8"/>
      <x v="38"/>
      <x v="4"/>
    </i>
    <i>
      <x v="51"/>
      <x v="27"/>
      <x v="301"/>
      <x v="66"/>
      <x v="1"/>
      <x v="8"/>
      <x v="38"/>
      <x v="5"/>
    </i>
    <i>
      <x v="52"/>
      <x v="29"/>
      <x v="177"/>
      <x v="36"/>
      <x v="1"/>
      <x v="4"/>
      <x v="35"/>
      <x v="5"/>
    </i>
    <i>
      <x v="55"/>
      <x v="122"/>
      <x v="324"/>
      <x v="43"/>
      <x v="3"/>
      <x v="5"/>
      <x v="16"/>
      <x v="5"/>
    </i>
    <i>
      <x v="56"/>
      <x v="30"/>
      <x v="76"/>
      <x v="66"/>
      <x v="1"/>
      <x v="4"/>
      <x v="38"/>
      <x v="4"/>
    </i>
    <i>
      <x v="57"/>
      <x v="31"/>
      <x v="356"/>
      <x v="43"/>
      <x v="3"/>
      <x v="6"/>
      <x v="38"/>
      <x v="5"/>
    </i>
    <i>
      <x v="63"/>
      <x v="33"/>
      <x v="254"/>
      <x v="35"/>
      <x v="1"/>
      <x v="4"/>
      <x v="24"/>
      <x v="5"/>
    </i>
    <i>
      <x v="64"/>
      <x v="33"/>
      <x v="347"/>
      <x v="49"/>
      <x v="3"/>
      <x v="5"/>
      <x v="38"/>
      <x v="5"/>
    </i>
    <i>
      <x v="67"/>
      <x v="34"/>
      <x v="9"/>
      <x v="34"/>
      <x v="1"/>
      <x v="8"/>
      <x v="20"/>
      <x v="4"/>
    </i>
    <i>
      <x v="71"/>
      <x v="32"/>
      <x v="25"/>
      <x v="49"/>
      <x v="1"/>
      <x v="4"/>
      <x v="25"/>
      <x v="5"/>
    </i>
    <i>
      <x v="72"/>
      <x v="35"/>
      <x v="295"/>
      <x v="43"/>
      <x v="3"/>
      <x v="5"/>
      <x v="30"/>
      <x v="5"/>
    </i>
    <i>
      <x v="75"/>
      <x v="36"/>
      <x v="328"/>
      <x v="58"/>
      <x v="1"/>
      <x v="5"/>
      <x v="38"/>
      <x v="5"/>
    </i>
    <i>
      <x v="77"/>
      <x v="36"/>
      <x v="203"/>
      <x v="58"/>
      <x v="1"/>
      <x v="7"/>
      <x v="38"/>
      <x v="5"/>
    </i>
    <i>
      <x v="80"/>
      <x v="39"/>
      <x v="315"/>
      <x v="25"/>
      <x v="1"/>
      <x v="6"/>
      <x v="27"/>
      <x v="5"/>
    </i>
    <i>
      <x v="81"/>
      <x v="36"/>
      <x v="294"/>
      <x v="65"/>
      <x v="3"/>
      <x v="5"/>
      <x v="38"/>
      <x v="5"/>
    </i>
    <i>
      <x v="85"/>
      <x v="45"/>
      <x v="331"/>
      <x v="61"/>
      <x v="2"/>
      <x v="5"/>
      <x v="38"/>
      <x v="5"/>
    </i>
    <i>
      <x v="89"/>
      <x v="44"/>
      <x v="340"/>
      <x v="39"/>
      <x v="3"/>
      <x v="6"/>
      <x v="38"/>
      <x v="5"/>
    </i>
    <i>
      <x v="94"/>
      <x v="50"/>
      <x v="161"/>
      <x v="25"/>
      <x v="2"/>
      <x v="6"/>
      <x v="38"/>
      <x v="5"/>
    </i>
    <i>
      <x v="96"/>
      <x v="48"/>
      <x v="292"/>
      <x v="4"/>
      <x v="3"/>
      <x v="7"/>
      <x v="38"/>
      <x v="5"/>
    </i>
    <i>
      <x v="97"/>
      <x v="47"/>
      <x v="309"/>
      <x v="45"/>
      <x v="1"/>
      <x v="8"/>
      <x v="38"/>
      <x v="5"/>
    </i>
    <i>
      <x v="102"/>
      <x v="144"/>
      <x v="264"/>
      <x v="55"/>
      <x v="1"/>
      <x v="7"/>
      <x v="38"/>
      <x v="5"/>
    </i>
    <i>
      <x v="105"/>
      <x v="52"/>
      <x v="202"/>
      <x v="46"/>
      <x v="1"/>
      <x v="7"/>
      <x v="38"/>
      <x v="4"/>
    </i>
    <i>
      <x v="107"/>
      <x v="54"/>
      <x v="339"/>
      <x v="31"/>
      <x v="1"/>
      <x v="8"/>
      <x v="38"/>
      <x v="5"/>
    </i>
    <i>
      <x v="108"/>
      <x v="57"/>
      <x v="30"/>
      <x v="31"/>
      <x v="1"/>
      <x v="8"/>
      <x v="38"/>
      <x v="5"/>
    </i>
    <i>
      <x v="109"/>
      <x v="165"/>
      <x v="317"/>
      <x v="45"/>
      <x v="1"/>
      <x v="4"/>
      <x v="38"/>
      <x v="5"/>
    </i>
    <i>
      <x v="110"/>
      <x v="55"/>
      <x v="101"/>
      <x v="11"/>
      <x v="1"/>
      <x v="4"/>
      <x v="38"/>
      <x v="4"/>
    </i>
    <i>
      <x v="112"/>
      <x v="174"/>
      <x v="39"/>
      <x v="66"/>
      <x v="1"/>
      <x/>
      <x v="22"/>
      <x v="5"/>
    </i>
    <i>
      <x v="115"/>
      <x v="56"/>
      <x v="291"/>
      <x v="47"/>
      <x v="1"/>
      <x v="5"/>
      <x v="38"/>
      <x v="4"/>
    </i>
    <i>
      <x v="116"/>
      <x v="152"/>
      <x v="355"/>
      <x v="43"/>
      <x v="3"/>
      <x v="5"/>
      <x v="38"/>
      <x v="5"/>
    </i>
    <i>
      <x v="119"/>
      <x v="59"/>
      <x v="175"/>
      <x v="43"/>
      <x v="3"/>
      <x/>
      <x v="4"/>
      <x v="5"/>
    </i>
    <i>
      <x v="122"/>
      <x v="60"/>
      <x v="68"/>
      <x v="39"/>
      <x v="1"/>
      <x/>
      <x v="38"/>
      <x v="5"/>
    </i>
    <i>
      <x v="124"/>
      <x v="61"/>
      <x v="325"/>
      <x v="45"/>
      <x v="2"/>
      <x v="5"/>
      <x v="38"/>
      <x v="5"/>
    </i>
    <i>
      <x v="127"/>
      <x v="62"/>
      <x v="104"/>
      <x v="39"/>
      <x v="1"/>
      <x v="7"/>
      <x v="38"/>
      <x v="4"/>
    </i>
    <i>
      <x v="130"/>
      <x v="63"/>
      <x v="332"/>
      <x v="26"/>
      <x v="1"/>
      <x v="8"/>
      <x v="38"/>
      <x v="5"/>
    </i>
    <i>
      <x v="134"/>
      <x v="160"/>
      <x v="186"/>
      <x v="31"/>
      <x v="1"/>
      <x/>
      <x v="15"/>
      <x v="5"/>
    </i>
    <i>
      <x v="135"/>
      <x v="64"/>
      <x v="106"/>
      <x v="71"/>
      <x v="1"/>
      <x v="8"/>
      <x v="38"/>
      <x v="5"/>
    </i>
    <i>
      <x v="138"/>
      <x v="65"/>
      <x v="47"/>
      <x v="9"/>
      <x v="1"/>
      <x/>
      <x v="41"/>
      <x v="4"/>
    </i>
    <i>
      <x v="140"/>
      <x v="66"/>
      <x v="65"/>
      <x v="62"/>
      <x v="1"/>
      <x v="6"/>
      <x v="38"/>
      <x v="5"/>
    </i>
    <i>
      <x v="141"/>
      <x v="66"/>
      <x v="137"/>
      <x v="41"/>
      <x v="1"/>
      <x v="6"/>
      <x v="38"/>
      <x v="4"/>
    </i>
    <i>
      <x v="144"/>
      <x v="67"/>
      <x v="314"/>
      <x v="45"/>
      <x v="1"/>
      <x v="6"/>
      <x v="38"/>
      <x v="5"/>
    </i>
    <i>
      <x v="145"/>
      <x v="68"/>
      <x v="121"/>
      <x v="43"/>
      <x v="3"/>
      <x v="6"/>
      <x v="14"/>
      <x v="5"/>
    </i>
    <i>
      <x v="146"/>
      <x v="67"/>
      <x v="132"/>
      <x v="15"/>
      <x v="1"/>
      <x v="6"/>
      <x v="38"/>
      <x v="5"/>
    </i>
    <i>
      <x v="147"/>
      <x v="147"/>
      <x v="252"/>
      <x v="45"/>
      <x v="2"/>
      <x v="7"/>
      <x v="38"/>
      <x v="5"/>
    </i>
    <i>
      <x v="148"/>
      <x v="67"/>
      <x v="21"/>
      <x v="9"/>
      <x v="1"/>
      <x/>
      <x v="38"/>
      <x v="4"/>
    </i>
    <i>
      <x v="150"/>
      <x v="70"/>
      <x v="285"/>
      <x v="58"/>
      <x v="2"/>
      <x v="8"/>
      <x v="38"/>
      <x v="5"/>
    </i>
    <i>
      <x v="151"/>
      <x v="69"/>
      <x v="226"/>
      <x v="45"/>
      <x v="2"/>
      <x v="7"/>
      <x v="38"/>
      <x v="5"/>
    </i>
    <i>
      <x v="155"/>
      <x v="69"/>
      <x v="130"/>
      <x v="45"/>
      <x v="1"/>
      <x v="8"/>
      <x v="38"/>
      <x v="5"/>
    </i>
    <i>
      <x v="158"/>
      <x v="69"/>
      <x v="92"/>
      <x v="71"/>
      <x v="2"/>
      <x v="5"/>
      <x v="1"/>
      <x v="5"/>
    </i>
    <i>
      <x v="165"/>
      <x v="132"/>
      <x v="77"/>
      <x v="39"/>
      <x v="1"/>
      <x/>
      <x v="38"/>
      <x v="5"/>
    </i>
    <i>
      <x v="167"/>
      <x v="71"/>
      <x v="323"/>
      <x v="49"/>
      <x v="3"/>
      <x v="7"/>
      <x v="38"/>
      <x v="5"/>
    </i>
    <i>
      <x v="172"/>
      <x v="73"/>
      <x v="46"/>
      <x v="73"/>
      <x v="1"/>
      <x v="4"/>
      <x v="38"/>
      <x v="5"/>
    </i>
    <i>
      <x v="174"/>
      <x v="74"/>
      <x v="281"/>
      <x v="20"/>
      <x v="1"/>
      <x v="6"/>
      <x v="38"/>
      <x v="5"/>
    </i>
    <i>
      <x v="177"/>
      <x v="40"/>
      <x v="217"/>
      <x/>
      <x v="1"/>
      <x v="7"/>
      <x v="38"/>
      <x v="5"/>
    </i>
    <i>
      <x v="179"/>
      <x v="119"/>
      <x v="320"/>
      <x v="25"/>
      <x v="1"/>
      <x v="4"/>
      <x v="38"/>
      <x v="5"/>
    </i>
    <i>
      <x v="180"/>
      <x v="76"/>
      <x v="269"/>
      <x v="37"/>
      <x v="1"/>
      <x v="7"/>
      <x v="38"/>
      <x v="5"/>
    </i>
    <i>
      <x v="181"/>
      <x v="119"/>
      <x v="313"/>
      <x v="47"/>
      <x v="1"/>
      <x v="6"/>
      <x v="38"/>
      <x v="5"/>
    </i>
    <i>
      <x v="182"/>
      <x v="159"/>
      <x v="222"/>
      <x v="43"/>
      <x v="3"/>
      <x/>
      <x v="38"/>
      <x v="5"/>
    </i>
    <i>
      <x v="183"/>
      <x v="119"/>
      <x v="286"/>
      <x v="25"/>
      <x v="1"/>
      <x v="5"/>
      <x v="38"/>
      <x v="5"/>
    </i>
    <i>
      <x v="186"/>
      <x v="77"/>
      <x v="343"/>
      <x v="26"/>
      <x v="1"/>
      <x v="5"/>
      <x v="38"/>
      <x v="5"/>
    </i>
    <i>
      <x v="187"/>
      <x v="78"/>
      <x v="156"/>
      <x v="49"/>
      <x v="1"/>
      <x v="4"/>
      <x v="38"/>
      <x v="4"/>
    </i>
    <i>
      <x v="188"/>
      <x v="79"/>
      <x v="338"/>
      <x v="44"/>
      <x v="1"/>
      <x v="8"/>
      <x v="38"/>
      <x v="5"/>
    </i>
    <i>
      <x v="190"/>
      <x v="80"/>
      <x v="79"/>
      <x v="44"/>
      <x v="1"/>
      <x v="8"/>
      <x v="38"/>
      <x v="4"/>
    </i>
    <i>
      <x v="192"/>
      <x v="17"/>
      <x v="49"/>
      <x v="31"/>
      <x v="1"/>
      <x v="8"/>
      <x v="38"/>
      <x v="5"/>
    </i>
    <i>
      <x v="194"/>
      <x v="82"/>
      <x v="88"/>
      <x v="31"/>
      <x v="1"/>
      <x v="7"/>
      <x v="12"/>
      <x v="5"/>
    </i>
    <i>
      <x v="196"/>
      <x v="58"/>
      <x v="139"/>
      <x v="25"/>
      <x v="1"/>
      <x/>
      <x v="38"/>
      <x v="5"/>
    </i>
    <i>
      <x v="200"/>
      <x v="83"/>
      <x v="118"/>
      <x/>
      <x v="2"/>
      <x v="6"/>
      <x v="38"/>
      <x v="4"/>
    </i>
    <i>
      <x v="201"/>
      <x v="84"/>
      <x v="117"/>
      <x v="21"/>
      <x v="1"/>
      <x v="7"/>
      <x v="34"/>
      <x v="5"/>
    </i>
    <i>
      <x v="206"/>
      <x v="85"/>
      <x v="307"/>
      <x v="44"/>
      <x v="1"/>
      <x v="4"/>
      <x v="7"/>
      <x v="5"/>
    </i>
    <i>
      <x v="210"/>
      <x v="87"/>
      <x v="335"/>
      <x v="45"/>
      <x v="1"/>
      <x v="6"/>
      <x v="38"/>
      <x v="5"/>
    </i>
    <i>
      <x v="212"/>
      <x v="86"/>
      <x v="359"/>
      <x v="47"/>
      <x v="2"/>
      <x v="8"/>
      <x v="38"/>
      <x v="5"/>
    </i>
    <i>
      <x v="215"/>
      <x v="173"/>
      <x v="374"/>
      <x v="16"/>
      <x v="1"/>
      <x v="3"/>
      <x v="38"/>
      <x v="3"/>
    </i>
    <i>
      <x v="216"/>
      <x v="41"/>
      <x v="308"/>
      <x v="45"/>
      <x v="1"/>
      <x v="6"/>
      <x v="32"/>
      <x v="5"/>
    </i>
    <i>
      <x v="219"/>
      <x v="88"/>
      <x v="366"/>
      <x v="44"/>
      <x v="1"/>
      <x v="6"/>
      <x v="38"/>
      <x v="5"/>
    </i>
    <i>
      <x v="221"/>
      <x v="91"/>
      <x v="114"/>
      <x v="20"/>
      <x v="1"/>
      <x v="7"/>
      <x v="38"/>
      <x v="5"/>
    </i>
    <i>
      <x v="224"/>
      <x v="90"/>
      <x v="352"/>
      <x v="65"/>
      <x v="1"/>
      <x v="8"/>
      <x v="38"/>
      <x v="5"/>
    </i>
    <i>
      <x v="227"/>
      <x v="93"/>
      <x v="250"/>
      <x v="66"/>
      <x v="2"/>
      <x v="7"/>
      <x v="38"/>
      <x/>
    </i>
    <i>
      <x v="231"/>
      <x v="94"/>
      <x v="242"/>
      <x v="26"/>
      <x v="1"/>
      <x v="5"/>
      <x v="10"/>
      <x v="5"/>
    </i>
    <i>
      <x v="232"/>
      <x v="95"/>
      <x v="190"/>
      <x v="43"/>
      <x v="1"/>
      <x v="7"/>
      <x v="37"/>
      <x v="4"/>
    </i>
    <i>
      <x v="234"/>
      <x v="97"/>
      <x v="158"/>
      <x v="66"/>
      <x v="1"/>
      <x/>
      <x v="38"/>
      <x v="5"/>
    </i>
    <i>
      <x v="236"/>
      <x v="98"/>
      <x v="8"/>
      <x v="73"/>
      <x v="1"/>
      <x v="6"/>
      <x v="38"/>
      <x v="5"/>
    </i>
    <i>
      <x v="238"/>
      <x v="100"/>
      <x v="53"/>
      <x v="15"/>
      <x v="1"/>
      <x v="7"/>
      <x v="3"/>
      <x v="5"/>
    </i>
    <i>
      <x v="242"/>
      <x v="101"/>
      <x v="52"/>
      <x v="20"/>
      <x v="1"/>
      <x v="8"/>
      <x v="38"/>
      <x v="5"/>
    </i>
    <i>
      <x v="245"/>
      <x v="103"/>
      <x v="110"/>
      <x v="32"/>
      <x v="3"/>
      <x/>
      <x v="36"/>
      <x v="5"/>
    </i>
    <i>
      <x v="246"/>
      <x v="46"/>
      <x v="29"/>
      <x v="15"/>
      <x v="1"/>
      <x v="4"/>
      <x v="38"/>
      <x v="5"/>
    </i>
    <i>
      <x v="247"/>
      <x v="104"/>
      <x v="41"/>
      <x v="32"/>
      <x v="1"/>
      <x v="6"/>
      <x v="38"/>
      <x v="5"/>
    </i>
    <i>
      <x v="248"/>
      <x v="105"/>
      <x v="380"/>
      <x v="43"/>
      <x v="3"/>
      <x v="8"/>
      <x v="38"/>
      <x v="5"/>
    </i>
    <i>
      <x v="251"/>
      <x v="51"/>
      <x v="160"/>
      <x v="38"/>
      <x v="3"/>
      <x v="8"/>
      <x v="38"/>
      <x v="4"/>
    </i>
    <i>
      <x v="252"/>
      <x v="118"/>
      <x v="361"/>
      <x v="26"/>
      <x v="1"/>
      <x v="8"/>
      <x v="38"/>
      <x v="5"/>
    </i>
    <i>
      <x v="258"/>
      <x v="106"/>
      <x v="348"/>
      <x v="49"/>
      <x v="3"/>
      <x v="6"/>
      <x v="38"/>
      <x v="5"/>
    </i>
    <i>
      <x v="261"/>
      <x v="108"/>
      <x v="326"/>
      <x v="45"/>
      <x v="1"/>
      <x v="8"/>
      <x v="44"/>
      <x v="5"/>
    </i>
    <i>
      <x v="268"/>
      <x v="149"/>
      <x v="266"/>
      <x v="66"/>
      <x v="1"/>
      <x v="7"/>
      <x v="38"/>
      <x v="5"/>
    </i>
    <i>
      <x v="272"/>
      <x v="110"/>
      <x v="54"/>
      <x v="26"/>
      <x v="1"/>
      <x v="5"/>
      <x v="38"/>
      <x v="2"/>
    </i>
    <i>
      <x v="274"/>
      <x v="141"/>
      <x v="363"/>
      <x v="33"/>
      <x v="1"/>
      <x v="7"/>
      <x v="5"/>
      <x v="5"/>
    </i>
    <i>
      <x v="275"/>
      <x v="111"/>
      <x v="87"/>
      <x v="47"/>
      <x v="1"/>
      <x/>
      <x v="38"/>
      <x v="4"/>
    </i>
    <i>
      <x v="276"/>
      <x v="112"/>
      <x v="305"/>
      <x v="49"/>
      <x v="3"/>
      <x v="5"/>
      <x v="38"/>
      <x v="5"/>
    </i>
    <i>
      <x v="277"/>
      <x v="114"/>
      <x v="155"/>
      <x v="55"/>
      <x v="1"/>
      <x v="5"/>
      <x v="38"/>
      <x v="4"/>
    </i>
    <i>
      <x v="279"/>
      <x v="115"/>
      <x v="341"/>
      <x v="49"/>
      <x v="2"/>
      <x v="4"/>
      <x v="38"/>
      <x v="5"/>
    </i>
    <i>
      <x v="280"/>
      <x v="117"/>
      <x v="69"/>
      <x v="20"/>
      <x v="1"/>
      <x/>
      <x v="13"/>
      <x v="5"/>
    </i>
    <i>
      <x v="281"/>
      <x v="120"/>
      <x v="96"/>
      <x v="73"/>
      <x v="1"/>
      <x v="5"/>
      <x v="38"/>
      <x v="5"/>
    </i>
    <i>
      <x v="286"/>
      <x v="121"/>
      <x v="38"/>
      <x v="35"/>
      <x v="1"/>
      <x v="7"/>
      <x v="38"/>
      <x v="5"/>
    </i>
    <i>
      <x v="288"/>
      <x v="124"/>
      <x v="353"/>
      <x v="49"/>
      <x v="3"/>
      <x v="8"/>
      <x v="38"/>
      <x v="5"/>
    </i>
    <i>
      <x v="290"/>
      <x v="123"/>
      <x v="148"/>
      <x v="44"/>
      <x v="3"/>
      <x v="4"/>
      <x v="38"/>
      <x v="5"/>
    </i>
    <i>
      <x v="291"/>
      <x v="127"/>
      <x v="282"/>
      <x v="58"/>
      <x v="1"/>
      <x v="5"/>
      <x v="4"/>
      <x v="5"/>
    </i>
    <i>
      <x v="292"/>
      <x v="128"/>
      <x v="194"/>
      <x v="58"/>
      <x v="1"/>
      <x v="7"/>
      <x v="38"/>
      <x v="5"/>
    </i>
    <i>
      <x v="293"/>
      <x v="129"/>
      <x v="98"/>
      <x v="39"/>
      <x/>
      <x v="6"/>
      <x v="38"/>
      <x v="4"/>
    </i>
    <i>
      <x v="294"/>
      <x v="173"/>
      <x v="376"/>
      <x v="3"/>
      <x v="1"/>
      <x v="3"/>
      <x v="38"/>
      <x v="3"/>
    </i>
    <i>
      <x v="296"/>
      <x v="130"/>
      <x v="43"/>
      <x v="15"/>
      <x v="1"/>
      <x v="8"/>
      <x v="38"/>
      <x v="5"/>
    </i>
    <i>
      <x v="298"/>
      <x v="173"/>
      <x v="12"/>
      <x v="14"/>
      <x v="1"/>
      <x v="3"/>
      <x v="38"/>
      <x v="3"/>
    </i>
    <i>
      <x v="303"/>
      <x v="131"/>
      <x v="246"/>
      <x v="31"/>
      <x v="1"/>
      <x v="5"/>
      <x v="38"/>
      <x v="5"/>
    </i>
    <i>
      <x v="304"/>
      <x v="131"/>
      <x v="28"/>
      <x v="19"/>
      <x v="1"/>
      <x v="4"/>
      <x v="17"/>
      <x v="3"/>
    </i>
    <i>
      <x v="308"/>
      <x v="134"/>
      <x v="279"/>
      <x v="49"/>
      <x v="1"/>
      <x v="8"/>
      <x v="38"/>
      <x v="5"/>
    </i>
    <i>
      <x v="310"/>
      <x v="135"/>
      <x v="55"/>
      <x v="62"/>
      <x v="1"/>
      <x/>
      <x v="38"/>
      <x v="5"/>
    </i>
    <i>
      <x v="311"/>
      <x v="136"/>
      <x v="303"/>
      <x v="47"/>
      <x v="1"/>
      <x v="7"/>
      <x v="38"/>
      <x v="5"/>
    </i>
    <i>
      <x v="313"/>
      <x v="137"/>
      <x v="44"/>
      <x v="21"/>
      <x v="1"/>
      <x v="7"/>
      <x v="38"/>
      <x v="5"/>
    </i>
    <i>
      <x v="318"/>
      <x v="140"/>
      <x v="319"/>
      <x v="49"/>
      <x v="3"/>
      <x v="5"/>
      <x v="38"/>
      <x v="5"/>
    </i>
    <i>
      <x v="319"/>
      <x v="163"/>
      <x v="50"/>
      <x v="4"/>
      <x v="1"/>
      <x/>
      <x v="42"/>
      <x v="5"/>
    </i>
    <i>
      <x v="321"/>
      <x v="143"/>
      <x v="240"/>
      <x v="65"/>
      <x v="1"/>
      <x v="4"/>
      <x v="38"/>
      <x v="5"/>
    </i>
    <i>
      <x v="322"/>
      <x v="133"/>
      <x v="354"/>
      <x v="47"/>
      <x v="1"/>
      <x v="6"/>
      <x v="38"/>
      <x v="5"/>
    </i>
    <i>
      <x v="324"/>
      <x v="42"/>
      <x v="322"/>
      <x v="43"/>
      <x v="3"/>
      <x v="4"/>
      <x v="38"/>
      <x v="5"/>
    </i>
    <i>
      <x v="326"/>
      <x v="173"/>
      <x v="71"/>
      <x v="14"/>
      <x v="1"/>
      <x v="3"/>
      <x v="38"/>
      <x v="3"/>
    </i>
    <i>
      <x v="328"/>
      <x v="145"/>
      <x v="170"/>
      <x v="55"/>
      <x v="1"/>
      <x v="5"/>
      <x v="38"/>
      <x v="4"/>
    </i>
    <i>
      <x v="331"/>
      <x v="146"/>
      <x v="74"/>
      <x v="8"/>
      <x v="1"/>
      <x v="4"/>
      <x v="38"/>
      <x v="4"/>
    </i>
    <i>
      <x v="337"/>
      <x v="149"/>
      <x v="364"/>
      <x v="43"/>
      <x v="3"/>
      <x v="7"/>
      <x v="38"/>
      <x v="5"/>
    </i>
    <i>
      <x v="339"/>
      <x v="28"/>
      <x v="141"/>
      <x v="32"/>
      <x v="3"/>
      <x v="4"/>
      <x v="43"/>
      <x v="5"/>
    </i>
    <i>
      <x v="340"/>
      <x v="150"/>
      <x v="336"/>
      <x v="49"/>
      <x v="3"/>
      <x v="8"/>
      <x v="28"/>
      <x v="5"/>
    </i>
    <i>
      <x v="341"/>
      <x v="150"/>
      <x v="333"/>
      <x v="43"/>
      <x v="3"/>
      <x v="8"/>
      <x v="8"/>
      <x v="5"/>
    </i>
    <i>
      <x v="344"/>
      <x v="151"/>
      <x v="136"/>
      <x v="25"/>
      <x v="1"/>
      <x/>
      <x v="18"/>
      <x v="4"/>
    </i>
    <i>
      <x v="345"/>
      <x v="150"/>
      <x v="140"/>
      <x v="23"/>
      <x v="1"/>
      <x/>
      <x v="38"/>
      <x v="5"/>
    </i>
    <i>
      <x v="346"/>
      <x v="150"/>
      <x v="133"/>
      <x v="34"/>
      <x v="1"/>
      <x v="7"/>
      <x v="38"/>
      <x v="4"/>
    </i>
    <i>
      <x v="347"/>
      <x v="125"/>
      <x v="318"/>
      <x v="43"/>
      <x v="3"/>
      <x v="5"/>
      <x v="38"/>
      <x v="5"/>
    </i>
    <i>
      <x v="361"/>
      <x v="43"/>
      <x v="10"/>
      <x v="62"/>
      <x v="1"/>
      <x v="5"/>
      <x v="38"/>
      <x v="4"/>
    </i>
    <i>
      <x v="362"/>
      <x v="153"/>
      <x v="179"/>
      <x v="43"/>
      <x v="3"/>
      <x v="7"/>
      <x v="38"/>
      <x v="5"/>
    </i>
    <i>
      <x v="364"/>
      <x v="154"/>
      <x v="20"/>
      <x v="4"/>
      <x v="1"/>
      <x v="4"/>
      <x v="38"/>
      <x v="5"/>
    </i>
    <i>
      <x v="365"/>
      <x v="155"/>
      <x v="60"/>
      <x v="15"/>
      <x v="3"/>
      <x v="5"/>
      <x v="38"/>
      <x v="5"/>
    </i>
    <i>
      <x v="367"/>
      <x v="158"/>
      <x v="350"/>
      <x v="66"/>
      <x v="1"/>
      <x v="4"/>
      <x v="38"/>
      <x v="5"/>
    </i>
    <i>
      <x v="369"/>
      <x v="157"/>
      <x v="113"/>
      <x v="34"/>
      <x v="1"/>
      <x v="6"/>
      <x v="38"/>
      <x v="5"/>
    </i>
    <i>
      <x v="370"/>
      <x v="162"/>
      <x v="153"/>
      <x v="31"/>
      <x v="2"/>
      <x/>
      <x v="38"/>
      <x v="5"/>
    </i>
    <i>
      <x v="371"/>
      <x v="166"/>
      <x v="236"/>
      <x v="44"/>
      <x v="3"/>
      <x v="8"/>
      <x v="38"/>
      <x v="5"/>
    </i>
    <i>
      <x v="372"/>
      <x v="164"/>
      <x v="59"/>
      <x v="21"/>
      <x v="1"/>
      <x/>
      <x v="38"/>
      <x v="5"/>
    </i>
    <i>
      <x v="373"/>
      <x v="167"/>
      <x v="288"/>
      <x v="49"/>
      <x v="1"/>
      <x/>
      <x v="38"/>
      <x v="5"/>
    </i>
    <i>
      <x v="375"/>
      <x v="168"/>
      <x v="209"/>
      <x v="49"/>
      <x v="1"/>
      <x v="7"/>
      <x v="38"/>
      <x v="5"/>
    </i>
    <i>
      <x v="378"/>
      <x v="168"/>
      <x v="344"/>
      <x v="44"/>
      <x v="3"/>
      <x v="4"/>
      <x v="9"/>
      <x v="5"/>
    </i>
    <i>
      <x v="380"/>
      <x v="170"/>
      <x v="165"/>
      <x v="15"/>
      <x v="1"/>
      <x/>
      <x v="38"/>
      <x v="5"/>
    </i>
    <i>
      <x v="382"/>
      <x v="170"/>
      <x v="169"/>
      <x v="58"/>
      <x v="1"/>
      <x v="7"/>
      <x v="38"/>
      <x/>
    </i>
    <i>
      <x v="383"/>
      <x v="169"/>
      <x v="365"/>
      <x v="73"/>
      <x v="1"/>
      <x v="8"/>
      <x v="38"/>
      <x v="5"/>
    </i>
    <i>
      <x v="384"/>
      <x v="171"/>
      <x v="57"/>
      <x v="32"/>
      <x v="3"/>
      <x v="5"/>
      <x v="38"/>
      <x v="5"/>
    </i>
    <i>
      <x v="389"/>
      <x v="89"/>
      <x v="33"/>
      <x v="31"/>
      <x v="1"/>
      <x v="6"/>
      <x v="21"/>
      <x v="5"/>
    </i>
    <i>
      <x v="392"/>
      <x v="175"/>
      <x v="379"/>
      <x v="36"/>
      <x v="1"/>
      <x v="8"/>
      <x v="38"/>
      <x v="5"/>
    </i>
    <i t="grand">
      <x/>
    </i>
  </rowItems>
  <colItems count="1">
    <i/>
  </colItems>
  <pageFields count="1">
    <pageField fld="29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44EF23-99FB-4DE3-9355-2D5EFC98D262}" name="TablaDinámica1" cacheId="396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compact="0" compactData="0" multipleFieldFilters="0" rowHeaderCaption="Nombre Completo">
  <location ref="A4:Q156" firstHeaderRow="1" firstDataRow="1" firstDataCol="16" rowPageCount="2" colPageCount="1"/>
  <pivotFields count="52">
    <pivotField name="R.U.N." axis="axisRow" compact="0" outline="0" showAll="0" defaultSubtotal="0">
      <items count="381">
        <item m="1" x="259"/>
        <item m="1" x="292"/>
        <item m="1" x="216"/>
        <item x="85"/>
        <item x="115"/>
        <item x="190"/>
        <item m="1" x="380"/>
        <item x="82"/>
        <item m="1" x="264"/>
        <item x="193"/>
        <item m="1" x="258"/>
        <item m="1" x="260"/>
        <item m="1" x="217"/>
        <item m="1" x="255"/>
        <item m="1" x="314"/>
        <item m="1" x="235"/>
        <item m="1" x="218"/>
        <item m="1" x="250"/>
        <item m="1" x="288"/>
        <item m="1" x="219"/>
        <item m="1" x="289"/>
        <item x="92"/>
        <item x="94"/>
        <item x="84"/>
        <item m="1" x="285"/>
        <item m="1" x="273"/>
        <item m="1" x="315"/>
        <item m="1" x="290"/>
        <item x="151"/>
        <item m="1" x="214"/>
        <item x="25"/>
        <item m="1" x="246"/>
        <item m="1" x="277"/>
        <item x="155"/>
        <item m="1" x="279"/>
        <item m="1" x="265"/>
        <item m="1" x="249"/>
        <item m="1" x="224"/>
        <item m="1" x="261"/>
        <item m="1" x="234"/>
        <item m="1" x="300"/>
        <item m="1" x="308"/>
        <item m="1" x="269"/>
        <item m="1" x="295"/>
        <item x="109"/>
        <item m="1" x="262"/>
        <item m="1" x="310"/>
        <item m="1" x="233"/>
        <item m="1" x="379"/>
        <item m="1" x="298"/>
        <item m="1" x="221"/>
        <item m="1" x="252"/>
        <item x="121"/>
        <item m="1" x="245"/>
        <item m="1" x="247"/>
        <item m="1" x="230"/>
        <item m="1" x="243"/>
        <item m="1" x="291"/>
        <item m="1" x="294"/>
        <item m="1" x="227"/>
        <item m="1" x="226"/>
        <item m="1" x="305"/>
        <item m="1" x="225"/>
        <item m="1" x="293"/>
        <item m="1" x="241"/>
        <item m="1" x="238"/>
        <item m="1" x="263"/>
        <item m="1" x="244"/>
        <item m="1" x="213"/>
        <item m="1" x="228"/>
        <item m="1" x="309"/>
        <item m="1" x="248"/>
        <item m="1" x="222"/>
        <item m="1" x="220"/>
        <item m="1" x="270"/>
        <item m="1" x="283"/>
        <item m="1" x="251"/>
        <item m="1" x="212"/>
        <item m="1" x="268"/>
        <item m="1" x="267"/>
        <item m="1" x="242"/>
        <item m="1" x="302"/>
        <item m="1" x="231"/>
        <item m="1" x="280"/>
        <item m="1" x="276"/>
        <item m="1" x="301"/>
        <item m="1" x="296"/>
        <item m="1" x="299"/>
        <item m="1" x="304"/>
        <item m="1" x="232"/>
        <item m="1" x="297"/>
        <item m="1" x="239"/>
        <item m="1" x="272"/>
        <item m="1" x="278"/>
        <item m="1" x="236"/>
        <item m="1" x="229"/>
        <item m="1" x="257"/>
        <item m="1" x="223"/>
        <item m="1" x="275"/>
        <item m="1" x="312"/>
        <item m="1" x="237"/>
        <item m="1" x="307"/>
        <item m="1" x="311"/>
        <item m="1" x="286"/>
        <item m="1" x="266"/>
        <item m="1" x="256"/>
        <item m="1" x="271"/>
        <item m="1" x="303"/>
        <item m="1" x="240"/>
        <item m="1" x="306"/>
        <item m="1" x="282"/>
        <item m="1" x="254"/>
        <item m="1" x="313"/>
        <item m="1" x="287"/>
        <item m="1" x="284"/>
        <item m="1" x="253"/>
        <item m="1" x="281"/>
        <item x="204"/>
        <item x="205"/>
        <item m="1" x="316"/>
        <item m="1" x="317"/>
        <item m="1" x="318"/>
        <item m="1" x="319"/>
        <item m="1" x="320"/>
        <item m="1" x="321"/>
        <item m="1" x="322"/>
        <item x="123"/>
        <item m="1" x="323"/>
        <item m="1" x="324"/>
        <item m="1" x="325"/>
        <item x="98"/>
        <item m="1" x="326"/>
        <item m="1" x="327"/>
        <item x="88"/>
        <item m="1" x="328"/>
        <item m="1" x="329"/>
        <item m="1" x="330"/>
        <item x="142"/>
        <item m="1" x="331"/>
        <item x="81"/>
        <item x="87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215"/>
        <item m="1" x="274"/>
        <item m="1" x="353"/>
        <item m="1" x="354"/>
        <item x="91"/>
        <item m="1" x="355"/>
        <item x="191"/>
        <item x="187"/>
        <item x="188"/>
        <item x="189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6"/>
        <item m="1" x="365"/>
        <item x="10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x="200"/>
        <item m="1" x="378"/>
        <item m="1" x="211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207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10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m="1" x="20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9"/>
        <item x="194"/>
        <item x="195"/>
        <item x="138"/>
        <item x="196"/>
        <item x="197"/>
        <item x="198"/>
        <item x="199"/>
        <item x="201"/>
        <item x="202"/>
        <item x="203"/>
        <item x="206"/>
        <item x="22"/>
      </items>
    </pivotField>
    <pivotField name="Correo Electrónico" axis="axisRow" compact="0" outline="0" showAll="0" defaultSubtotal="0">
      <items count="369">
        <item m="1" x="257"/>
        <item m="1" x="211"/>
        <item x="94"/>
        <item m="1" x="258"/>
        <item m="1" x="216"/>
        <item m="1" x="230"/>
        <item m="1" x="222"/>
        <item m="1" x="212"/>
        <item m="1" x="223"/>
        <item m="1" x="241"/>
        <item m="1" x="254"/>
        <item m="1" x="256"/>
        <item m="1" x="248"/>
        <item m="1" x="255"/>
        <item x="190"/>
        <item m="1" x="224"/>
        <item m="1" x="247"/>
        <item m="1" x="219"/>
        <item m="1" x="240"/>
        <item m="1" x="218"/>
        <item m="1" x="242"/>
        <item m="1" x="232"/>
        <item m="1" x="246"/>
        <item m="1" x="249"/>
        <item m="1" x="235"/>
        <item m="1" x="252"/>
        <item m="1" x="236"/>
        <item m="1" x="221"/>
        <item m="1" x="234"/>
        <item m="1" x="228"/>
        <item m="1" x="217"/>
        <item m="1" x="251"/>
        <item m="1" x="231"/>
        <item x="25"/>
        <item m="1" x="250"/>
        <item m="1" x="215"/>
        <item m="1" x="225"/>
        <item m="1" x="238"/>
        <item m="1" x="237"/>
        <item x="151"/>
        <item m="1" x="245"/>
        <item m="1" x="253"/>
        <item m="1" x="213"/>
        <item m="1" x="244"/>
        <item x="193"/>
        <item m="1" x="220"/>
        <item m="1" x="243"/>
        <item m="1" x="227"/>
        <item x="121"/>
        <item m="1" x="226"/>
        <item x="92"/>
        <item m="1" x="229"/>
        <item x="109"/>
        <item m="1" x="233"/>
        <item m="1" x="214"/>
        <item m="1" x="239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84"/>
        <item m="1" x="287"/>
        <item m="1" x="288"/>
        <item x="85"/>
        <item m="1" x="289"/>
        <item m="1" x="290"/>
        <item m="1" x="291"/>
        <item m="1" x="292"/>
        <item m="1" x="293"/>
        <item x="115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x="204"/>
        <item x="205"/>
        <item m="1" x="317"/>
        <item m="1" x="318"/>
        <item m="1" x="319"/>
        <item m="1" x="320"/>
        <item m="1" x="321"/>
        <item m="1" x="322"/>
        <item m="1" x="323"/>
        <item x="123"/>
        <item m="1" x="324"/>
        <item m="1" x="325"/>
        <item m="1" x="368"/>
        <item x="98"/>
        <item m="1" x="326"/>
        <item m="1" x="327"/>
        <item m="1" x="328"/>
        <item x="88"/>
        <item m="1" x="329"/>
        <item m="1" x="330"/>
        <item m="1" x="331"/>
        <item x="142"/>
        <item m="1" x="332"/>
        <item x="81"/>
        <item x="87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name="Nombre" axis="axisRow" compact="0" outline="0" showAll="0" defaultSubtotal="0">
      <items count="393">
        <item m="1" x="211"/>
        <item m="1" x="259"/>
        <item x="151"/>
        <item x="94"/>
        <item m="1" x="222"/>
        <item m="1" x="216"/>
        <item m="1" x="230"/>
        <item m="1" x="212"/>
        <item m="1" x="249"/>
        <item m="1" x="223"/>
        <item m="1" x="241"/>
        <item m="1" x="256"/>
        <item m="1" x="254"/>
        <item m="1" x="248"/>
        <item m="1" x="260"/>
        <item m="1" x="389"/>
        <item m="1" x="224"/>
        <item m="1" x="247"/>
        <item m="1" x="237"/>
        <item m="1" x="219"/>
        <item m="1" x="246"/>
        <item m="1" x="232"/>
        <item m="1" x="242"/>
        <item m="1" x="218"/>
        <item m="1" x="240"/>
        <item m="1" x="235"/>
        <item m="1" x="252"/>
        <item m="1" x="236"/>
        <item m="1" x="221"/>
        <item m="1" x="217"/>
        <item m="1" x="234"/>
        <item m="1" x="228"/>
        <item m="1" x="251"/>
        <item m="1" x="231"/>
        <item x="25"/>
        <item m="1" x="250"/>
        <item m="1" x="225"/>
        <item m="1" x="220"/>
        <item m="1" x="238"/>
        <item m="1" x="386"/>
        <item m="1" x="390"/>
        <item m="1" x="213"/>
        <item m="1" x="244"/>
        <item x="190"/>
        <item m="1" x="227"/>
        <item x="193"/>
        <item m="1" x="243"/>
        <item m="1" x="215"/>
        <item x="121"/>
        <item x="92"/>
        <item m="1" x="258"/>
        <item m="1" x="229"/>
        <item m="1" x="233"/>
        <item m="1" x="226"/>
        <item m="1" x="214"/>
        <item m="1" x="239"/>
        <item m="1" x="388"/>
        <item m="1" x="391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385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x="84"/>
        <item m="1" x="289"/>
        <item m="1" x="387"/>
        <item m="1" x="291"/>
        <item m="1" x="292"/>
        <item m="1" x="293"/>
        <item x="155"/>
        <item x="82"/>
        <item m="1" x="294"/>
        <item x="115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92"/>
        <item m="1" x="384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253"/>
        <item m="1" x="255"/>
        <item m="1" x="274"/>
        <item m="1" x="306"/>
        <item m="1" x="245"/>
        <item m="1" x="257"/>
        <item m="1" x="261"/>
        <item m="1" x="290"/>
        <item m="1" x="305"/>
        <item x="204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83"/>
        <item m="1" x="329"/>
        <item m="1" x="330"/>
        <item m="1" x="331"/>
        <item m="1" x="332"/>
        <item x="88"/>
        <item m="1" x="333"/>
        <item m="1" x="334"/>
        <item m="1" x="262"/>
        <item m="1" x="328"/>
        <item m="1" x="335"/>
        <item x="142"/>
        <item m="1" x="336"/>
        <item m="1" x="337"/>
        <item x="8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compact="0" numFmtId="14" outline="0" showAll="0"/>
    <pivotField compact="0" outline="0" showAll="0"/>
    <pivotField name="Comuna Inscrita" axis="axisRow" compact="0" outline="0" showAll="0" defaultSubtotal="0">
      <items count="52">
        <item x="15"/>
        <item x="2"/>
        <item x="11"/>
        <item m="1" x="51"/>
        <item m="1" x="31"/>
        <item x="4"/>
        <item m="1" x="28"/>
        <item x="3"/>
        <item m="1" x="35"/>
        <item m="1" x="33"/>
        <item x="1"/>
        <item x="0"/>
        <item x="5"/>
        <item m="1" x="49"/>
        <item m="1" x="32"/>
        <item x="19"/>
        <item m="1" x="50"/>
        <item m="1" x="48"/>
        <item m="1" x="45"/>
        <item m="1" x="36"/>
        <item m="1" x="37"/>
        <item x="20"/>
        <item m="1" x="38"/>
        <item x="18"/>
        <item m="1" x="46"/>
        <item m="1" x="40"/>
        <item m="1" x="39"/>
        <item m="1" x="41"/>
        <item m="1" x="42"/>
        <item m="1" x="43"/>
        <item m="1" x="34"/>
        <item x="21"/>
        <item m="1" x="44"/>
        <item m="1" x="47"/>
        <item x="22"/>
        <item x="6"/>
        <item x="7"/>
        <item x="8"/>
        <item x="9"/>
        <item m="1" x="29"/>
        <item x="10"/>
        <item x="12"/>
        <item x="13"/>
        <item m="1" x="30"/>
        <item x="14"/>
        <item x="17"/>
        <item x="16"/>
        <item m="1" x="27"/>
        <item x="23"/>
        <item x="24"/>
        <item m="1" x="26"/>
        <item x="25"/>
      </items>
    </pivotField>
    <pivotField compact="0" outline="0" showAll="0"/>
    <pivotField name="N° Fono" axis="axisRow" compact="0" outline="0" showAll="0" defaultSubtotal="0">
      <items count="370">
        <item m="1" x="368"/>
        <item m="1" x="364"/>
        <item m="1" x="365"/>
        <item x="151"/>
        <item m="1" x="233"/>
        <item m="1" x="214"/>
        <item m="1" x="211"/>
        <item m="1" x="210"/>
        <item x="92"/>
        <item m="1" x="231"/>
        <item m="1" x="246"/>
        <item m="1" x="228"/>
        <item m="1" x="220"/>
        <item m="1" x="224"/>
        <item m="1" x="243"/>
        <item m="1" x="223"/>
        <item m="1" x="218"/>
        <item m="1" x="236"/>
        <item m="1" x="227"/>
        <item x="109"/>
        <item m="1" x="250"/>
        <item m="1" x="253"/>
        <item m="1" x="229"/>
        <item m="1" x="234"/>
        <item x="94"/>
        <item m="1" x="244"/>
        <item x="25"/>
        <item m="1" x="222"/>
        <item m="1" x="239"/>
        <item m="1" x="232"/>
        <item m="1" x="245"/>
        <item m="1" x="251"/>
        <item m="1" x="216"/>
        <item m="1" x="252"/>
        <item m="1" x="254"/>
        <item m="1" x="226"/>
        <item m="1" x="247"/>
        <item m="1" x="230"/>
        <item m="1" x="235"/>
        <item m="1" x="241"/>
        <item x="193"/>
        <item m="1" x="237"/>
        <item m="1" x="225"/>
        <item m="1" x="221"/>
        <item m="1" x="219"/>
        <item m="1" x="217"/>
        <item m="1" x="242"/>
        <item m="1" x="255"/>
        <item m="1" x="257"/>
        <item m="1" x="256"/>
        <item x="121"/>
        <item x="190"/>
        <item m="1" x="238"/>
        <item m="1" x="240"/>
        <item m="1" x="366"/>
        <item m="1" x="367"/>
        <item m="1" x="212"/>
        <item m="1" x="213"/>
        <item m="1" x="248"/>
        <item m="1" x="249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369"/>
        <item m="1" x="280"/>
        <item m="1" x="281"/>
        <item m="1" x="282"/>
        <item m="1" x="283"/>
        <item m="1" x="284"/>
        <item m="1" x="285"/>
        <item x="84"/>
        <item m="1" x="286"/>
        <item x="85"/>
        <item m="1" x="287"/>
        <item m="1" x="288"/>
        <item x="155"/>
        <item x="82"/>
        <item m="1" x="289"/>
        <item x="115"/>
        <item m="1" x="27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x="204"/>
        <item x="205"/>
        <item m="1" x="313"/>
        <item m="1" x="314"/>
        <item m="1" x="315"/>
        <item m="1" x="316"/>
        <item m="1" x="317"/>
        <item m="1" x="318"/>
        <item m="1" x="319"/>
        <item x="123"/>
        <item m="1" x="320"/>
        <item m="1" x="321"/>
        <item m="1" x="322"/>
        <item x="98"/>
        <item m="1" x="323"/>
        <item m="1" x="324"/>
        <item x="88"/>
        <item m="1" x="325"/>
        <item m="1" x="326"/>
        <item m="1" x="327"/>
        <item x="142"/>
        <item m="1" x="328"/>
        <item x="81"/>
        <item x="87"/>
        <item m="1" x="215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209"/>
        <item m="1" x="350"/>
        <item m="1" x="351"/>
        <item m="1" x="352"/>
        <item m="1" x="353"/>
        <item x="191"/>
        <item x="187"/>
        <item x="188"/>
        <item x="189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8"/>
        <item x="83"/>
        <item x="86"/>
        <item x="90"/>
        <item x="95"/>
        <item x="96"/>
        <item x="97"/>
        <item x="99"/>
        <item x="100"/>
        <item x="101"/>
        <item x="89"/>
        <item x="91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7"/>
        <item x="194"/>
        <item x="195"/>
        <item x="196"/>
        <item x="197"/>
        <item x="198"/>
        <item x="199"/>
        <item x="200"/>
        <item x="201"/>
        <item x="202"/>
        <item x="203"/>
        <item x="206"/>
      </items>
    </pivotField>
    <pivotField name="Rol" axis="axisPage" compact="0" outline="0" multipleItemSelectionAllowed="1" showAll="0">
      <items count="8">
        <item h="1" x="3"/>
        <item h="1" x="1"/>
        <item x="0"/>
        <item h="1" m="1" x="6"/>
        <item h="1" x="4"/>
        <item h="1" x="5"/>
        <item h="1" x="2"/>
        <item t="default"/>
      </items>
    </pivotField>
    <pivotField name="Grupo " axis="axisRow" compact="0" outline="0" showAll="0" defaultSubtotal="0">
      <items count="80">
        <item x="38"/>
        <item x="45"/>
        <item x="25"/>
        <item m="1" x="68"/>
        <item x="46"/>
        <item x="14"/>
        <item x="37"/>
        <item x="40"/>
        <item x="3"/>
        <item x="0"/>
        <item m="1" x="48"/>
        <item x="29"/>
        <item m="1" x="67"/>
        <item m="1" x="76"/>
        <item x="1"/>
        <item x="30"/>
        <item x="22"/>
        <item x="19"/>
        <item x="28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3"/>
        <item x="32"/>
        <item m="1" x="78"/>
        <item m="1" x="79"/>
        <item x="13"/>
        <item x="18"/>
        <item x="43"/>
        <item m="1" x="62"/>
        <item x="42"/>
        <item m="1" x="65"/>
        <item m="1" x="77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ama Curso" axis="axisRow" compact="0" outline="0" showAll="0" defaultSubtotal="0">
      <items count="10">
        <item x="2"/>
        <item x="6"/>
        <item x="5"/>
        <item x="0"/>
        <item x="3"/>
        <item x="1"/>
        <item x="4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istrito " axis="axisRow" compact="0" outline="0" showAll="0">
      <items count="25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name="Estado" axis="axisPage" compact="0" outline="0" multipleItemSelectionAllowed="1" showAll="0">
      <items count="8">
        <item x="0"/>
        <item h="1" m="1" x="5"/>
        <item h="1" x="1"/>
        <item m="1" x="3"/>
        <item h="1" m="1" x="6"/>
        <item h="1" m="1" x="2"/>
        <item h="1"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4">
        <item m="1" x="33"/>
        <item x="32"/>
        <item x="6"/>
        <item x="8"/>
        <item x="12"/>
        <item x="5"/>
        <item x="2"/>
        <item x="1"/>
        <item x="3"/>
        <item x="15"/>
        <item x="16"/>
        <item x="18"/>
        <item x="27"/>
        <item x="13"/>
        <item x="0"/>
        <item x="29"/>
        <item x="11"/>
        <item x="4"/>
        <item x="10"/>
        <item x="20"/>
        <item x="14"/>
        <item x="17"/>
        <item x="7"/>
        <item x="19"/>
        <item x="25"/>
        <item x="26"/>
        <item x="9"/>
        <item x="23"/>
        <item x="24"/>
        <item x="31"/>
        <item x="22"/>
        <item x="21"/>
        <item x="28"/>
        <item x="30"/>
      </items>
    </pivotField>
    <pivotField axis="axisRow" compact="0" outline="0" showAll="0" defaultSubtotal="0">
      <items count="132">
        <item x="96"/>
        <item x="39"/>
        <item x="101"/>
        <item x="128"/>
        <item x="40"/>
        <item x="129"/>
        <item x="38"/>
        <item x="65"/>
        <item x="18"/>
        <item x="105"/>
        <item x="6"/>
        <item x="92"/>
        <item x="116"/>
        <item x="126"/>
        <item x="10"/>
        <item x="73"/>
        <item x="34"/>
        <item x="106"/>
        <item x="9"/>
        <item x="36"/>
        <item x="58"/>
        <item x="89"/>
        <item x="1"/>
        <item x="56"/>
        <item x="2"/>
        <item x="85"/>
        <item x="121"/>
        <item x="64"/>
        <item x="11"/>
        <item x="15"/>
        <item x="3"/>
        <item x="5"/>
        <item x="80"/>
        <item x="110"/>
        <item x="83"/>
        <item x="41"/>
        <item x="68"/>
        <item x="74"/>
        <item x="81"/>
        <item x="45"/>
        <item x="37"/>
        <item x="120"/>
        <item x="46"/>
        <item x="24"/>
        <item x="118"/>
        <item x="61"/>
        <item x="130"/>
        <item x="26"/>
        <item x="97"/>
        <item x="25"/>
        <item x="31"/>
        <item x="115"/>
        <item x="93"/>
        <item x="109"/>
        <item x="35"/>
        <item x="63"/>
        <item x="75"/>
        <item x="111"/>
        <item x="49"/>
        <item x="76"/>
        <item x="114"/>
        <item x="104"/>
        <item x="19"/>
        <item x="69"/>
        <item x="90"/>
        <item x="124"/>
        <item x="29"/>
        <item x="51"/>
        <item x="62"/>
        <item x="13"/>
        <item x="53"/>
        <item x="119"/>
        <item x="72"/>
        <item x="70"/>
        <item x="50"/>
        <item x="52"/>
        <item x="42"/>
        <item x="107"/>
        <item x="8"/>
        <item x="99"/>
        <item x="54"/>
        <item x="103"/>
        <item x="23"/>
        <item x="21"/>
        <item x="67"/>
        <item x="59"/>
        <item x="77"/>
        <item x="125"/>
        <item x="48"/>
        <item x="17"/>
        <item x="16"/>
        <item x="91"/>
        <item x="12"/>
        <item x="27"/>
        <item x="66"/>
        <item x="127"/>
        <item x="95"/>
        <item x="88"/>
        <item x="47"/>
        <item x="71"/>
        <item x="113"/>
        <item x="22"/>
        <item x="30"/>
        <item x="98"/>
        <item x="4"/>
        <item x="33"/>
        <item x="79"/>
        <item x="87"/>
        <item x="102"/>
        <item x="100"/>
        <item x="14"/>
        <item x="0"/>
        <item x="57"/>
        <item x="55"/>
        <item x="20"/>
        <item x="82"/>
        <item x="117"/>
        <item x="108"/>
        <item x="44"/>
        <item x="94"/>
        <item x="86"/>
        <item x="60"/>
        <item x="43"/>
        <item x="32"/>
        <item x="84"/>
        <item x="28"/>
        <item x="123"/>
        <item x="7"/>
        <item x="78"/>
        <item x="112"/>
        <item x="122"/>
        <item x="131"/>
      </items>
    </pivotField>
    <pivotField axis="axisRow" compact="0" outline="0" showAll="0" defaultSubtotal="0">
      <items count="63">
        <item x="45"/>
        <item x="26"/>
        <item x="14"/>
        <item x="39"/>
        <item x="59"/>
        <item x="56"/>
        <item x="36"/>
        <item x="17"/>
        <item x="57"/>
        <item x="50"/>
        <item x="47"/>
        <item x="12"/>
        <item x="54"/>
        <item x="58"/>
        <item x="15"/>
        <item x="48"/>
        <item x="55"/>
        <item x="21"/>
        <item x="41"/>
        <item x="11"/>
        <item x="22"/>
        <item x="51"/>
        <item x="19"/>
        <item x="53"/>
        <item x="20"/>
        <item x="49"/>
        <item x="0"/>
        <item x="13"/>
        <item x="32"/>
        <item x="34"/>
        <item x="4"/>
        <item x="25"/>
        <item x="35"/>
        <item x="9"/>
        <item x="5"/>
        <item x="7"/>
        <item x="44"/>
        <item x="2"/>
        <item x="23"/>
        <item x="8"/>
        <item x="37"/>
        <item x="18"/>
        <item x="29"/>
        <item x="42"/>
        <item x="28"/>
        <item x="46"/>
        <item x="40"/>
        <item x="1"/>
        <item x="6"/>
        <item x="30"/>
        <item x="16"/>
        <item x="52"/>
        <item x="27"/>
        <item x="38"/>
        <item x="10"/>
        <item x="24"/>
        <item x="31"/>
        <item x="3"/>
        <item x="33"/>
        <item x="62"/>
        <item x="61"/>
        <item x="43"/>
        <item x="60"/>
      </items>
    </pivotField>
    <pivotField axis="axisRow" compact="0" outline="0" showAll="0" defaultSubtotal="0">
      <items count="90">
        <item x="54"/>
        <item x="73"/>
        <item x="41"/>
        <item x="33"/>
        <item x="5"/>
        <item x="0"/>
        <item x="35"/>
        <item x="75"/>
        <item x="74"/>
        <item x="61"/>
        <item x="28"/>
        <item x="12"/>
        <item x="24"/>
        <item x="60"/>
        <item x="31"/>
        <item x="77"/>
        <item x="29"/>
        <item x="2"/>
        <item x="34"/>
        <item x="80"/>
        <item x="81"/>
        <item x="68"/>
        <item x="21"/>
        <item x="32"/>
        <item x="13"/>
        <item x="88"/>
        <item x="84"/>
        <item x="85"/>
        <item x="89"/>
        <item x="70"/>
        <item x="48"/>
        <item x="4"/>
        <item x="26"/>
        <item x="44"/>
        <item x="6"/>
        <item x="23"/>
        <item x="47"/>
        <item x="82"/>
        <item x="65"/>
        <item x="50"/>
        <item x="79"/>
        <item x="52"/>
        <item x="7"/>
        <item x="10"/>
        <item x="18"/>
        <item x="59"/>
        <item x="40"/>
        <item x="43"/>
        <item x="53"/>
        <item x="58"/>
        <item x="62"/>
        <item x="14"/>
        <item x="66"/>
        <item x="86"/>
        <item x="20"/>
        <item x="51"/>
        <item x="19"/>
        <item x="63"/>
        <item x="3"/>
        <item x="57"/>
        <item x="11"/>
        <item x="46"/>
        <item x="76"/>
        <item x="55"/>
        <item x="16"/>
        <item x="30"/>
        <item x="49"/>
        <item x="42"/>
        <item x="64"/>
        <item x="36"/>
        <item x="56"/>
        <item x="25"/>
        <item x="8"/>
        <item x="87"/>
        <item x="22"/>
        <item x="9"/>
        <item x="69"/>
        <item x="78"/>
        <item x="72"/>
        <item x="15"/>
        <item x="37"/>
        <item x="17"/>
        <item x="38"/>
        <item x="39"/>
        <item x="67"/>
        <item x="1"/>
        <item x="45"/>
        <item x="27"/>
        <item x="71"/>
        <item x="83"/>
      </items>
    </pivotField>
    <pivotField axis="axisRow" compact="0" outline="0" showAll="0" defaultSubtotal="0">
      <items count="5">
        <item x="2"/>
        <item x="0"/>
        <item x="1"/>
        <item x="3"/>
        <item x="4"/>
      </items>
    </pivotField>
    <pivotField axis="axisRow" compact="0" outline="0" showAll="0" defaultSubtotal="0">
      <items count="14">
        <item x="3"/>
        <item x="1"/>
        <item x="4"/>
        <item x="5"/>
        <item x="7"/>
        <item x="10"/>
        <item x="8"/>
        <item x="6"/>
        <item x="2"/>
        <item x="12"/>
        <item x="9"/>
        <item x="0"/>
        <item x="11"/>
        <item x="13"/>
      </items>
    </pivotField>
    <pivotField axis="axisRow" compact="0" outline="0" showAll="0" defaultSubtotal="0">
      <items count="176">
        <item x="62"/>
        <item x="74"/>
        <item x="5"/>
        <item x="103"/>
        <item x="61"/>
        <item x="78"/>
        <item x="39"/>
        <item x="173"/>
        <item x="0"/>
        <item x="106"/>
        <item x="38"/>
        <item x="27"/>
        <item x="25"/>
        <item x="16"/>
        <item x="35"/>
        <item x="26"/>
        <item x="88"/>
        <item x="130"/>
        <item x="132"/>
        <item x="149"/>
        <item x="136"/>
        <item x="116"/>
        <item x="167"/>
        <item x="137"/>
        <item x="95"/>
        <item x="43"/>
        <item x="85"/>
        <item x="151"/>
        <item x="100"/>
        <item x="87"/>
        <item x="170"/>
        <item x="40"/>
        <item x="105"/>
        <item x="11"/>
        <item x="77"/>
        <item x="36"/>
        <item x="3"/>
        <item x="169"/>
        <item x="159"/>
        <item x="141"/>
        <item x="174"/>
        <item x="115"/>
        <item x="51"/>
        <item x="104"/>
        <item x="161"/>
        <item x="112"/>
        <item x="148"/>
        <item x="131"/>
        <item x="154"/>
        <item x="73"/>
        <item x="107"/>
        <item x="94"/>
        <item x="75"/>
        <item x="82"/>
        <item x="129"/>
        <item x="93"/>
        <item x="114"/>
        <item x="127"/>
        <item x="139"/>
        <item x="44"/>
        <item x="19"/>
        <item x="33"/>
        <item x="89"/>
        <item x="55"/>
        <item x="164"/>
        <item x="165"/>
        <item x="140"/>
        <item x="48"/>
        <item x="37"/>
        <item x="145"/>
        <item x="92"/>
        <item x="113"/>
        <item x="53"/>
        <item x="121"/>
        <item x="6"/>
        <item x="8"/>
        <item x="125"/>
        <item x="28"/>
        <item x="84"/>
        <item x="52"/>
        <item x="76"/>
        <item x="155"/>
        <item x="126"/>
        <item x="111"/>
        <item x="29"/>
        <item x="67"/>
        <item x="14"/>
        <item x="117"/>
        <item x="66"/>
        <item x="60"/>
        <item x="45"/>
        <item x="24"/>
        <item x="90"/>
        <item x="163"/>
        <item x="23"/>
        <item x="80"/>
        <item x="15"/>
        <item x="142"/>
        <item x="134"/>
        <item x="122"/>
        <item x="172"/>
        <item x="86"/>
        <item x="96"/>
        <item x="99"/>
        <item x="119"/>
        <item x="21"/>
        <item x="56"/>
        <item x="118"/>
        <item x="133"/>
        <item x="143"/>
        <item x="166"/>
        <item x="158"/>
        <item x="54"/>
        <item x="7"/>
        <item x="97"/>
        <item x="101"/>
        <item x="22"/>
        <item x="4"/>
        <item x="50"/>
        <item x="10"/>
        <item x="124"/>
        <item x="12"/>
        <item x="41"/>
        <item x="49"/>
        <item x="9"/>
        <item x="160"/>
        <item x="102"/>
        <item x="2"/>
        <item x="47"/>
        <item x="79"/>
        <item x="70"/>
        <item x="1"/>
        <item x="17"/>
        <item x="13"/>
        <item x="109"/>
        <item x="153"/>
        <item x="63"/>
        <item x="46"/>
        <item x="156"/>
        <item x="152"/>
        <item x="57"/>
        <item x="144"/>
        <item x="135"/>
        <item x="72"/>
        <item x="157"/>
        <item x="110"/>
        <item x="83"/>
        <item x="146"/>
        <item x="168"/>
        <item x="42"/>
        <item x="18"/>
        <item x="98"/>
        <item x="32"/>
        <item x="34"/>
        <item x="91"/>
        <item x="69"/>
        <item x="30"/>
        <item x="65"/>
        <item x="123"/>
        <item x="20"/>
        <item x="128"/>
        <item x="31"/>
        <item x="71"/>
        <item x="150"/>
        <item x="81"/>
        <item x="147"/>
        <item x="58"/>
        <item x="120"/>
        <item x="59"/>
        <item x="138"/>
        <item x="171"/>
        <item x="108"/>
        <item x="68"/>
        <item x="162"/>
        <item x="64"/>
        <item x="175"/>
      </items>
    </pivotField>
    <pivotField compact="0" outline="0" showAll="0"/>
    <pivotField compact="0" numFmtId="168" outline="0" showAll="0"/>
    <pivotField compact="0" outline="0" showAll="0"/>
  </pivotFields>
  <rowFields count="16">
    <field x="11"/>
    <field x="9"/>
    <field x="2"/>
    <field x="10"/>
    <field x="0"/>
    <field x="1"/>
    <field x="5"/>
    <field x="7"/>
    <field x="42"/>
    <field x="43"/>
    <field x="44"/>
    <field x="45"/>
    <field x="46"/>
    <field x="47"/>
    <field x="48"/>
    <field x="12"/>
  </rowFields>
  <rowItems count="152">
    <i>
      <x/>
      <x v="2"/>
      <x v="292"/>
      <x v="2"/>
      <x v="285"/>
      <x v="271"/>
      <x v="10"/>
      <x v="274"/>
      <x v="27"/>
      <x v="98"/>
      <x v="54"/>
      <x v="80"/>
      <x v="2"/>
      <x v="1"/>
      <x v="154"/>
      <x v="1"/>
    </i>
    <i r="2">
      <x v="365"/>
      <x/>
      <x v="354"/>
      <x v="341"/>
      <x v="10"/>
      <x v="344"/>
      <x v="20"/>
      <x v="57"/>
      <x v="5"/>
      <x v="80"/>
      <x/>
      <x v="9"/>
      <x v="163"/>
      <x v="1"/>
    </i>
    <i r="2">
      <x v="370"/>
      <x v="5"/>
      <x v="359"/>
      <x v="346"/>
      <x v="10"/>
      <x v="349"/>
      <x v="6"/>
      <x v="51"/>
      <x v="14"/>
      <x v="80"/>
      <x v="2"/>
      <x v="11"/>
      <x v="48"/>
      <x v="3"/>
    </i>
    <i r="1">
      <x v="14"/>
      <x v="148"/>
      <x/>
      <x v="137"/>
      <x v="138"/>
      <x v="5"/>
      <x v="141"/>
      <x v="9"/>
      <x v="64"/>
      <x v="30"/>
      <x v="56"/>
      <x v="2"/>
      <x/>
      <x v="160"/>
      <x v="1"/>
    </i>
    <i r="2">
      <x v="204"/>
      <x v="3"/>
      <x v="199"/>
      <x v="184"/>
      <x v="10"/>
      <x v="188"/>
      <x v="7"/>
      <x v="22"/>
      <x v="47"/>
      <x v="85"/>
      <x v="2"/>
      <x v="1"/>
      <x v="131"/>
      <x v="1"/>
    </i>
    <i r="2">
      <x v="209"/>
      <x/>
      <x v="204"/>
      <x v="189"/>
      <x v="10"/>
      <x v="193"/>
      <x v="8"/>
      <x v="10"/>
      <x v="34"/>
      <x v="58"/>
      <x v="2"/>
      <x v="11"/>
      <x v="2"/>
      <x v="1"/>
    </i>
    <i r="2">
      <x v="267"/>
      <x v="4"/>
      <x v="262"/>
      <x v="247"/>
      <x v="10"/>
      <x v="251"/>
      <x v="23"/>
      <x v="4"/>
      <x v="34"/>
      <x v="67"/>
      <x/>
      <x/>
      <x v="89"/>
      <x v="1"/>
    </i>
    <i r="2">
      <x v="277"/>
      <x/>
      <x v="272"/>
      <x v="257"/>
      <x v="10"/>
      <x v="261"/>
      <x v="10"/>
      <x v="58"/>
      <x v="37"/>
      <x v="80"/>
      <x v="2"/>
      <x v="11"/>
      <x v="162"/>
      <x v="2"/>
    </i>
    <i r="2">
      <x v="330"/>
      <x v="6"/>
      <x v="319"/>
      <x v="305"/>
      <x v="10"/>
      <x v="309"/>
      <x v="4"/>
      <x v="24"/>
      <x v="21"/>
      <x v="36"/>
      <x v="2"/>
      <x v="3"/>
      <x v="54"/>
      <x v="1"/>
    </i>
    <i r="2">
      <x v="332"/>
      <x v="6"/>
      <x v="321"/>
      <x v="307"/>
      <x v="10"/>
      <x v="311"/>
      <x v="20"/>
      <x v="11"/>
      <x v="54"/>
      <x v="21"/>
      <x v="2"/>
      <x v="11"/>
      <x v="17"/>
      <x v="1"/>
    </i>
    <i r="2">
      <x v="335"/>
      <x v="6"/>
      <x v="324"/>
      <x v="310"/>
      <x v="10"/>
      <x v="314"/>
      <x v="25"/>
      <x v="21"/>
      <x v="25"/>
      <x v="52"/>
      <x/>
      <x v="11"/>
      <x v="57"/>
      <x v="1"/>
    </i>
    <i r="2">
      <x v="339"/>
      <x v="5"/>
      <x v="328"/>
      <x v="314"/>
      <x v="10"/>
      <x v="318"/>
      <x v="16"/>
      <x v="97"/>
      <x v="15"/>
      <x v="60"/>
      <x v="2"/>
      <x v="11"/>
      <x v="82"/>
      <x v="1"/>
    </i>
    <i r="1">
      <x v="24"/>
      <x v="253"/>
      <x v="2"/>
      <x v="248"/>
      <x v="233"/>
      <x v="10"/>
      <x v="237"/>
      <x v="10"/>
      <x v="105"/>
      <x v="37"/>
      <x v="18"/>
      <x v="2"/>
      <x v="1"/>
      <x v="123"/>
      <x v="3"/>
    </i>
    <i r="2">
      <x v="257"/>
      <x v="6"/>
      <x v="252"/>
      <x v="237"/>
      <x v="10"/>
      <x v="241"/>
      <x v="4"/>
      <x v="24"/>
      <x v="42"/>
      <x v="80"/>
      <x v="2"/>
      <x v="11"/>
      <x v="79"/>
      <x v="1"/>
    </i>
    <i r="2">
      <x v="265"/>
      <x v="6"/>
      <x v="260"/>
      <x v="245"/>
      <x v="10"/>
      <x v="249"/>
      <x v="7"/>
      <x v="1"/>
      <x v="54"/>
      <x v="2"/>
      <x v="2"/>
      <x v="11"/>
      <x v="166"/>
      <x v="3"/>
    </i>
    <i r="2">
      <x v="266"/>
      <x v="2"/>
      <x v="261"/>
      <x v="246"/>
      <x v="5"/>
      <x v="250"/>
      <x v="4"/>
      <x v="24"/>
      <x v="37"/>
      <x v="80"/>
      <x v="2"/>
      <x v="11"/>
      <x v="168"/>
      <x v="3"/>
    </i>
    <i r="2">
      <x v="273"/>
      <x v="4"/>
      <x v="268"/>
      <x v="253"/>
      <x v="10"/>
      <x v="257"/>
      <x v="2"/>
      <x v="39"/>
      <x v="33"/>
      <x v="36"/>
      <x v="2"/>
      <x v="11"/>
      <x v="88"/>
      <x v="1"/>
    </i>
    <i r="2">
      <x v="388"/>
      <x v="2"/>
      <x v="269"/>
      <x v="254"/>
      <x v="10"/>
      <x v="258"/>
      <x v="5"/>
      <x v="42"/>
      <x v="17"/>
      <x v="51"/>
      <x v="2"/>
      <x v="1"/>
      <x v="85"/>
      <x v="1"/>
    </i>
    <i r="1">
      <x v="31"/>
      <x v="315"/>
      <x v="3"/>
      <x v="126"/>
      <x v="126"/>
      <x v="21"/>
      <x v="130"/>
      <x v="5"/>
      <x v="38"/>
      <x v="30"/>
      <x v="51"/>
      <x v="2"/>
      <x v="11"/>
      <x v="45"/>
      <x v="2"/>
    </i>
    <i r="1">
      <x v="77"/>
      <x v="390"/>
      <x v="3"/>
      <x v="378"/>
      <x v="366"/>
      <x v="51"/>
      <x v="368"/>
      <x v="1"/>
      <x v="24"/>
      <x v="34"/>
      <x v="31"/>
      <x v="2"/>
      <x/>
      <x v="7"/>
      <x v="2"/>
    </i>
    <i t="default">
      <x/>
    </i>
    <i>
      <x v="1"/>
      <x v="20"/>
      <x v="220"/>
      <x/>
      <x v="215"/>
      <x v="200"/>
      <x v="1"/>
      <x v="204"/>
      <x v="16"/>
      <x v="29"/>
      <x v="2"/>
      <x v="60"/>
      <x v="2"/>
      <x v="1"/>
      <x v="132"/>
      <x v="1"/>
    </i>
    <i r="2">
      <x v="222"/>
      <x/>
      <x v="217"/>
      <x v="202"/>
      <x v="1"/>
      <x v="206"/>
      <x v="17"/>
      <x v="90"/>
      <x v="50"/>
      <x v="24"/>
      <x v="2"/>
      <x v="11"/>
      <x v="60"/>
      <x v="1"/>
    </i>
    <i r="2">
      <x v="229"/>
      <x v="2"/>
      <x v="224"/>
      <x v="209"/>
      <x v="5"/>
      <x v="213"/>
      <x v="20"/>
      <x v="114"/>
      <x v="7"/>
      <x v="51"/>
      <x v="3"/>
      <x v="11"/>
      <x v="11"/>
      <x v="2"/>
    </i>
    <i r="2">
      <x v="290"/>
      <x v="4"/>
      <x v="283"/>
      <x v="269"/>
      <x v="11"/>
      <x v="272"/>
      <x v="5"/>
      <x v="49"/>
      <x v="37"/>
      <x v="46"/>
      <x v="2"/>
      <x v="11"/>
      <x v="16"/>
      <x v="3"/>
    </i>
    <i r="2">
      <x v="377"/>
      <x v="4"/>
      <x v="366"/>
      <x v="353"/>
      <x v="11"/>
      <x v="356"/>
      <x v="4"/>
      <x v="88"/>
      <x v="41"/>
      <x v="4"/>
      <x v="2"/>
      <x v="11"/>
      <x v="44"/>
      <x v="3"/>
    </i>
    <i r="1">
      <x v="23"/>
      <x v="221"/>
      <x v="6"/>
      <x v="216"/>
      <x v="201"/>
      <x v="12"/>
      <x v="205"/>
      <x v="4"/>
      <x v="24"/>
      <x v="14"/>
      <x v="11"/>
      <x v="2"/>
      <x v="2"/>
      <x v="150"/>
      <x v="3"/>
    </i>
    <i r="2">
      <x v="223"/>
      <x/>
      <x v="218"/>
      <x v="203"/>
      <x v="12"/>
      <x v="207"/>
      <x v="7"/>
      <x v="89"/>
      <x v="30"/>
      <x v="51"/>
      <x v="2"/>
      <x v="11"/>
      <x v="159"/>
      <x v="3"/>
    </i>
    <i r="2">
      <x v="224"/>
      <x v="6"/>
      <x v="380"/>
      <x v="204"/>
      <x v="1"/>
      <x v="208"/>
      <x v="3"/>
      <x v="24"/>
      <x v="33"/>
      <x v="79"/>
      <x v="2"/>
      <x v="11"/>
      <x v="105"/>
      <x v="3"/>
    </i>
    <i r="2">
      <x v="234"/>
      <x v="3"/>
      <x v="229"/>
      <x v="214"/>
      <x v="5"/>
      <x v="218"/>
      <x v="3"/>
      <x v="24"/>
      <x v="24"/>
      <x v="74"/>
      <x v="2"/>
      <x v="11"/>
      <x v="152"/>
      <x v="3"/>
    </i>
    <i r="2">
      <x v="236"/>
      <x v="5"/>
      <x v="231"/>
      <x v="216"/>
      <x v="42"/>
      <x v="220"/>
      <x v="9"/>
      <x v="22"/>
      <x v="11"/>
      <x v="35"/>
      <x v="2"/>
      <x v="11"/>
      <x v="153"/>
      <x v="3"/>
    </i>
    <i r="2">
      <x v="238"/>
      <x v="3"/>
      <x v="233"/>
      <x v="218"/>
      <x v="5"/>
      <x v="222"/>
      <x v="6"/>
      <x v="24"/>
      <x v="20"/>
      <x v="12"/>
      <x v="2"/>
      <x v="1"/>
      <x v="35"/>
      <x v="3"/>
    </i>
    <i r="2">
      <x v="239"/>
      <x v="4"/>
      <x v="234"/>
      <x v="219"/>
      <x v="42"/>
      <x v="223"/>
      <x v="5"/>
      <x v="49"/>
      <x v="33"/>
      <x v="71"/>
      <x v="2"/>
      <x v="11"/>
      <x v="68"/>
      <x v="3"/>
    </i>
    <i r="2">
      <x v="240"/>
      <x v="5"/>
      <x v="235"/>
      <x v="220"/>
      <x v="42"/>
      <x v="224"/>
      <x v="5"/>
      <x v="47"/>
      <x v="17"/>
      <x v="32"/>
      <x v="2"/>
      <x v="11"/>
      <x v="10"/>
      <x v="3"/>
    </i>
    <i r="2">
      <x v="242"/>
      <x v="4"/>
      <x v="237"/>
      <x v="222"/>
      <x v="1"/>
      <x v="226"/>
      <x v="3"/>
      <x v="24"/>
      <x v="34"/>
      <x v="87"/>
      <x v="2"/>
      <x v="11"/>
      <x v="31"/>
      <x v="3"/>
    </i>
    <i r="2">
      <x v="243"/>
      <x v="3"/>
      <x v="238"/>
      <x v="223"/>
      <x v="5"/>
      <x v="227"/>
      <x v="5"/>
      <x v="24"/>
      <x v="38"/>
      <x v="10"/>
      <x v="2"/>
      <x v="2"/>
      <x v="122"/>
      <x v="3"/>
    </i>
    <i r="2">
      <x v="244"/>
      <x v="5"/>
      <x v="239"/>
      <x v="224"/>
      <x v="5"/>
      <x v="228"/>
      <x v="4"/>
      <x v="24"/>
      <x v="7"/>
      <x v="16"/>
      <x v="2"/>
      <x v="11"/>
      <x v="149"/>
      <x v="3"/>
    </i>
    <i r="2">
      <x v="246"/>
      <x/>
      <x v="241"/>
      <x v="226"/>
      <x v="5"/>
      <x v="230"/>
      <x v="9"/>
      <x v="66"/>
      <x v="31"/>
      <x v="11"/>
      <x v="2"/>
      <x v="11"/>
      <x v="59"/>
      <x v="3"/>
    </i>
    <i r="2">
      <x v="255"/>
      <x v="2"/>
      <x v="250"/>
      <x v="235"/>
      <x v="5"/>
      <x v="239"/>
      <x v="5"/>
      <x v="50"/>
      <x v="52"/>
      <x v="6"/>
      <x v="2"/>
      <x v="11"/>
      <x v="42"/>
      <x v="3"/>
    </i>
    <i r="2">
      <x v="268"/>
      <x v="6"/>
      <x v="263"/>
      <x v="248"/>
      <x v="5"/>
      <x v="252"/>
      <x v="4"/>
      <x v="35"/>
      <x v="41"/>
      <x v="31"/>
      <x v="2"/>
      <x v="11"/>
      <x v="4"/>
      <x v="3"/>
    </i>
    <i r="2">
      <x v="376"/>
      <x v="3"/>
      <x v="365"/>
      <x v="352"/>
      <x v="5"/>
      <x v="355"/>
      <x v="5"/>
      <x v="26"/>
      <x v="34"/>
      <x v="5"/>
      <x v="2"/>
      <x v="11"/>
      <x v="125"/>
      <x v="3"/>
    </i>
    <i r="2">
      <x v="384"/>
      <x v="2"/>
      <x v="374"/>
      <x v="361"/>
      <x v="11"/>
      <x v="363"/>
      <x v="7"/>
      <x v="24"/>
      <x v="7"/>
      <x v="53"/>
      <x v="2"/>
      <x v="11"/>
      <x v="148"/>
      <x v="1"/>
    </i>
    <i r="1">
      <x v="25"/>
      <x v="235"/>
      <x v="3"/>
      <x v="230"/>
      <x v="215"/>
      <x v="1"/>
      <x v="219"/>
      <x v="5"/>
      <x v="24"/>
      <x v="30"/>
      <x v="31"/>
      <x v="2"/>
      <x v="11"/>
      <x v="61"/>
      <x v="2"/>
    </i>
    <i r="2">
      <x v="237"/>
      <x v="3"/>
      <x v="232"/>
      <x v="217"/>
      <x v="5"/>
      <x v="221"/>
      <x v="5"/>
      <x v="43"/>
      <x v="17"/>
      <x v="31"/>
      <x v="2"/>
      <x v="1"/>
      <x v="14"/>
      <x v="1"/>
    </i>
    <i r="2">
      <x v="321"/>
      <x v="2"/>
      <x v="310"/>
      <x v="296"/>
      <x v="7"/>
      <x v="300"/>
      <x v="6"/>
      <x v="34"/>
      <x v="17"/>
      <x v="30"/>
      <x v="2"/>
      <x v="11"/>
      <x v="21"/>
      <x v="1"/>
    </i>
    <i r="2">
      <x v="322"/>
      <x v="4"/>
      <x v="311"/>
      <x v="297"/>
      <x v="11"/>
      <x v="301"/>
      <x v="4"/>
      <x v="24"/>
      <x v="7"/>
      <x v="31"/>
      <x v="2"/>
      <x/>
      <x v="87"/>
      <x v="1"/>
    </i>
    <i r="2">
      <x v="324"/>
      <x v="4"/>
      <x v="313"/>
      <x v="299"/>
      <x v="7"/>
      <x v="303"/>
      <x v="5"/>
      <x v="24"/>
      <x v="14"/>
      <x v="31"/>
      <x v="2"/>
      <x v="11"/>
      <x v="67"/>
      <x v="1"/>
    </i>
    <i r="2">
      <x v="331"/>
      <x v="6"/>
      <x v="320"/>
      <x v="306"/>
      <x v="7"/>
      <x v="310"/>
      <x v="5"/>
      <x v="52"/>
      <x v="37"/>
      <x v="76"/>
      <x v="2"/>
      <x v="11"/>
      <x v="47"/>
      <x v="1"/>
    </i>
    <i r="2">
      <x v="337"/>
      <x v="4"/>
      <x v="326"/>
      <x v="312"/>
      <x v="7"/>
      <x v="316"/>
      <x v="5"/>
      <x v="34"/>
      <x v="17"/>
      <x v="31"/>
      <x v="2"/>
      <x/>
      <x v="41"/>
      <x v="1"/>
    </i>
    <i r="2">
      <x v="341"/>
      <x v="6"/>
      <x v="330"/>
      <x v="316"/>
      <x v="5"/>
      <x v="320"/>
      <x v="5"/>
      <x v="24"/>
      <x v="37"/>
      <x v="29"/>
      <x v="2"/>
      <x v="11"/>
      <x v="108"/>
      <x v="1"/>
    </i>
    <i r="2">
      <x v="356"/>
      <x v="6"/>
      <x v="345"/>
      <x v="332"/>
      <x v="12"/>
      <x v="335"/>
      <x v="11"/>
      <x v="61"/>
      <x v="7"/>
      <x v="4"/>
      <x v="2"/>
      <x v="11"/>
      <x v="69"/>
      <x v="1"/>
    </i>
    <i r="2">
      <x v="358"/>
      <x v="5"/>
      <x v="347"/>
      <x v="334"/>
      <x v="5"/>
      <x v="337"/>
      <x v="7"/>
      <x v="50"/>
      <x v="7"/>
      <x v="56"/>
      <x v="2"/>
      <x/>
      <x v="147"/>
      <x v="2"/>
    </i>
    <i r="2">
      <x v="359"/>
      <x v="2"/>
      <x v="348"/>
      <x v="335"/>
      <x v="7"/>
      <x v="338"/>
      <x v="5"/>
      <x v="17"/>
      <x v="8"/>
      <x v="31"/>
      <x v="2"/>
      <x v="11"/>
      <x v="165"/>
      <x v="1"/>
    </i>
    <i r="2">
      <x v="360"/>
      <x v="5"/>
      <x v="349"/>
      <x v="336"/>
      <x v="11"/>
      <x v="339"/>
      <x v="7"/>
      <x v="24"/>
      <x v="7"/>
      <x v="77"/>
      <x v="2"/>
      <x v="11"/>
      <x v="69"/>
      <x v="2"/>
    </i>
    <i r="1">
      <x v="29"/>
      <x v="205"/>
      <x v="3"/>
      <x v="200"/>
      <x v="185"/>
      <x v="11"/>
      <x v="189"/>
      <x v="6"/>
      <x v="24"/>
      <x v="37"/>
      <x v="5"/>
      <x v="2"/>
      <x v="1"/>
      <x v="127"/>
      <x v="1"/>
    </i>
    <i r="2">
      <x v="206"/>
      <x v="5"/>
      <x v="201"/>
      <x v="186"/>
      <x v="1"/>
      <x v="190"/>
      <x v="8"/>
      <x v="30"/>
      <x v="57"/>
      <x v="17"/>
      <x v="2"/>
      <x v="11"/>
      <x v="36"/>
      <x v="1"/>
    </i>
    <i r="2">
      <x v="208"/>
      <x v="3"/>
      <x v="203"/>
      <x v="188"/>
      <x v="5"/>
      <x v="192"/>
      <x v="5"/>
      <x v="31"/>
      <x v="34"/>
      <x v="5"/>
      <x v="2"/>
      <x v="8"/>
      <x v="36"/>
      <x v="1"/>
    </i>
    <i r="2">
      <x v="250"/>
      <x v="5"/>
      <x v="245"/>
      <x v="230"/>
      <x v="5"/>
      <x v="234"/>
      <x v="8"/>
      <x v="50"/>
      <x v="1"/>
      <x v="3"/>
      <x v="2"/>
      <x v="11"/>
      <x v="128"/>
      <x v="1"/>
    </i>
    <i r="2">
      <x v="293"/>
      <x v="6"/>
      <x v="286"/>
      <x v="272"/>
      <x v="5"/>
      <x v="275"/>
      <x v="6"/>
      <x v="27"/>
      <x v="18"/>
      <x v="5"/>
      <x v="2"/>
      <x v="11"/>
      <x v="70"/>
      <x v="2"/>
    </i>
    <i t="default">
      <x v="1"/>
    </i>
    <i>
      <x v="4"/>
      <x v="9"/>
      <x v="203"/>
      <x v="3"/>
      <x v="198"/>
      <x v="183"/>
      <x v="11"/>
      <x v="187"/>
      <x v="14"/>
      <x v="111"/>
      <x v="26"/>
      <x v="5"/>
      <x v="1"/>
      <x v="11"/>
      <x v="8"/>
      <x v="1"/>
    </i>
    <i r="2">
      <x v="231"/>
      <x v="5"/>
      <x v="226"/>
      <x v="211"/>
      <x v="11"/>
      <x v="215"/>
      <x v="13"/>
      <x v="83"/>
      <x v="37"/>
      <x v="56"/>
      <x v="2"/>
      <x v="1"/>
      <x v="84"/>
      <x v="1"/>
    </i>
    <i r="2">
      <x v="232"/>
      <x v="6"/>
      <x v="227"/>
      <x v="212"/>
      <x v="41"/>
      <x v="216"/>
      <x v="16"/>
      <x v="101"/>
      <x v="2"/>
      <x v="54"/>
      <x v="2"/>
      <x v="11"/>
      <x v="156"/>
      <x v="1"/>
    </i>
    <i r="2">
      <x v="249"/>
      <x v="5"/>
      <x v="244"/>
      <x v="229"/>
      <x v="11"/>
      <x v="233"/>
      <x v="21"/>
      <x v="102"/>
      <x v="33"/>
      <x v="23"/>
      <x/>
      <x v="7"/>
      <x v="137"/>
      <x v="1"/>
    </i>
    <i r="2">
      <x v="294"/>
      <x/>
      <x v="287"/>
      <x v="273"/>
      <x v="46"/>
      <x v="276"/>
      <x v="19"/>
      <x v="102"/>
      <x v="33"/>
      <x v="55"/>
      <x v="2"/>
      <x v="11"/>
      <x v="164"/>
      <x v="1"/>
    </i>
    <i r="1">
      <x v="16"/>
      <x v="355"/>
      <x v="5"/>
      <x v="344"/>
      <x v="331"/>
      <x v="11"/>
      <x v="334"/>
      <x v="2"/>
      <x v="40"/>
      <x v="5"/>
      <x v="61"/>
      <x v="2"/>
      <x v="11"/>
      <x v="141"/>
      <x v="1"/>
    </i>
    <i r="1">
      <x v="17"/>
      <x v="272"/>
      <x v="4"/>
      <x v="267"/>
      <x v="252"/>
      <x v="44"/>
      <x v="256"/>
      <x v="13"/>
      <x v="118"/>
      <x v="56"/>
      <x v="61"/>
      <x v="2"/>
      <x v="11"/>
      <x v="157"/>
      <x v="1"/>
    </i>
    <i r="1">
      <x v="18"/>
      <x v="300"/>
      <x v="2"/>
      <x v="291"/>
      <x v="277"/>
      <x v="23"/>
      <x v="281"/>
      <x v="9"/>
      <x v="63"/>
      <x v="22"/>
      <x v="46"/>
      <x v="2"/>
      <x v="11"/>
      <x v="29"/>
      <x v="1"/>
    </i>
    <i r="2">
      <x v="392"/>
      <x v="6"/>
      <x v="379"/>
      <x v="368"/>
      <x v="23"/>
      <x v="369"/>
      <x v="7"/>
      <x v="131"/>
      <x v="56"/>
      <x v="31"/>
      <x v="2"/>
      <x v="11"/>
      <x v="175"/>
      <x v="1"/>
    </i>
    <i r="1">
      <x v="69"/>
      <x v="318"/>
      <x v="2"/>
      <x v="307"/>
      <x v="293"/>
      <x v="46"/>
      <x v="297"/>
      <x v="25"/>
      <x v="115"/>
      <x v="10"/>
      <x v="50"/>
      <x/>
      <x v="11"/>
      <x v="10"/>
      <x v="1"/>
    </i>
    <i r="2">
      <x v="333"/>
      <x v="2"/>
      <x v="322"/>
      <x v="308"/>
      <x v="46"/>
      <x v="312"/>
      <x v="21"/>
      <x v="120"/>
      <x v="2"/>
      <x v="4"/>
      <x/>
      <x v="11"/>
      <x v="73"/>
      <x v="1"/>
    </i>
    <i r="2">
      <x v="334"/>
      <x v="3"/>
      <x v="371"/>
      <x v="309"/>
      <x v="5"/>
      <x v="313"/>
      <x v="26"/>
      <x v="107"/>
      <x v="2"/>
      <x v="38"/>
      <x/>
      <x v="1"/>
      <x v="120"/>
      <x v="1"/>
    </i>
    <i r="2">
      <x v="342"/>
      <x v="4"/>
      <x v="331"/>
      <x v="317"/>
      <x v="46"/>
      <x v="321"/>
      <x v="31"/>
      <x v="96"/>
      <x v="7"/>
      <x v="80"/>
      <x/>
      <x v="1"/>
      <x v="98"/>
      <x v="1"/>
    </i>
    <i r="2">
      <x v="346"/>
      <x v="6"/>
      <x v="335"/>
      <x v="321"/>
      <x v="11"/>
      <x v="325"/>
      <x v="2"/>
      <x v="24"/>
      <x v="11"/>
      <x v="4"/>
      <x v="2"/>
      <x v="11"/>
      <x v="169"/>
      <x v="1"/>
    </i>
    <i t="default">
      <x v="4"/>
    </i>
    <i>
      <x v="6"/>
      <x v="19"/>
      <x v="326"/>
      <x v="5"/>
      <x v="315"/>
      <x v="301"/>
      <x v="5"/>
      <x v="305"/>
      <x v="6"/>
      <x v="27"/>
      <x v="7"/>
      <x v="35"/>
      <x v="2"/>
      <x v="11"/>
      <x v="76"/>
      <x v="1"/>
    </i>
    <i r="1">
      <x v="35"/>
      <x v="247"/>
      <x v="6"/>
      <x v="242"/>
      <x v="227"/>
      <x v="7"/>
      <x v="231"/>
      <x v="3"/>
      <x v="24"/>
      <x v="7"/>
      <x v="14"/>
      <x v="2"/>
      <x v="11"/>
      <x v="90"/>
      <x v="1"/>
    </i>
    <i r="2">
      <x v="248"/>
      <x v="3"/>
      <x v="243"/>
      <x v="228"/>
      <x v="1"/>
      <x v="232"/>
      <x v="6"/>
      <x v="24"/>
      <x v="34"/>
      <x v="44"/>
      <x v="2"/>
      <x v="11"/>
      <x v="36"/>
      <x v="3"/>
    </i>
    <i r="2">
      <x v="278"/>
      <x v="2"/>
      <x v="273"/>
      <x v="258"/>
      <x v="5"/>
      <x v="262"/>
      <x v="7"/>
      <x v="24"/>
      <x v="29"/>
      <x v="44"/>
      <x v="2"/>
      <x v="11"/>
      <x v="143"/>
      <x v="1"/>
    </i>
    <i r="1">
      <x v="43"/>
      <x v="212"/>
      <x v="4"/>
      <x v="207"/>
      <x v="192"/>
      <x v="7"/>
      <x v="196"/>
      <x v="2"/>
      <x v="24"/>
      <x v="37"/>
      <x v="4"/>
      <x v="2"/>
      <x v="1"/>
      <x v="75"/>
      <x v="1"/>
    </i>
    <i r="2">
      <x v="213"/>
      <x v="4"/>
      <x v="208"/>
      <x v="193"/>
      <x v="5"/>
      <x v="197"/>
      <x v="5"/>
      <x v="78"/>
      <x v="39"/>
      <x v="34"/>
      <x v="2"/>
      <x v="1"/>
      <x v="119"/>
      <x v="1"/>
    </i>
    <i r="2">
      <x v="216"/>
      <x v="4"/>
      <x v="211"/>
      <x v="196"/>
      <x v="12"/>
      <x v="200"/>
      <x v="3"/>
      <x v="28"/>
      <x v="19"/>
      <x v="72"/>
      <x v="2"/>
      <x/>
      <x v="133"/>
      <x v="1"/>
    </i>
    <i r="2">
      <x v="217"/>
      <x v="6"/>
      <x v="212"/>
      <x v="197"/>
      <x v="5"/>
      <x v="201"/>
      <x v="3"/>
      <x v="92"/>
      <x v="11"/>
      <x v="75"/>
      <x v="2"/>
      <x v="11"/>
      <x v="86"/>
      <x v="2"/>
    </i>
    <i r="2">
      <x v="270"/>
      <x v="5"/>
      <x v="265"/>
      <x v="250"/>
      <x v="7"/>
      <x v="254"/>
      <x v="5"/>
      <x v="24"/>
      <x v="7"/>
      <x v="33"/>
      <x v="2"/>
      <x v="11"/>
      <x v="136"/>
      <x v="1"/>
    </i>
    <i t="default">
      <x v="6"/>
    </i>
    <i>
      <x v="17"/>
      <x v="27"/>
      <x v="269"/>
      <x v="2"/>
      <x v="264"/>
      <x v="249"/>
      <x v="2"/>
      <x v="253"/>
      <x v="9"/>
      <x v="76"/>
      <x v="41"/>
      <x v="47"/>
      <x v="2"/>
      <x v="11"/>
      <x/>
      <x v="1"/>
    </i>
    <i r="2">
      <x v="373"/>
      <x v="5"/>
      <x v="362"/>
      <x v="349"/>
      <x v="2"/>
      <x v="352"/>
      <x v="6"/>
      <x v="44"/>
      <x v="29"/>
      <x v="51"/>
      <x v="2"/>
      <x v="11"/>
      <x v="144"/>
      <x v="1"/>
    </i>
    <i r="1">
      <x v="32"/>
      <x v="353"/>
      <x v="4"/>
      <x v="342"/>
      <x v="329"/>
      <x v="2"/>
      <x v="332"/>
      <x v="18"/>
      <x v="81"/>
      <x v="7"/>
      <x v="5"/>
      <x v="2"/>
      <x v="11"/>
      <x v="66"/>
      <x v="1"/>
    </i>
    <i r="2">
      <x v="369"/>
      <x/>
      <x v="358"/>
      <x v="345"/>
      <x v="2"/>
      <x v="348"/>
      <x v="19"/>
      <x v="60"/>
      <x v="37"/>
      <x v="64"/>
      <x v="2"/>
      <x v="11"/>
      <x v="135"/>
      <x v="1"/>
    </i>
    <i r="1">
      <x v="39"/>
      <x v="363"/>
      <x v="3"/>
      <x v="352"/>
      <x v="339"/>
      <x v="2"/>
      <x v="342"/>
      <x v="15"/>
      <x v="53"/>
      <x v="30"/>
      <x v="22"/>
      <x v="2"/>
      <x v="1"/>
      <x v="69"/>
      <x v="2"/>
    </i>
    <i r="2">
      <x v="380"/>
      <x v="6"/>
      <x v="369"/>
      <x v="357"/>
      <x v="2"/>
      <x v="359"/>
      <x v="14"/>
      <x v="87"/>
      <x v="30"/>
      <x v="60"/>
      <x v="2"/>
      <x v="11"/>
      <x v="64"/>
      <x v="1"/>
    </i>
    <i r="1">
      <x v="55"/>
      <x v="225"/>
      <x v="4"/>
      <x v="220"/>
      <x v="205"/>
      <x v="38"/>
      <x v="209"/>
      <x v="6"/>
      <x v="8"/>
      <x v="7"/>
      <x v="31"/>
      <x v="2"/>
      <x v="3"/>
      <x v="116"/>
      <x v="1"/>
    </i>
    <i r="2">
      <x v="226"/>
      <x v="3"/>
      <x v="221"/>
      <x v="206"/>
      <x v="40"/>
      <x v="210"/>
      <x v="7"/>
      <x v="24"/>
      <x v="37"/>
      <x v="31"/>
      <x v="2"/>
      <x v="11"/>
      <x v="94"/>
      <x v="1"/>
    </i>
    <i r="2">
      <x v="227"/>
      <x v="4"/>
      <x v="222"/>
      <x v="207"/>
      <x v="40"/>
      <x v="211"/>
      <x v="4"/>
      <x v="24"/>
      <x v="11"/>
      <x v="81"/>
      <x v="2"/>
      <x v="11"/>
      <x v="12"/>
      <x v="1"/>
    </i>
    <i r="2">
      <x v="228"/>
      <x v="4"/>
      <x v="223"/>
      <x v="208"/>
      <x v="2"/>
      <x v="212"/>
      <x v="3"/>
      <x v="24"/>
      <x v="22"/>
      <x v="5"/>
      <x v="2"/>
      <x v="11"/>
      <x v="15"/>
      <x v="1"/>
    </i>
    <i r="2">
      <x v="230"/>
      <x v="3"/>
      <x v="225"/>
      <x v="210"/>
      <x v="40"/>
      <x v="214"/>
      <x v="4"/>
      <x v="24"/>
      <x v="7"/>
      <x v="44"/>
      <x v="2"/>
      <x v="11"/>
      <x v="77"/>
      <x v="1"/>
    </i>
    <i r="2">
      <x v="241"/>
      <x/>
      <x v="236"/>
      <x v="221"/>
      <x v="40"/>
      <x v="225"/>
      <x v="10"/>
      <x v="93"/>
      <x v="30"/>
      <x v="64"/>
      <x v="2"/>
      <x v="11"/>
      <x v="6"/>
      <x v="2"/>
    </i>
    <i r="2">
      <x v="251"/>
      <x v="4"/>
      <x v="246"/>
      <x v="231"/>
      <x v="40"/>
      <x v="235"/>
      <x v="6"/>
      <x v="24"/>
      <x v="41"/>
      <x v="44"/>
      <x v="2"/>
      <x v="11"/>
      <x v="14"/>
      <x v="1"/>
    </i>
    <i r="2">
      <x v="254"/>
      <x v="6"/>
      <x v="249"/>
      <x v="234"/>
      <x v="40"/>
      <x v="238"/>
      <x v="3"/>
      <x v="24"/>
      <x v="30"/>
      <x v="5"/>
      <x v="2"/>
      <x v="11"/>
      <x v="118"/>
      <x v="1"/>
    </i>
    <i r="2">
      <x v="260"/>
      <x v="6"/>
      <x v="255"/>
      <x v="240"/>
      <x v="40"/>
      <x v="244"/>
      <x v="4"/>
      <x v="54"/>
      <x v="11"/>
      <x v="44"/>
      <x v="2"/>
      <x v="11"/>
      <x v="63"/>
      <x v="1"/>
    </i>
    <i r="1">
      <x v="56"/>
      <x v="256"/>
      <x v="3"/>
      <x v="251"/>
      <x v="236"/>
      <x v="2"/>
      <x v="240"/>
      <x v="4"/>
      <x v="24"/>
      <x v="44"/>
      <x v="69"/>
      <x v="2"/>
      <x v="11"/>
      <x v="33"/>
      <x v="3"/>
    </i>
    <i r="2">
      <x v="259"/>
      <x v="3"/>
      <x v="254"/>
      <x v="239"/>
      <x v="2"/>
      <x v="243"/>
      <x v="5"/>
      <x v="24"/>
      <x v="49"/>
      <x v="83"/>
      <x v="2"/>
      <x v="11"/>
      <x v="112"/>
      <x v="3"/>
    </i>
    <i r="2">
      <x v="261"/>
      <x v="4"/>
      <x v="256"/>
      <x v="241"/>
      <x v="2"/>
      <x v="245"/>
      <x v="3"/>
      <x v="24"/>
      <x v="14"/>
      <x v="5"/>
      <x v="2"/>
      <x/>
      <x v="106"/>
      <x v="3"/>
    </i>
    <i r="2">
      <x v="262"/>
      <x v="3"/>
      <x v="257"/>
      <x v="242"/>
      <x v="2"/>
      <x v="246"/>
      <x v="5"/>
      <x v="19"/>
      <x v="37"/>
      <x v="44"/>
      <x v="2"/>
      <x v="11"/>
      <x v="140"/>
      <x v="3"/>
    </i>
    <i r="2">
      <x v="263"/>
      <x v="6"/>
      <x v="258"/>
      <x v="243"/>
      <x v="2"/>
      <x v="247"/>
      <x v="3"/>
      <x v="40"/>
      <x v="11"/>
      <x v="46"/>
      <x v="2"/>
      <x v="11"/>
      <x v="124"/>
      <x v="3"/>
    </i>
    <i r="2">
      <x v="264"/>
      <x v="6"/>
      <x v="259"/>
      <x v="244"/>
      <x v="5"/>
      <x v="248"/>
      <x v="4"/>
      <x v="6"/>
      <x v="37"/>
      <x v="44"/>
      <x v="2"/>
      <x v="1"/>
      <x v="150"/>
      <x v="3"/>
    </i>
    <i r="2">
      <x v="303"/>
      <x v="2"/>
      <x v="294"/>
      <x v="280"/>
      <x v="2"/>
      <x v="284"/>
      <x v="4"/>
      <x v="37"/>
      <x v="37"/>
      <x v="5"/>
      <x v="2"/>
      <x v="11"/>
      <x v="115"/>
      <x v="2"/>
    </i>
    <i r="2">
      <x v="313"/>
      <x v="6"/>
      <x v="303"/>
      <x v="289"/>
      <x v="2"/>
      <x v="293"/>
      <x v="6"/>
      <x v="32"/>
      <x v="29"/>
      <x v="13"/>
      <x v="2"/>
      <x v="11"/>
      <x v="134"/>
      <x v="1"/>
    </i>
    <i r="2">
      <x v="316"/>
      <x v="5"/>
      <x v="305"/>
      <x v="291"/>
      <x v="2"/>
      <x v="295"/>
      <x v="5"/>
      <x v="24"/>
      <x v="29"/>
      <x v="44"/>
      <x v="2"/>
      <x v="11"/>
      <x v="71"/>
      <x v="3"/>
    </i>
    <i r="2">
      <x v="317"/>
      <x v="2"/>
      <x v="306"/>
      <x v="292"/>
      <x v="2"/>
      <x v="296"/>
      <x v="24"/>
      <x v="128"/>
      <x/>
      <x v="5"/>
      <x/>
      <x v="5"/>
      <x v="32"/>
      <x v="1"/>
    </i>
    <i r="2">
      <x v="336"/>
      <x/>
      <x v="325"/>
      <x v="311"/>
      <x v="5"/>
      <x v="315"/>
      <x v="6"/>
      <x v="25"/>
      <x v="55"/>
      <x v="57"/>
      <x v="2"/>
      <x v="1"/>
      <x v="167"/>
      <x v="1"/>
    </i>
    <i r="2">
      <x v="366"/>
      <x v="5"/>
      <x v="355"/>
      <x v="342"/>
      <x v="2"/>
      <x v="345"/>
      <x v="7"/>
      <x v="129"/>
      <x v="7"/>
      <x v="44"/>
      <x v="2"/>
      <x v="11"/>
      <x v="168"/>
      <x v="1"/>
    </i>
    <i t="default">
      <x v="17"/>
    </i>
    <i>
      <x v="20"/>
      <x v="54"/>
      <x v="219"/>
      <x v="5"/>
      <x v="214"/>
      <x v="199"/>
      <x v="37"/>
      <x v="203"/>
      <x v="18"/>
      <x v="110"/>
      <x v="27"/>
      <x v="43"/>
      <x v="2"/>
      <x v="11"/>
      <x v="13"/>
      <x v="1"/>
    </i>
    <i t="default">
      <x v="20"/>
    </i>
    <i>
      <x v="21"/>
      <x/>
      <x v="391"/>
      <x v="5"/>
      <x v="118"/>
      <x v="118"/>
      <x v="12"/>
      <x v="122"/>
      <x v="7"/>
      <x v="24"/>
      <x v="41"/>
      <x v="31"/>
      <x v="2"/>
      <x v="11"/>
      <x v="40"/>
      <x v="1"/>
    </i>
    <i r="1">
      <x v="5"/>
      <x v="252"/>
      <x v="4"/>
      <x v="247"/>
      <x v="232"/>
      <x v="12"/>
      <x v="236"/>
      <x v="11"/>
      <x v="123"/>
      <x v="34"/>
      <x v="4"/>
      <x v="2"/>
      <x v="1"/>
      <x v="67"/>
      <x v="1"/>
    </i>
    <i r="2">
      <x v="276"/>
      <x v="3"/>
      <x v="271"/>
      <x v="256"/>
      <x v="12"/>
      <x v="260"/>
      <x v="19"/>
      <x v="98"/>
      <x v="28"/>
      <x v="30"/>
      <x v="2"/>
      <x v="1"/>
      <x v="155"/>
      <x v="3"/>
    </i>
    <i r="2">
      <x v="280"/>
      <x v="6"/>
      <x v="275"/>
      <x v="260"/>
      <x v="1"/>
      <x v="264"/>
      <x v="21"/>
      <x v="88"/>
      <x v="58"/>
      <x v="5"/>
      <x v="2"/>
      <x/>
      <x v="130"/>
      <x v="1"/>
    </i>
    <i r="2">
      <x v="362"/>
      <x v="2"/>
      <x v="351"/>
      <x v="338"/>
      <x v="12"/>
      <x v="341"/>
      <x v="32"/>
      <x v="117"/>
      <x v="54"/>
      <x v="19"/>
      <x/>
      <x/>
      <x v="46"/>
      <x v="1"/>
    </i>
    <i r="2">
      <x v="387"/>
      <x/>
      <x v="376"/>
      <x v="364"/>
      <x v="7"/>
      <x v="366"/>
      <x v="9"/>
      <x v="3"/>
      <x v="60"/>
      <x v="80"/>
      <x v="2"/>
      <x v="11"/>
      <x v="170"/>
      <x v="1"/>
    </i>
    <i r="2">
      <x v="389"/>
      <x v="5"/>
      <x v="377"/>
      <x v="365"/>
      <x v="12"/>
      <x v="367"/>
      <x v="19"/>
      <x v="5"/>
      <x v="59"/>
      <x v="28"/>
      <x v="3"/>
      <x v="11"/>
      <x v="100"/>
      <x v="1"/>
    </i>
    <i r="1">
      <x v="8"/>
      <x v="34"/>
      <x v="5"/>
      <x v="30"/>
      <x v="33"/>
      <x v="12"/>
      <x v="26"/>
      <x v="13"/>
      <x v="62"/>
      <x v="41"/>
      <x v="64"/>
      <x v="2"/>
      <x v="1"/>
      <x v="91"/>
      <x v="1"/>
    </i>
    <i r="2">
      <x v="207"/>
      <x/>
      <x v="202"/>
      <x v="187"/>
      <x v="7"/>
      <x v="191"/>
      <x v="17"/>
      <x v="104"/>
      <x v="30"/>
      <x v="17"/>
      <x/>
      <x v="1"/>
      <x v="117"/>
      <x v="1"/>
    </i>
    <i r="2">
      <x v="210"/>
      <x v="4"/>
      <x v="205"/>
      <x v="190"/>
      <x v="12"/>
      <x v="194"/>
      <x v="6"/>
      <x v="24"/>
      <x v="48"/>
      <x v="5"/>
      <x v="2"/>
      <x v="11"/>
      <x v="74"/>
      <x v="1"/>
    </i>
    <i r="2">
      <x v="288"/>
      <x v="6"/>
      <x v="281"/>
      <x v="267"/>
      <x v="7"/>
      <x v="270"/>
      <x v="19"/>
      <x v="121"/>
      <x v="46"/>
      <x v="5"/>
      <x v="2"/>
      <x/>
      <x v="101"/>
      <x v="1"/>
    </i>
    <i r="2">
      <x v="299"/>
      <x v="2"/>
      <x v="290"/>
      <x v="276"/>
      <x v="7"/>
      <x v="280"/>
      <x v="18"/>
      <x v="98"/>
      <x v="14"/>
      <x v="5"/>
      <x v="2"/>
      <x v="11"/>
      <x v="102"/>
      <x v="1"/>
    </i>
    <i r="1">
      <x v="11"/>
      <x v="311"/>
      <x/>
      <x v="301"/>
      <x v="287"/>
      <x v="12"/>
      <x v="291"/>
      <x v="10"/>
      <x v="70"/>
      <x v="33"/>
      <x v="51"/>
      <x v="2"/>
      <x v="1"/>
      <x v="9"/>
      <x v="1"/>
    </i>
    <i r="2">
      <x v="312"/>
      <x v="4"/>
      <x v="302"/>
      <x v="288"/>
      <x v="7"/>
      <x v="292"/>
      <x v="10"/>
      <x v="106"/>
      <x v="17"/>
      <x v="45"/>
      <x v="2"/>
      <x v="1"/>
      <x v="50"/>
      <x v="2"/>
    </i>
    <i r="2">
      <x v="347"/>
      <x/>
      <x v="336"/>
      <x v="323"/>
      <x v="12"/>
      <x v="326"/>
      <x v="11"/>
      <x v="70"/>
      <x v="16"/>
      <x v="59"/>
      <x v="2"/>
      <x v="11"/>
      <x v="58"/>
      <x v="1"/>
    </i>
    <i r="2">
      <x v="349"/>
      <x v="4"/>
      <x v="338"/>
      <x v="325"/>
      <x v="12"/>
      <x v="328"/>
      <x v="5"/>
      <x v="109"/>
      <x v="5"/>
      <x v="8"/>
      <x v="2"/>
      <x v="1"/>
      <x v="39"/>
      <x v="1"/>
    </i>
    <i r="2">
      <x v="350"/>
      <x v="2"/>
      <x v="339"/>
      <x v="326"/>
      <x v="12"/>
      <x v="329"/>
      <x v="5"/>
      <x v="2"/>
      <x v="20"/>
      <x v="7"/>
      <x v="2"/>
      <x v="11"/>
      <x v="119"/>
      <x v="1"/>
    </i>
    <i r="2">
      <x v="357"/>
      <x v="3"/>
      <x v="346"/>
      <x v="333"/>
      <x v="12"/>
      <x v="336"/>
      <x v="5"/>
      <x v="9"/>
      <x v="11"/>
      <x v="31"/>
      <x v="2"/>
      <x v="11"/>
      <x v="119"/>
      <x v="1"/>
    </i>
    <i r="1">
      <x v="15"/>
      <x v="301"/>
      <x/>
      <x v="292"/>
      <x v="278"/>
      <x v="12"/>
      <x v="282"/>
      <x v="14"/>
      <x v="72"/>
      <x v="61"/>
      <x v="70"/>
      <x v="2"/>
      <x v="10"/>
      <x v="103"/>
      <x v="3"/>
    </i>
    <i r="2">
      <x v="302"/>
      <x v="2"/>
      <x v="293"/>
      <x v="279"/>
      <x v="12"/>
      <x v="283"/>
      <x v="9"/>
      <x v="15"/>
      <x v="29"/>
      <x v="44"/>
      <x v="2"/>
      <x v="11"/>
      <x v="28"/>
      <x v="3"/>
    </i>
    <i r="2">
      <x v="319"/>
      <x v="3"/>
      <x v="308"/>
      <x v="294"/>
      <x v="12"/>
      <x v="298"/>
      <x v="19"/>
      <x v="70"/>
      <x v="45"/>
      <x v="17"/>
      <x/>
      <x v="10"/>
      <x v="171"/>
      <x v="3"/>
    </i>
    <i r="2">
      <x v="328"/>
      <x v="4"/>
      <x v="317"/>
      <x v="303"/>
      <x v="12"/>
      <x v="307"/>
      <x v="21"/>
      <x v="124"/>
      <x v="7"/>
      <x v="51"/>
      <x v="2"/>
      <x v="11"/>
      <x v="104"/>
      <x v="1"/>
    </i>
    <i r="1">
      <x v="36"/>
      <x v="271"/>
      <x/>
      <x v="266"/>
      <x v="251"/>
      <x v="12"/>
      <x v="255"/>
      <x v="22"/>
      <x v="122"/>
      <x v="37"/>
      <x v="86"/>
      <x/>
      <x v="11"/>
      <x v="174"/>
      <x v="1"/>
    </i>
    <i r="2">
      <x v="298"/>
      <x v="5"/>
      <x v="289"/>
      <x v="275"/>
      <x v="12"/>
      <x v="279"/>
      <x v="6"/>
      <x v="84"/>
      <x v="29"/>
      <x v="2"/>
      <x v="2"/>
      <x v="11"/>
      <x v="24"/>
      <x v="1"/>
    </i>
    <i r="2">
      <x v="323"/>
      <x v="5"/>
      <x v="312"/>
      <x v="298"/>
      <x v="7"/>
      <x v="302"/>
      <x v="6"/>
      <x v="24"/>
      <x v="11"/>
      <x v="44"/>
      <x v="2"/>
      <x v="11"/>
      <x v="149"/>
      <x v="1"/>
    </i>
    <i r="2">
      <x v="325"/>
      <x v="2"/>
      <x v="314"/>
      <x v="300"/>
      <x v="12"/>
      <x v="304"/>
      <x v="3"/>
      <x v="27"/>
      <x v="18"/>
      <x v="36"/>
      <x v="2"/>
      <x v="11"/>
      <x v="158"/>
      <x v="1"/>
    </i>
    <i r="2">
      <x v="352"/>
      <x/>
      <x v="341"/>
      <x v="328"/>
      <x v="5"/>
      <x v="331"/>
      <x v="10"/>
      <x v="108"/>
      <x v="55"/>
      <x v="51"/>
      <x v="2"/>
      <x v="11"/>
      <x v="97"/>
      <x v="1"/>
    </i>
    <i r="2">
      <x v="367"/>
      <x v="6"/>
      <x v="356"/>
      <x v="343"/>
      <x v="12"/>
      <x v="346"/>
      <x v="5"/>
      <x v="24"/>
      <x v="54"/>
      <x v="46"/>
      <x v="2"/>
      <x v="11"/>
      <x v="27"/>
      <x v="1"/>
    </i>
    <i r="2">
      <x v="368"/>
      <x v="5"/>
      <x v="357"/>
      <x v="344"/>
      <x v="7"/>
      <x v="347"/>
      <x v="11"/>
      <x v="100"/>
      <x v="4"/>
      <x v="20"/>
      <x v="2"/>
      <x v="1"/>
      <x v="139"/>
      <x v="1"/>
    </i>
    <i r="1">
      <x v="59"/>
      <x v="281"/>
      <x/>
      <x v="276"/>
      <x v="261"/>
      <x v="12"/>
      <x v="265"/>
      <x v="11"/>
      <x v="74"/>
      <x v="29"/>
      <x v="64"/>
      <x v="2"/>
      <x v="11"/>
      <x v="150"/>
      <x v="1"/>
    </i>
    <i t="default">
      <x v="21"/>
    </i>
    <i>
      <x v="22"/>
      <x v="79"/>
      <x v="340"/>
      <x v="5"/>
      <x v="329"/>
      <x v="315"/>
      <x v="31"/>
      <x v="319"/>
      <x v="7"/>
      <x v="119"/>
      <x v="30"/>
      <x v="11"/>
      <x v="2"/>
      <x v="11"/>
      <x v="18"/>
      <x v="1"/>
    </i>
    <i t="default">
      <x v="22"/>
    </i>
    <i>
      <x v="23"/>
      <x v="52"/>
      <x v="214"/>
      <x v="2"/>
      <x v="209"/>
      <x v="194"/>
      <x v="35"/>
      <x v="198"/>
      <x v="6"/>
      <x v="18"/>
      <x v="33"/>
      <x v="42"/>
      <x v="2"/>
      <x v="11"/>
      <x v="33"/>
      <x v="1"/>
    </i>
    <i r="2">
      <x v="215"/>
      <x v="5"/>
      <x v="210"/>
      <x v="195"/>
      <x v="35"/>
      <x v="199"/>
      <x v="22"/>
      <x v="14"/>
      <x v="54"/>
      <x v="5"/>
      <x/>
      <x v="11"/>
      <x v="121"/>
      <x v="1"/>
    </i>
    <i t="default">
      <x v="23"/>
    </i>
    <i t="grand">
      <x/>
    </i>
  </rowItems>
  <colItems count="1">
    <i/>
  </colItems>
  <pageFields count="2">
    <pageField fld="8" hier="-1"/>
    <pageField fld="29" hier="-1"/>
  </pageFields>
  <dataFields count="1">
    <dataField name="N° Part.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492221-68DD-407A-A729-CBC992EA11A6}" name="TablaDinámica1" cacheId="396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compact="0" compactData="0" multipleFieldFilters="0" rowHeaderCaption="Nombre Completo">
  <location ref="A6:P39" firstHeaderRow="1" firstDataRow="1" firstDataCol="15" rowPageCount="4" colPageCount="1"/>
  <pivotFields count="52">
    <pivotField name="R.U.N." axis="axisRow" compact="0" outline="0" showAll="0" defaultSubtotal="0">
      <items count="381">
        <item m="1" x="259"/>
        <item m="1" x="292"/>
        <item m="1" x="216"/>
        <item x="85"/>
        <item x="115"/>
        <item x="190"/>
        <item m="1" x="380"/>
        <item x="82"/>
        <item m="1" x="264"/>
        <item x="193"/>
        <item m="1" x="258"/>
        <item m="1" x="260"/>
        <item m="1" x="217"/>
        <item m="1" x="255"/>
        <item m="1" x="314"/>
        <item m="1" x="235"/>
        <item m="1" x="218"/>
        <item m="1" x="250"/>
        <item m="1" x="288"/>
        <item m="1" x="219"/>
        <item m="1" x="289"/>
        <item x="92"/>
        <item x="94"/>
        <item x="84"/>
        <item m="1" x="285"/>
        <item m="1" x="273"/>
        <item m="1" x="315"/>
        <item m="1" x="290"/>
        <item x="151"/>
        <item m="1" x="214"/>
        <item x="25"/>
        <item m="1" x="246"/>
        <item m="1" x="277"/>
        <item x="155"/>
        <item m="1" x="279"/>
        <item m="1" x="265"/>
        <item m="1" x="249"/>
        <item m="1" x="224"/>
        <item m="1" x="261"/>
        <item m="1" x="234"/>
        <item m="1" x="300"/>
        <item m="1" x="308"/>
        <item m="1" x="269"/>
        <item m="1" x="295"/>
        <item x="109"/>
        <item m="1" x="262"/>
        <item m="1" x="310"/>
        <item m="1" x="233"/>
        <item m="1" x="379"/>
        <item m="1" x="298"/>
        <item m="1" x="221"/>
        <item m="1" x="252"/>
        <item x="121"/>
        <item m="1" x="245"/>
        <item m="1" x="247"/>
        <item m="1" x="230"/>
        <item m="1" x="243"/>
        <item m="1" x="291"/>
        <item m="1" x="294"/>
        <item m="1" x="227"/>
        <item m="1" x="226"/>
        <item m="1" x="305"/>
        <item m="1" x="225"/>
        <item m="1" x="293"/>
        <item m="1" x="241"/>
        <item m="1" x="238"/>
        <item m="1" x="263"/>
        <item m="1" x="244"/>
        <item m="1" x="213"/>
        <item m="1" x="228"/>
        <item m="1" x="309"/>
        <item m="1" x="248"/>
        <item m="1" x="222"/>
        <item m="1" x="220"/>
        <item m="1" x="270"/>
        <item m="1" x="283"/>
        <item m="1" x="251"/>
        <item m="1" x="212"/>
        <item m="1" x="268"/>
        <item m="1" x="267"/>
        <item m="1" x="242"/>
        <item m="1" x="302"/>
        <item m="1" x="231"/>
        <item m="1" x="280"/>
        <item m="1" x="276"/>
        <item m="1" x="301"/>
        <item m="1" x="296"/>
        <item m="1" x="299"/>
        <item m="1" x="304"/>
        <item m="1" x="232"/>
        <item m="1" x="297"/>
        <item m="1" x="239"/>
        <item m="1" x="272"/>
        <item m="1" x="278"/>
        <item m="1" x="236"/>
        <item m="1" x="229"/>
        <item m="1" x="257"/>
        <item m="1" x="223"/>
        <item m="1" x="275"/>
        <item m="1" x="312"/>
        <item m="1" x="237"/>
        <item m="1" x="307"/>
        <item m="1" x="311"/>
        <item m="1" x="286"/>
        <item m="1" x="266"/>
        <item m="1" x="256"/>
        <item m="1" x="271"/>
        <item m="1" x="303"/>
        <item m="1" x="240"/>
        <item m="1" x="306"/>
        <item m="1" x="282"/>
        <item m="1" x="254"/>
        <item m="1" x="313"/>
        <item m="1" x="287"/>
        <item m="1" x="284"/>
        <item m="1" x="253"/>
        <item m="1" x="281"/>
        <item x="204"/>
        <item x="205"/>
        <item m="1" x="316"/>
        <item m="1" x="317"/>
        <item m="1" x="318"/>
        <item m="1" x="319"/>
        <item m="1" x="320"/>
        <item m="1" x="321"/>
        <item m="1" x="322"/>
        <item x="123"/>
        <item m="1" x="323"/>
        <item m="1" x="324"/>
        <item m="1" x="325"/>
        <item x="98"/>
        <item m="1" x="326"/>
        <item m="1" x="327"/>
        <item x="88"/>
        <item m="1" x="328"/>
        <item m="1" x="329"/>
        <item m="1" x="330"/>
        <item x="142"/>
        <item m="1" x="331"/>
        <item x="81"/>
        <item x="87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215"/>
        <item m="1" x="274"/>
        <item m="1" x="353"/>
        <item m="1" x="354"/>
        <item x="91"/>
        <item m="1" x="355"/>
        <item x="191"/>
        <item x="187"/>
        <item x="188"/>
        <item x="189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6"/>
        <item m="1" x="365"/>
        <item x="10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x="200"/>
        <item m="1" x="378"/>
        <item m="1" x="211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207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10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m="1" x="20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9"/>
        <item x="194"/>
        <item x="195"/>
        <item x="138"/>
        <item x="196"/>
        <item x="197"/>
        <item x="198"/>
        <item x="199"/>
        <item x="201"/>
        <item x="202"/>
        <item x="203"/>
        <item x="206"/>
        <item x="22"/>
      </items>
    </pivotField>
    <pivotField name="Correo Electrónico" axis="axisRow" compact="0" outline="0" showAll="0" defaultSubtotal="0">
      <items count="369">
        <item m="1" x="257"/>
        <item m="1" x="211"/>
        <item x="94"/>
        <item m="1" x="258"/>
        <item m="1" x="216"/>
        <item m="1" x="230"/>
        <item m="1" x="222"/>
        <item m="1" x="212"/>
        <item m="1" x="223"/>
        <item m="1" x="241"/>
        <item m="1" x="254"/>
        <item m="1" x="256"/>
        <item m="1" x="248"/>
        <item m="1" x="255"/>
        <item x="190"/>
        <item m="1" x="224"/>
        <item m="1" x="247"/>
        <item m="1" x="219"/>
        <item m="1" x="240"/>
        <item m="1" x="218"/>
        <item m="1" x="242"/>
        <item m="1" x="232"/>
        <item m="1" x="246"/>
        <item m="1" x="249"/>
        <item m="1" x="235"/>
        <item m="1" x="252"/>
        <item m="1" x="236"/>
        <item m="1" x="221"/>
        <item m="1" x="234"/>
        <item m="1" x="228"/>
        <item m="1" x="217"/>
        <item m="1" x="251"/>
        <item m="1" x="231"/>
        <item x="25"/>
        <item m="1" x="250"/>
        <item m="1" x="215"/>
        <item m="1" x="225"/>
        <item m="1" x="238"/>
        <item m="1" x="237"/>
        <item x="151"/>
        <item m="1" x="245"/>
        <item m="1" x="253"/>
        <item m="1" x="213"/>
        <item m="1" x="244"/>
        <item x="193"/>
        <item m="1" x="220"/>
        <item m="1" x="243"/>
        <item m="1" x="227"/>
        <item x="121"/>
        <item m="1" x="226"/>
        <item x="92"/>
        <item m="1" x="229"/>
        <item x="109"/>
        <item m="1" x="233"/>
        <item m="1" x="214"/>
        <item m="1" x="239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84"/>
        <item m="1" x="287"/>
        <item m="1" x="288"/>
        <item x="85"/>
        <item m="1" x="289"/>
        <item m="1" x="290"/>
        <item m="1" x="291"/>
        <item m="1" x="292"/>
        <item m="1" x="293"/>
        <item x="115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x="204"/>
        <item x="205"/>
        <item m="1" x="317"/>
        <item m="1" x="318"/>
        <item m="1" x="319"/>
        <item m="1" x="320"/>
        <item m="1" x="321"/>
        <item m="1" x="322"/>
        <item m="1" x="323"/>
        <item x="123"/>
        <item m="1" x="324"/>
        <item m="1" x="325"/>
        <item m="1" x="368"/>
        <item x="98"/>
        <item m="1" x="326"/>
        <item m="1" x="327"/>
        <item m="1" x="328"/>
        <item x="88"/>
        <item m="1" x="329"/>
        <item m="1" x="330"/>
        <item m="1" x="331"/>
        <item x="142"/>
        <item m="1" x="332"/>
        <item x="81"/>
        <item x="87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name="Nombre" axis="axisRow" compact="0" outline="0" showAll="0" defaultSubtotal="0">
      <items count="393">
        <item m="1" x="211"/>
        <item m="1" x="259"/>
        <item x="151"/>
        <item x="94"/>
        <item m="1" x="222"/>
        <item m="1" x="216"/>
        <item m="1" x="230"/>
        <item m="1" x="212"/>
        <item m="1" x="249"/>
        <item m="1" x="223"/>
        <item m="1" x="241"/>
        <item m="1" x="256"/>
        <item m="1" x="254"/>
        <item m="1" x="248"/>
        <item m="1" x="260"/>
        <item m="1" x="389"/>
        <item m="1" x="224"/>
        <item m="1" x="247"/>
        <item m="1" x="237"/>
        <item m="1" x="219"/>
        <item m="1" x="246"/>
        <item m="1" x="232"/>
        <item m="1" x="242"/>
        <item m="1" x="218"/>
        <item m="1" x="240"/>
        <item m="1" x="235"/>
        <item m="1" x="252"/>
        <item m="1" x="236"/>
        <item m="1" x="221"/>
        <item m="1" x="217"/>
        <item m="1" x="234"/>
        <item m="1" x="228"/>
        <item m="1" x="251"/>
        <item m="1" x="231"/>
        <item x="25"/>
        <item m="1" x="250"/>
        <item m="1" x="225"/>
        <item m="1" x="220"/>
        <item m="1" x="238"/>
        <item m="1" x="386"/>
        <item m="1" x="390"/>
        <item m="1" x="213"/>
        <item m="1" x="244"/>
        <item x="190"/>
        <item m="1" x="227"/>
        <item x="193"/>
        <item m="1" x="243"/>
        <item m="1" x="215"/>
        <item x="121"/>
        <item x="92"/>
        <item m="1" x="258"/>
        <item m="1" x="229"/>
        <item m="1" x="233"/>
        <item m="1" x="226"/>
        <item m="1" x="214"/>
        <item m="1" x="239"/>
        <item m="1" x="388"/>
        <item m="1" x="391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385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x="84"/>
        <item m="1" x="289"/>
        <item m="1" x="387"/>
        <item m="1" x="291"/>
        <item m="1" x="292"/>
        <item m="1" x="293"/>
        <item x="155"/>
        <item x="82"/>
        <item m="1" x="294"/>
        <item x="115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92"/>
        <item m="1" x="384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253"/>
        <item m="1" x="255"/>
        <item m="1" x="274"/>
        <item m="1" x="306"/>
        <item m="1" x="245"/>
        <item m="1" x="257"/>
        <item m="1" x="261"/>
        <item m="1" x="290"/>
        <item m="1" x="305"/>
        <item x="204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83"/>
        <item m="1" x="329"/>
        <item m="1" x="330"/>
        <item m="1" x="331"/>
        <item m="1" x="332"/>
        <item x="88"/>
        <item m="1" x="333"/>
        <item m="1" x="334"/>
        <item m="1" x="262"/>
        <item m="1" x="328"/>
        <item m="1" x="335"/>
        <item x="142"/>
        <item m="1" x="336"/>
        <item m="1" x="337"/>
        <item x="8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compact="0" numFmtId="14" outline="0" showAll="0"/>
    <pivotField compact="0" outline="0" showAll="0"/>
    <pivotField name="Comuna Inscrita" axis="axisRow" compact="0" outline="0" showAll="0" defaultSubtotal="0">
      <items count="52">
        <item x="15"/>
        <item x="2"/>
        <item x="11"/>
        <item m="1" x="51"/>
        <item m="1" x="31"/>
        <item x="4"/>
        <item m="1" x="28"/>
        <item x="3"/>
        <item m="1" x="35"/>
        <item m="1" x="33"/>
        <item x="1"/>
        <item x="0"/>
        <item x="5"/>
        <item m="1" x="49"/>
        <item m="1" x="32"/>
        <item x="19"/>
        <item m="1" x="50"/>
        <item m="1" x="48"/>
        <item m="1" x="45"/>
        <item m="1" x="36"/>
        <item m="1" x="37"/>
        <item x="20"/>
        <item m="1" x="38"/>
        <item x="18"/>
        <item m="1" x="46"/>
        <item m="1" x="40"/>
        <item m="1" x="39"/>
        <item m="1" x="41"/>
        <item m="1" x="42"/>
        <item m="1" x="43"/>
        <item m="1" x="34"/>
        <item x="21"/>
        <item m="1" x="44"/>
        <item m="1" x="47"/>
        <item x="22"/>
        <item x="6"/>
        <item x="7"/>
        <item x="8"/>
        <item x="9"/>
        <item m="1" x="29"/>
        <item x="10"/>
        <item x="12"/>
        <item x="13"/>
        <item m="1" x="30"/>
        <item x="14"/>
        <item x="17"/>
        <item x="16"/>
        <item m="1" x="27"/>
        <item x="23"/>
        <item x="24"/>
        <item m="1" x="26"/>
        <item x="25"/>
      </items>
    </pivotField>
    <pivotField compact="0" outline="0" showAll="0"/>
    <pivotField name="N° Fono" axis="axisRow" compact="0" outline="0" showAll="0" defaultSubtotal="0">
      <items count="370">
        <item m="1" x="368"/>
        <item m="1" x="364"/>
        <item m="1" x="365"/>
        <item x="151"/>
        <item m="1" x="233"/>
        <item m="1" x="214"/>
        <item m="1" x="211"/>
        <item m="1" x="210"/>
        <item x="92"/>
        <item m="1" x="231"/>
        <item m="1" x="246"/>
        <item m="1" x="228"/>
        <item m="1" x="220"/>
        <item m="1" x="224"/>
        <item m="1" x="243"/>
        <item m="1" x="223"/>
        <item m="1" x="218"/>
        <item m="1" x="236"/>
        <item m="1" x="227"/>
        <item x="109"/>
        <item m="1" x="250"/>
        <item m="1" x="253"/>
        <item m="1" x="229"/>
        <item m="1" x="234"/>
        <item x="94"/>
        <item m="1" x="244"/>
        <item x="25"/>
        <item m="1" x="222"/>
        <item m="1" x="239"/>
        <item m="1" x="232"/>
        <item m="1" x="245"/>
        <item m="1" x="251"/>
        <item m="1" x="216"/>
        <item m="1" x="252"/>
        <item m="1" x="254"/>
        <item m="1" x="226"/>
        <item m="1" x="247"/>
        <item m="1" x="230"/>
        <item m="1" x="235"/>
        <item m="1" x="241"/>
        <item x="193"/>
        <item m="1" x="237"/>
        <item m="1" x="225"/>
        <item m="1" x="221"/>
        <item m="1" x="219"/>
        <item m="1" x="217"/>
        <item m="1" x="242"/>
        <item m="1" x="255"/>
        <item m="1" x="257"/>
        <item m="1" x="256"/>
        <item x="121"/>
        <item x="190"/>
        <item m="1" x="238"/>
        <item m="1" x="240"/>
        <item m="1" x="366"/>
        <item m="1" x="367"/>
        <item m="1" x="212"/>
        <item m="1" x="213"/>
        <item m="1" x="248"/>
        <item m="1" x="249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369"/>
        <item m="1" x="280"/>
        <item m="1" x="281"/>
        <item m="1" x="282"/>
        <item m="1" x="283"/>
        <item m="1" x="284"/>
        <item m="1" x="285"/>
        <item x="84"/>
        <item m="1" x="286"/>
        <item x="85"/>
        <item m="1" x="287"/>
        <item m="1" x="288"/>
        <item x="155"/>
        <item x="82"/>
        <item m="1" x="289"/>
        <item x="115"/>
        <item m="1" x="27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x="204"/>
        <item x="205"/>
        <item m="1" x="313"/>
        <item m="1" x="314"/>
        <item m="1" x="315"/>
        <item m="1" x="316"/>
        <item m="1" x="317"/>
        <item m="1" x="318"/>
        <item m="1" x="319"/>
        <item x="123"/>
        <item m="1" x="320"/>
        <item m="1" x="321"/>
        <item m="1" x="322"/>
        <item x="98"/>
        <item m="1" x="323"/>
        <item m="1" x="324"/>
        <item x="88"/>
        <item m="1" x="325"/>
        <item m="1" x="326"/>
        <item m="1" x="327"/>
        <item x="142"/>
        <item m="1" x="328"/>
        <item x="81"/>
        <item x="87"/>
        <item m="1" x="215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209"/>
        <item m="1" x="350"/>
        <item m="1" x="351"/>
        <item m="1" x="352"/>
        <item m="1" x="353"/>
        <item x="191"/>
        <item x="187"/>
        <item x="188"/>
        <item x="189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8"/>
        <item x="83"/>
        <item x="86"/>
        <item x="90"/>
        <item x="95"/>
        <item x="96"/>
        <item x="97"/>
        <item x="99"/>
        <item x="100"/>
        <item x="101"/>
        <item x="89"/>
        <item x="91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7"/>
        <item x="194"/>
        <item x="195"/>
        <item x="196"/>
        <item x="197"/>
        <item x="198"/>
        <item x="199"/>
        <item x="200"/>
        <item x="201"/>
        <item x="202"/>
        <item x="203"/>
        <item x="206"/>
      </items>
    </pivotField>
    <pivotField name="Rol" axis="axisPage" compact="0" outline="0" multipleItemSelectionAllowed="1" showAll="0">
      <items count="8">
        <item h="1" x="3"/>
        <item h="1" x="1"/>
        <item x="0"/>
        <item h="1" m="1" x="6"/>
        <item h="1" x="4"/>
        <item h="1" x="5"/>
        <item h="1" x="2"/>
        <item t="default"/>
      </items>
    </pivotField>
    <pivotField name="Grupo " axis="axisRow" compact="0" outline="0" showAll="0" defaultSubtotal="0">
      <items count="80">
        <item x="38"/>
        <item x="45"/>
        <item x="25"/>
        <item m="1" x="68"/>
        <item x="46"/>
        <item x="14"/>
        <item x="37"/>
        <item x="40"/>
        <item x="3"/>
        <item x="0"/>
        <item m="1" x="48"/>
        <item x="29"/>
        <item m="1" x="67"/>
        <item m="1" x="76"/>
        <item x="1"/>
        <item x="30"/>
        <item x="22"/>
        <item x="19"/>
        <item x="28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3"/>
        <item x="32"/>
        <item m="1" x="78"/>
        <item m="1" x="79"/>
        <item x="13"/>
        <item x="18"/>
        <item x="43"/>
        <item m="1" x="62"/>
        <item x="42"/>
        <item m="1" x="65"/>
        <item m="1" x="77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ama Curso" axis="axisRow" compact="0" outline="0" showAll="0" defaultSubtotal="0">
      <items count="10">
        <item x="2"/>
        <item x="6"/>
        <item x="5"/>
        <item x="0"/>
        <item x="3"/>
        <item x="1"/>
        <item x="4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istrito " axis="axisPage" compact="0" outline="0" multipleItemSelectionAllowed="1" showAll="0">
      <items count="25">
        <item x="1"/>
        <item x="2"/>
        <item x="10"/>
        <item x="9"/>
        <item x="0"/>
        <item m="1" x="19"/>
        <item x="4"/>
        <item h="1"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5">
        <item x="3"/>
        <item x="0"/>
        <item x="2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name="Estado" axis="axisPage" compact="0" outline="0" multipleItemSelectionAllowed="1" showAll="0">
      <items count="8">
        <item x="0"/>
        <item h="1" m="1" x="5"/>
        <item h="1" x="1"/>
        <item m="1" x="3"/>
        <item h="1" m="1" x="6"/>
        <item h="1" m="1" x="2"/>
        <item h="1"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4">
        <item m="1" x="33"/>
        <item x="32"/>
        <item x="6"/>
        <item x="8"/>
        <item x="12"/>
        <item x="5"/>
        <item x="2"/>
        <item x="1"/>
        <item x="3"/>
        <item x="15"/>
        <item x="16"/>
        <item x="18"/>
        <item x="27"/>
        <item x="13"/>
        <item x="0"/>
        <item x="29"/>
        <item x="11"/>
        <item x="4"/>
        <item x="10"/>
        <item x="20"/>
        <item x="14"/>
        <item x="17"/>
        <item x="7"/>
        <item x="19"/>
        <item x="25"/>
        <item x="26"/>
        <item x="9"/>
        <item x="23"/>
        <item x="24"/>
        <item x="31"/>
        <item x="22"/>
        <item x="21"/>
        <item x="28"/>
        <item x="30"/>
      </items>
    </pivotField>
    <pivotField axis="axisRow" compact="0" outline="0" showAll="0" defaultSubtotal="0">
      <items count="132">
        <item x="96"/>
        <item x="39"/>
        <item x="101"/>
        <item x="128"/>
        <item x="40"/>
        <item x="129"/>
        <item x="38"/>
        <item x="65"/>
        <item x="18"/>
        <item x="105"/>
        <item x="6"/>
        <item x="92"/>
        <item x="116"/>
        <item x="126"/>
        <item x="10"/>
        <item x="73"/>
        <item x="34"/>
        <item x="106"/>
        <item x="9"/>
        <item x="36"/>
        <item x="58"/>
        <item x="89"/>
        <item x="1"/>
        <item x="56"/>
        <item x="2"/>
        <item x="85"/>
        <item x="121"/>
        <item x="64"/>
        <item x="11"/>
        <item x="15"/>
        <item x="3"/>
        <item x="5"/>
        <item x="80"/>
        <item x="110"/>
        <item x="83"/>
        <item x="41"/>
        <item x="68"/>
        <item x="74"/>
        <item x="81"/>
        <item x="45"/>
        <item x="37"/>
        <item x="120"/>
        <item x="46"/>
        <item x="24"/>
        <item x="118"/>
        <item x="61"/>
        <item x="130"/>
        <item x="26"/>
        <item x="97"/>
        <item x="25"/>
        <item x="31"/>
        <item x="115"/>
        <item x="93"/>
        <item x="109"/>
        <item x="35"/>
        <item x="63"/>
        <item x="75"/>
        <item x="111"/>
        <item x="49"/>
        <item x="76"/>
        <item x="114"/>
        <item x="104"/>
        <item x="19"/>
        <item x="69"/>
        <item x="90"/>
        <item x="124"/>
        <item x="29"/>
        <item x="51"/>
        <item x="62"/>
        <item x="13"/>
        <item x="53"/>
        <item x="119"/>
        <item x="72"/>
        <item x="70"/>
        <item x="50"/>
        <item x="52"/>
        <item x="42"/>
        <item x="107"/>
        <item x="8"/>
        <item x="99"/>
        <item x="54"/>
        <item x="103"/>
        <item x="23"/>
        <item x="21"/>
        <item x="67"/>
        <item x="59"/>
        <item x="77"/>
        <item x="125"/>
        <item x="48"/>
        <item x="17"/>
        <item x="16"/>
        <item x="91"/>
        <item x="12"/>
        <item x="27"/>
        <item x="66"/>
        <item x="127"/>
        <item x="95"/>
        <item x="88"/>
        <item x="47"/>
        <item x="71"/>
        <item x="113"/>
        <item x="22"/>
        <item x="30"/>
        <item x="98"/>
        <item x="4"/>
        <item x="33"/>
        <item x="79"/>
        <item x="87"/>
        <item x="102"/>
        <item x="100"/>
        <item x="14"/>
        <item x="0"/>
        <item x="57"/>
        <item x="55"/>
        <item x="20"/>
        <item x="82"/>
        <item x="117"/>
        <item x="108"/>
        <item x="44"/>
        <item x="94"/>
        <item x="86"/>
        <item x="60"/>
        <item x="43"/>
        <item x="32"/>
        <item x="84"/>
        <item x="28"/>
        <item x="123"/>
        <item x="7"/>
        <item x="78"/>
        <item x="112"/>
        <item x="122"/>
        <item x="131"/>
      </items>
    </pivotField>
    <pivotField axis="axisRow" compact="0" outline="0" showAll="0" defaultSubtotal="0">
      <items count="63">
        <item x="45"/>
        <item x="26"/>
        <item x="14"/>
        <item x="39"/>
        <item x="59"/>
        <item x="56"/>
        <item x="36"/>
        <item x="17"/>
        <item x="57"/>
        <item x="50"/>
        <item x="47"/>
        <item x="12"/>
        <item x="54"/>
        <item x="58"/>
        <item x="15"/>
        <item x="48"/>
        <item x="55"/>
        <item x="21"/>
        <item x="41"/>
        <item x="11"/>
        <item x="22"/>
        <item x="51"/>
        <item x="19"/>
        <item x="53"/>
        <item x="20"/>
        <item x="49"/>
        <item x="0"/>
        <item x="13"/>
        <item x="32"/>
        <item x="34"/>
        <item x="4"/>
        <item x="25"/>
        <item x="35"/>
        <item x="9"/>
        <item x="5"/>
        <item x="7"/>
        <item x="44"/>
        <item x="2"/>
        <item x="23"/>
        <item x="8"/>
        <item x="37"/>
        <item x="18"/>
        <item x="29"/>
        <item x="42"/>
        <item x="28"/>
        <item x="46"/>
        <item x="40"/>
        <item x="1"/>
        <item x="6"/>
        <item x="30"/>
        <item x="16"/>
        <item x="52"/>
        <item x="27"/>
        <item x="38"/>
        <item x="10"/>
        <item x="24"/>
        <item x="31"/>
        <item x="3"/>
        <item x="33"/>
        <item x="62"/>
        <item x="61"/>
        <item x="43"/>
        <item x="60"/>
      </items>
    </pivotField>
    <pivotField axis="axisRow" compact="0" outline="0" showAll="0" defaultSubtotal="0">
      <items count="90">
        <item x="54"/>
        <item x="73"/>
        <item x="41"/>
        <item x="33"/>
        <item x="5"/>
        <item x="0"/>
        <item x="35"/>
        <item x="75"/>
        <item x="74"/>
        <item x="61"/>
        <item x="28"/>
        <item x="12"/>
        <item x="24"/>
        <item x="60"/>
        <item x="31"/>
        <item x="77"/>
        <item x="29"/>
        <item x="2"/>
        <item x="34"/>
        <item x="80"/>
        <item x="81"/>
        <item x="68"/>
        <item x="21"/>
        <item x="32"/>
        <item x="13"/>
        <item x="88"/>
        <item x="84"/>
        <item x="85"/>
        <item x="89"/>
        <item x="70"/>
        <item x="48"/>
        <item x="4"/>
        <item x="26"/>
        <item x="44"/>
        <item x="6"/>
        <item x="23"/>
        <item x="47"/>
        <item x="82"/>
        <item x="65"/>
        <item x="50"/>
        <item x="79"/>
        <item x="52"/>
        <item x="7"/>
        <item x="10"/>
        <item x="18"/>
        <item x="59"/>
        <item x="40"/>
        <item x="43"/>
        <item x="53"/>
        <item x="58"/>
        <item x="62"/>
        <item x="14"/>
        <item x="66"/>
        <item x="86"/>
        <item x="20"/>
        <item x="51"/>
        <item x="19"/>
        <item x="63"/>
        <item x="3"/>
        <item x="57"/>
        <item x="11"/>
        <item x="46"/>
        <item x="76"/>
        <item x="55"/>
        <item x="16"/>
        <item x="30"/>
        <item x="49"/>
        <item x="42"/>
        <item x="64"/>
        <item x="36"/>
        <item x="56"/>
        <item x="25"/>
        <item x="8"/>
        <item x="87"/>
        <item x="22"/>
        <item x="9"/>
        <item x="69"/>
        <item x="78"/>
        <item x="72"/>
        <item x="15"/>
        <item x="37"/>
        <item x="17"/>
        <item x="38"/>
        <item x="39"/>
        <item x="67"/>
        <item x="1"/>
        <item x="45"/>
        <item x="27"/>
        <item x="71"/>
        <item x="83"/>
      </items>
    </pivotField>
    <pivotField axis="axisRow" compact="0" outline="0" showAll="0" defaultSubtotal="0">
      <items count="5">
        <item x="2"/>
        <item x="0"/>
        <item x="1"/>
        <item x="3"/>
        <item x="4"/>
      </items>
    </pivotField>
    <pivotField axis="axisRow" compact="0" outline="0" showAll="0" defaultSubtotal="0">
      <items count="14">
        <item x="3"/>
        <item x="1"/>
        <item x="4"/>
        <item x="5"/>
        <item x="7"/>
        <item x="10"/>
        <item x="8"/>
        <item x="6"/>
        <item x="2"/>
        <item x="12"/>
        <item x="9"/>
        <item x="0"/>
        <item x="11"/>
        <item x="13"/>
      </items>
    </pivotField>
    <pivotField axis="axisRow" compact="0" outline="0" showAll="0" defaultSubtotal="0">
      <items count="176">
        <item x="62"/>
        <item x="74"/>
        <item x="5"/>
        <item x="103"/>
        <item x="61"/>
        <item x="78"/>
        <item x="39"/>
        <item x="173"/>
        <item x="0"/>
        <item x="106"/>
        <item x="38"/>
        <item x="27"/>
        <item x="25"/>
        <item x="16"/>
        <item x="35"/>
        <item x="26"/>
        <item x="88"/>
        <item x="130"/>
        <item x="132"/>
        <item x="149"/>
        <item x="136"/>
        <item x="116"/>
        <item x="167"/>
        <item x="137"/>
        <item x="95"/>
        <item x="43"/>
        <item x="85"/>
        <item x="151"/>
        <item x="100"/>
        <item x="87"/>
        <item x="170"/>
        <item x="40"/>
        <item x="105"/>
        <item x="11"/>
        <item x="77"/>
        <item x="36"/>
        <item x="3"/>
        <item x="169"/>
        <item x="159"/>
        <item x="141"/>
        <item x="174"/>
        <item x="115"/>
        <item x="51"/>
        <item x="104"/>
        <item x="161"/>
        <item x="112"/>
        <item x="148"/>
        <item x="131"/>
        <item x="154"/>
        <item x="73"/>
        <item x="107"/>
        <item x="94"/>
        <item x="75"/>
        <item x="82"/>
        <item x="129"/>
        <item x="93"/>
        <item x="114"/>
        <item x="127"/>
        <item x="139"/>
        <item x="44"/>
        <item x="19"/>
        <item x="33"/>
        <item x="89"/>
        <item x="55"/>
        <item x="164"/>
        <item x="165"/>
        <item x="140"/>
        <item x="48"/>
        <item x="37"/>
        <item x="145"/>
        <item x="92"/>
        <item x="113"/>
        <item x="53"/>
        <item x="121"/>
        <item x="6"/>
        <item x="8"/>
        <item x="125"/>
        <item x="28"/>
        <item x="84"/>
        <item x="52"/>
        <item x="76"/>
        <item x="155"/>
        <item x="126"/>
        <item x="111"/>
        <item x="29"/>
        <item x="67"/>
        <item x="14"/>
        <item x="117"/>
        <item x="66"/>
        <item x="60"/>
        <item x="45"/>
        <item x="24"/>
        <item x="90"/>
        <item x="163"/>
        <item x="23"/>
        <item x="80"/>
        <item x="15"/>
        <item x="142"/>
        <item x="134"/>
        <item x="122"/>
        <item x="172"/>
        <item x="86"/>
        <item x="96"/>
        <item x="99"/>
        <item x="119"/>
        <item x="21"/>
        <item x="56"/>
        <item x="118"/>
        <item x="133"/>
        <item x="143"/>
        <item x="166"/>
        <item x="158"/>
        <item x="54"/>
        <item x="7"/>
        <item x="97"/>
        <item x="101"/>
        <item x="22"/>
        <item x="4"/>
        <item x="50"/>
        <item x="10"/>
        <item x="124"/>
        <item x="12"/>
        <item x="41"/>
        <item x="49"/>
        <item x="9"/>
        <item x="160"/>
        <item x="102"/>
        <item x="2"/>
        <item x="47"/>
        <item x="79"/>
        <item x="70"/>
        <item x="1"/>
        <item x="17"/>
        <item x="13"/>
        <item x="109"/>
        <item x="153"/>
        <item x="63"/>
        <item x="46"/>
        <item x="156"/>
        <item x="152"/>
        <item x="57"/>
        <item x="144"/>
        <item x="135"/>
        <item x="72"/>
        <item x="157"/>
        <item x="110"/>
        <item x="83"/>
        <item x="146"/>
        <item x="168"/>
        <item x="42"/>
        <item x="18"/>
        <item x="98"/>
        <item x="32"/>
        <item x="34"/>
        <item x="91"/>
        <item x="69"/>
        <item x="30"/>
        <item x="65"/>
        <item x="123"/>
        <item x="20"/>
        <item x="128"/>
        <item x="31"/>
        <item x="71"/>
        <item x="150"/>
        <item x="81"/>
        <item x="147"/>
        <item x="58"/>
        <item x="120"/>
        <item x="59"/>
        <item x="138"/>
        <item x="171"/>
        <item x="108"/>
        <item x="68"/>
        <item x="162"/>
        <item x="64"/>
        <item x="175"/>
      </items>
    </pivotField>
    <pivotField compact="0" outline="0" showAll="0"/>
    <pivotField compact="0" numFmtId="168" outline="0" showAll="0"/>
    <pivotField axis="axisPage" compact="0" outline="0" showAll="0">
      <items count="4">
        <item x="1"/>
        <item x="2"/>
        <item x="0"/>
        <item t="default"/>
      </items>
    </pivotField>
  </pivotFields>
  <rowFields count="15">
    <field x="9"/>
    <field x="2"/>
    <field x="10"/>
    <field x="0"/>
    <field x="1"/>
    <field x="5"/>
    <field x="7"/>
    <field x="42"/>
    <field x="43"/>
    <field x="44"/>
    <field x="45"/>
    <field x="46"/>
    <field x="47"/>
    <field x="48"/>
    <field x="12"/>
  </rowFields>
  <rowItems count="33">
    <i>
      <x v="2"/>
      <x v="370"/>
      <x v="5"/>
      <x v="359"/>
      <x v="346"/>
      <x v="10"/>
      <x v="349"/>
      <x v="6"/>
      <x v="51"/>
      <x v="14"/>
      <x v="80"/>
      <x v="2"/>
      <x v="11"/>
      <x v="48"/>
      <x v="3"/>
    </i>
    <i>
      <x v="5"/>
      <x v="280"/>
      <x v="6"/>
      <x v="275"/>
      <x v="260"/>
      <x v="1"/>
      <x v="264"/>
      <x v="21"/>
      <x v="88"/>
      <x v="58"/>
      <x v="5"/>
      <x v="2"/>
      <x/>
      <x v="130"/>
      <x v="1"/>
    </i>
    <i>
      <x v="25"/>
      <x v="237"/>
      <x v="3"/>
      <x v="232"/>
      <x v="217"/>
      <x v="5"/>
      <x v="221"/>
      <x v="5"/>
      <x v="43"/>
      <x v="17"/>
      <x v="31"/>
      <x v="2"/>
      <x v="1"/>
      <x v="14"/>
      <x v="1"/>
    </i>
    <i>
      <x v="27"/>
      <x v="269"/>
      <x v="2"/>
      <x v="264"/>
      <x v="249"/>
      <x v="2"/>
      <x v="253"/>
      <x v="9"/>
      <x v="76"/>
      <x v="41"/>
      <x v="47"/>
      <x v="2"/>
      <x v="11"/>
      <x/>
      <x v="1"/>
    </i>
    <i r="1">
      <x v="373"/>
      <x v="5"/>
      <x v="362"/>
      <x v="349"/>
      <x v="2"/>
      <x v="352"/>
      <x v="6"/>
      <x v="44"/>
      <x v="29"/>
      <x v="51"/>
      <x v="2"/>
      <x v="11"/>
      <x v="144"/>
      <x v="1"/>
    </i>
    <i>
      <x v="32"/>
      <x v="353"/>
      <x v="4"/>
      <x v="342"/>
      <x v="329"/>
      <x v="2"/>
      <x v="332"/>
      <x v="18"/>
      <x v="81"/>
      <x v="7"/>
      <x v="5"/>
      <x v="2"/>
      <x v="11"/>
      <x v="66"/>
      <x v="1"/>
    </i>
    <i r="1">
      <x v="369"/>
      <x/>
      <x v="358"/>
      <x v="345"/>
      <x v="2"/>
      <x v="348"/>
      <x v="19"/>
      <x v="60"/>
      <x v="37"/>
      <x v="64"/>
      <x v="2"/>
      <x v="11"/>
      <x v="135"/>
      <x v="1"/>
    </i>
    <i>
      <x v="39"/>
      <x v="363"/>
      <x v="3"/>
      <x v="352"/>
      <x v="339"/>
      <x v="2"/>
      <x v="342"/>
      <x v="15"/>
      <x v="53"/>
      <x v="30"/>
      <x v="22"/>
      <x v="2"/>
      <x v="1"/>
      <x v="69"/>
      <x v="2"/>
    </i>
    <i r="1">
      <x v="380"/>
      <x v="6"/>
      <x v="369"/>
      <x v="357"/>
      <x v="2"/>
      <x v="359"/>
      <x v="14"/>
      <x v="87"/>
      <x v="30"/>
      <x v="60"/>
      <x v="2"/>
      <x v="11"/>
      <x v="64"/>
      <x v="1"/>
    </i>
    <i>
      <x v="52"/>
      <x v="214"/>
      <x v="2"/>
      <x v="209"/>
      <x v="194"/>
      <x v="35"/>
      <x v="198"/>
      <x v="6"/>
      <x v="18"/>
      <x v="33"/>
      <x v="42"/>
      <x v="2"/>
      <x v="11"/>
      <x v="33"/>
      <x v="1"/>
    </i>
    <i r="1">
      <x v="215"/>
      <x v="5"/>
      <x v="210"/>
      <x v="195"/>
      <x v="35"/>
      <x v="199"/>
      <x v="22"/>
      <x v="14"/>
      <x v="54"/>
      <x v="5"/>
      <x/>
      <x v="11"/>
      <x v="121"/>
      <x v="1"/>
    </i>
    <i>
      <x v="54"/>
      <x v="219"/>
      <x v="5"/>
      <x v="214"/>
      <x v="199"/>
      <x v="37"/>
      <x v="203"/>
      <x v="18"/>
      <x v="110"/>
      <x v="27"/>
      <x v="43"/>
      <x v="2"/>
      <x v="11"/>
      <x v="13"/>
      <x v="1"/>
    </i>
    <i>
      <x v="55"/>
      <x v="225"/>
      <x v="4"/>
      <x v="220"/>
      <x v="205"/>
      <x v="38"/>
      <x v="209"/>
      <x v="6"/>
      <x v="8"/>
      <x v="7"/>
      <x v="31"/>
      <x v="2"/>
      <x v="3"/>
      <x v="116"/>
      <x v="1"/>
    </i>
    <i r="1">
      <x v="226"/>
      <x v="3"/>
      <x v="221"/>
      <x v="206"/>
      <x v="40"/>
      <x v="210"/>
      <x v="7"/>
      <x v="24"/>
      <x v="37"/>
      <x v="31"/>
      <x v="2"/>
      <x v="11"/>
      <x v="94"/>
      <x v="1"/>
    </i>
    <i r="1">
      <x v="227"/>
      <x v="4"/>
      <x v="222"/>
      <x v="207"/>
      <x v="40"/>
      <x v="211"/>
      <x v="4"/>
      <x v="24"/>
      <x v="11"/>
      <x v="81"/>
      <x v="2"/>
      <x v="11"/>
      <x v="12"/>
      <x v="1"/>
    </i>
    <i r="1">
      <x v="228"/>
      <x v="4"/>
      <x v="223"/>
      <x v="208"/>
      <x v="2"/>
      <x v="212"/>
      <x v="3"/>
      <x v="24"/>
      <x v="22"/>
      <x v="5"/>
      <x v="2"/>
      <x v="11"/>
      <x v="15"/>
      <x v="1"/>
    </i>
    <i r="1">
      <x v="230"/>
      <x v="3"/>
      <x v="225"/>
      <x v="210"/>
      <x v="40"/>
      <x v="214"/>
      <x v="4"/>
      <x v="24"/>
      <x v="7"/>
      <x v="44"/>
      <x v="2"/>
      <x v="11"/>
      <x v="77"/>
      <x v="1"/>
    </i>
    <i r="1">
      <x v="241"/>
      <x/>
      <x v="236"/>
      <x v="221"/>
      <x v="40"/>
      <x v="225"/>
      <x v="10"/>
      <x v="93"/>
      <x v="30"/>
      <x v="64"/>
      <x v="2"/>
      <x v="11"/>
      <x v="6"/>
      <x v="2"/>
    </i>
    <i r="1">
      <x v="251"/>
      <x v="4"/>
      <x v="246"/>
      <x v="231"/>
      <x v="40"/>
      <x v="235"/>
      <x v="6"/>
      <x v="24"/>
      <x v="41"/>
      <x v="44"/>
      <x v="2"/>
      <x v="11"/>
      <x v="14"/>
      <x v="1"/>
    </i>
    <i r="1">
      <x v="254"/>
      <x v="6"/>
      <x v="249"/>
      <x v="234"/>
      <x v="40"/>
      <x v="238"/>
      <x v="3"/>
      <x v="24"/>
      <x v="30"/>
      <x v="5"/>
      <x v="2"/>
      <x v="11"/>
      <x v="118"/>
      <x v="1"/>
    </i>
    <i r="1">
      <x v="260"/>
      <x v="6"/>
      <x v="255"/>
      <x v="240"/>
      <x v="40"/>
      <x v="244"/>
      <x v="4"/>
      <x v="54"/>
      <x v="11"/>
      <x v="44"/>
      <x v="2"/>
      <x v="11"/>
      <x v="63"/>
      <x v="1"/>
    </i>
    <i>
      <x v="56"/>
      <x v="256"/>
      <x v="3"/>
      <x v="251"/>
      <x v="236"/>
      <x v="2"/>
      <x v="240"/>
      <x v="4"/>
      <x v="24"/>
      <x v="44"/>
      <x v="69"/>
      <x v="2"/>
      <x v="11"/>
      <x v="33"/>
      <x v="3"/>
    </i>
    <i r="1">
      <x v="259"/>
      <x v="3"/>
      <x v="254"/>
      <x v="239"/>
      <x v="2"/>
      <x v="243"/>
      <x v="5"/>
      <x v="24"/>
      <x v="49"/>
      <x v="83"/>
      <x v="2"/>
      <x v="11"/>
      <x v="112"/>
      <x v="3"/>
    </i>
    <i r="1">
      <x v="261"/>
      <x v="4"/>
      <x v="256"/>
      <x v="241"/>
      <x v="2"/>
      <x v="245"/>
      <x v="3"/>
      <x v="24"/>
      <x v="14"/>
      <x v="5"/>
      <x v="2"/>
      <x/>
      <x v="106"/>
      <x v="3"/>
    </i>
    <i r="1">
      <x v="262"/>
      <x v="3"/>
      <x v="257"/>
      <x v="242"/>
      <x v="2"/>
      <x v="246"/>
      <x v="5"/>
      <x v="19"/>
      <x v="37"/>
      <x v="44"/>
      <x v="2"/>
      <x v="11"/>
      <x v="140"/>
      <x v="3"/>
    </i>
    <i r="1">
      <x v="263"/>
      <x v="6"/>
      <x v="258"/>
      <x v="243"/>
      <x v="2"/>
      <x v="247"/>
      <x v="3"/>
      <x v="40"/>
      <x v="11"/>
      <x v="46"/>
      <x v="2"/>
      <x v="11"/>
      <x v="124"/>
      <x v="3"/>
    </i>
    <i r="1">
      <x v="264"/>
      <x v="6"/>
      <x v="259"/>
      <x v="244"/>
      <x v="5"/>
      <x v="248"/>
      <x v="4"/>
      <x v="6"/>
      <x v="37"/>
      <x v="44"/>
      <x v="2"/>
      <x v="1"/>
      <x v="150"/>
      <x v="3"/>
    </i>
    <i r="1">
      <x v="313"/>
      <x v="6"/>
      <x v="303"/>
      <x v="289"/>
      <x v="2"/>
      <x v="293"/>
      <x v="6"/>
      <x v="32"/>
      <x v="29"/>
      <x v="13"/>
      <x v="2"/>
      <x v="11"/>
      <x v="134"/>
      <x v="1"/>
    </i>
    <i r="1">
      <x v="316"/>
      <x v="5"/>
      <x v="305"/>
      <x v="291"/>
      <x v="2"/>
      <x v="295"/>
      <x v="5"/>
      <x v="24"/>
      <x v="29"/>
      <x v="44"/>
      <x v="2"/>
      <x v="11"/>
      <x v="71"/>
      <x v="3"/>
    </i>
    <i r="1">
      <x v="317"/>
      <x v="2"/>
      <x v="306"/>
      <x v="292"/>
      <x v="2"/>
      <x v="296"/>
      <x v="24"/>
      <x v="128"/>
      <x/>
      <x v="5"/>
      <x/>
      <x v="5"/>
      <x v="32"/>
      <x v="1"/>
    </i>
    <i r="1">
      <x v="366"/>
      <x v="5"/>
      <x v="355"/>
      <x v="342"/>
      <x v="2"/>
      <x v="345"/>
      <x v="7"/>
      <x v="129"/>
      <x v="7"/>
      <x v="44"/>
      <x v="2"/>
      <x v="11"/>
      <x v="168"/>
      <x v="1"/>
    </i>
    <i>
      <x v="79"/>
      <x v="340"/>
      <x v="5"/>
      <x v="329"/>
      <x v="315"/>
      <x v="31"/>
      <x v="319"/>
      <x v="7"/>
      <x v="119"/>
      <x v="30"/>
      <x v="11"/>
      <x v="2"/>
      <x v="11"/>
      <x v="18"/>
      <x v="1"/>
    </i>
    <i t="grand">
      <x/>
    </i>
  </rowItems>
  <colItems count="1">
    <i/>
  </colItems>
  <pageFields count="4">
    <pageField fld="8" hier="-1"/>
    <pageField fld="29" hier="-1"/>
    <pageField fld="11" hier="-1"/>
    <pageField fld="51" item="1" hier="-1"/>
  </pageFields>
  <dataFields count="1">
    <dataField name="N° Part.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A7D9CA-2175-4692-AD15-A3AB90EDB707}" name="TablaDinámica3" cacheId="396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compact="0" compactData="0" multipleFieldFilters="0" rowHeaderCaption="Nombre Completo">
  <location ref="A4:F276" firstHeaderRow="1" firstDataRow="1" firstDataCol="5" rowPageCount="2" colPageCount="1"/>
  <pivotFields count="52">
    <pivotField compact="0" outline="0" showAll="0" defaultSubtotal="0"/>
    <pivotField name="Correo Electrónico" axis="axisRow" compact="0" outline="0" showAll="0" defaultSubtotal="0">
      <items count="369">
        <item m="1" x="257"/>
        <item m="1" x="211"/>
        <item x="94"/>
        <item m="1" x="258"/>
        <item m="1" x="216"/>
        <item m="1" x="230"/>
        <item m="1" x="222"/>
        <item m="1" x="212"/>
        <item m="1" x="223"/>
        <item m="1" x="241"/>
        <item m="1" x="254"/>
        <item m="1" x="256"/>
        <item m="1" x="248"/>
        <item m="1" x="255"/>
        <item x="190"/>
        <item m="1" x="224"/>
        <item m="1" x="247"/>
        <item m="1" x="219"/>
        <item m="1" x="240"/>
        <item m="1" x="218"/>
        <item m="1" x="242"/>
        <item m="1" x="232"/>
        <item m="1" x="246"/>
        <item m="1" x="249"/>
        <item m="1" x="235"/>
        <item m="1" x="252"/>
        <item m="1" x="236"/>
        <item m="1" x="221"/>
        <item m="1" x="234"/>
        <item m="1" x="228"/>
        <item m="1" x="217"/>
        <item m="1" x="251"/>
        <item m="1" x="231"/>
        <item x="25"/>
        <item m="1" x="250"/>
        <item m="1" x="215"/>
        <item m="1" x="225"/>
        <item m="1" x="238"/>
        <item m="1" x="237"/>
        <item x="151"/>
        <item m="1" x="245"/>
        <item m="1" x="253"/>
        <item m="1" x="213"/>
        <item m="1" x="244"/>
        <item x="193"/>
        <item m="1" x="220"/>
        <item m="1" x="243"/>
        <item m="1" x="227"/>
        <item x="121"/>
        <item m="1" x="226"/>
        <item x="92"/>
        <item m="1" x="229"/>
        <item x="109"/>
        <item m="1" x="233"/>
        <item m="1" x="214"/>
        <item m="1" x="239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84"/>
        <item m="1" x="287"/>
        <item m="1" x="288"/>
        <item x="85"/>
        <item m="1" x="289"/>
        <item m="1" x="290"/>
        <item m="1" x="291"/>
        <item m="1" x="292"/>
        <item m="1" x="293"/>
        <item x="115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x="204"/>
        <item x="205"/>
        <item m="1" x="317"/>
        <item m="1" x="318"/>
        <item m="1" x="319"/>
        <item m="1" x="320"/>
        <item m="1" x="321"/>
        <item m="1" x="322"/>
        <item m="1" x="323"/>
        <item x="123"/>
        <item m="1" x="324"/>
        <item m="1" x="325"/>
        <item m="1" x="368"/>
        <item x="98"/>
        <item m="1" x="326"/>
        <item m="1" x="327"/>
        <item m="1" x="328"/>
        <item x="88"/>
        <item m="1" x="329"/>
        <item m="1" x="330"/>
        <item m="1" x="331"/>
        <item x="142"/>
        <item m="1" x="332"/>
        <item x="81"/>
        <item x="87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name="Nombre" axis="axisRow" compact="0" outline="0" showAll="0" defaultSubtotal="0">
      <items count="393">
        <item m="1" x="211"/>
        <item m="1" x="259"/>
        <item x="151"/>
        <item x="94"/>
        <item m="1" x="222"/>
        <item m="1" x="216"/>
        <item m="1" x="230"/>
        <item m="1" x="212"/>
        <item m="1" x="249"/>
        <item m="1" x="223"/>
        <item m="1" x="241"/>
        <item m="1" x="256"/>
        <item m="1" x="254"/>
        <item m="1" x="248"/>
        <item m="1" x="260"/>
        <item m="1" x="389"/>
        <item m="1" x="224"/>
        <item m="1" x="247"/>
        <item m="1" x="237"/>
        <item m="1" x="219"/>
        <item m="1" x="246"/>
        <item m="1" x="232"/>
        <item m="1" x="242"/>
        <item m="1" x="218"/>
        <item m="1" x="240"/>
        <item m="1" x="235"/>
        <item m="1" x="252"/>
        <item m="1" x="236"/>
        <item m="1" x="221"/>
        <item m="1" x="217"/>
        <item m="1" x="234"/>
        <item m="1" x="228"/>
        <item m="1" x="251"/>
        <item m="1" x="231"/>
        <item x="25"/>
        <item m="1" x="250"/>
        <item m="1" x="225"/>
        <item m="1" x="220"/>
        <item m="1" x="238"/>
        <item m="1" x="386"/>
        <item m="1" x="390"/>
        <item m="1" x="213"/>
        <item m="1" x="244"/>
        <item x="190"/>
        <item m="1" x="227"/>
        <item x="193"/>
        <item m="1" x="243"/>
        <item m="1" x="215"/>
        <item x="121"/>
        <item x="92"/>
        <item m="1" x="258"/>
        <item m="1" x="229"/>
        <item m="1" x="233"/>
        <item m="1" x="226"/>
        <item m="1" x="214"/>
        <item m="1" x="239"/>
        <item m="1" x="388"/>
        <item m="1" x="391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385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x="84"/>
        <item m="1" x="289"/>
        <item m="1" x="387"/>
        <item m="1" x="291"/>
        <item m="1" x="292"/>
        <item m="1" x="293"/>
        <item x="155"/>
        <item x="82"/>
        <item m="1" x="294"/>
        <item x="115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92"/>
        <item m="1" x="384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253"/>
        <item m="1" x="255"/>
        <item m="1" x="274"/>
        <item m="1" x="306"/>
        <item m="1" x="245"/>
        <item m="1" x="257"/>
        <item m="1" x="261"/>
        <item m="1" x="290"/>
        <item m="1" x="305"/>
        <item x="204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83"/>
        <item m="1" x="329"/>
        <item m="1" x="330"/>
        <item m="1" x="331"/>
        <item m="1" x="332"/>
        <item x="88"/>
        <item m="1" x="333"/>
        <item m="1" x="334"/>
        <item m="1" x="262"/>
        <item m="1" x="328"/>
        <item m="1" x="335"/>
        <item x="142"/>
        <item m="1" x="336"/>
        <item m="1" x="337"/>
        <item x="8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compact="0" numFmtId="14" outline="0" showAll="0"/>
    <pivotField compact="0" outline="0" showAll="0"/>
    <pivotField name="Comuna Inscrita" compact="0" outline="0" showAll="0" defaultSubtotal="0"/>
    <pivotField compact="0" outline="0" showAll="0"/>
    <pivotField name="N° Fono" compact="0" outline="0" showAll="0" defaultSubtotal="0"/>
    <pivotField name="Rol" axis="axisPage" compact="0" outline="0" showAll="0">
      <items count="8">
        <item x="3"/>
        <item x="1"/>
        <item x="0"/>
        <item m="1" x="6"/>
        <item x="4"/>
        <item x="5"/>
        <item x="2"/>
        <item t="default"/>
      </items>
    </pivotField>
    <pivotField name="Grupo" axis="axisRow" compact="0" outline="0" showAll="0">
      <items count="81">
        <item x="38"/>
        <item x="45"/>
        <item x="25"/>
        <item x="46"/>
        <item x="14"/>
        <item x="37"/>
        <item x="40"/>
        <item x="3"/>
        <item x="0"/>
        <item m="1" x="48"/>
        <item x="29"/>
        <item m="1" x="76"/>
        <item x="30"/>
        <item x="19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2"/>
        <item m="1" x="79"/>
        <item x="13"/>
        <item x="18"/>
        <item x="43"/>
        <item m="1" x="62"/>
        <item x="42"/>
        <item m="1" x="65"/>
        <item m="1" x="77"/>
        <item m="1" x="67"/>
        <item m="1" x="68"/>
        <item x="22"/>
        <item m="1" x="78"/>
        <item x="33"/>
        <item x="28"/>
        <item x="1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ama Curso" axis="axisRow" compact="0" outline="0" showAll="0" defaultSubtotal="0">
      <items count="10">
        <item x="2"/>
        <item x="6"/>
        <item x="5"/>
        <item x="0"/>
        <item x="3"/>
        <item x="1"/>
        <item x="4"/>
        <item m="1" x="7"/>
        <item m="1" x="9"/>
        <item m="1" x="8"/>
      </items>
    </pivotField>
    <pivotField name="Distrito" axis="axisRow" compact="0" outline="0" showAll="0">
      <items count="25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name="Avisado " compact="0" outline="0" showAll="0">
      <items count="12">
        <item m="1" x="5"/>
        <item m="1" x="10"/>
        <item m="1" x="8"/>
        <item x="0"/>
        <item m="1" x="7"/>
        <item x="1"/>
        <item m="1" x="4"/>
        <item m="1" x="6"/>
        <item m="1" x="3"/>
        <item m="1" x="9"/>
        <item m="1" x="2"/>
        <item t="default"/>
      </items>
    </pivotField>
    <pivotField name="Estado" axis="axisPage" compact="0" outline="0" multipleItemSelectionAllowed="1" showAll="0">
      <items count="8">
        <item x="0"/>
        <item m="1" x="5"/>
        <item x="1"/>
        <item m="1" x="3"/>
        <item m="1" x="6"/>
        <item m="1" x="2"/>
        <item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8" outline="0" showAll="0"/>
    <pivotField compact="0" outline="0" showAll="0"/>
  </pivotFields>
  <rowFields count="5">
    <field x="11"/>
    <field x="9"/>
    <field x="2"/>
    <field x="1"/>
    <field x="10"/>
  </rowFields>
  <rowItems count="272">
    <i>
      <x/>
      <x v="2"/>
      <x v="292"/>
      <x v="271"/>
      <x v="2"/>
    </i>
    <i r="2">
      <x v="365"/>
      <x v="341"/>
      <x/>
    </i>
    <i r="2">
      <x v="370"/>
      <x v="346"/>
      <x v="5"/>
    </i>
    <i t="default" r="1">
      <x v="2"/>
    </i>
    <i r="1">
      <x v="19"/>
      <x v="2"/>
      <x v="39"/>
      <x v="4"/>
    </i>
    <i r="2">
      <x v="84"/>
      <x v="84"/>
      <x v="6"/>
    </i>
    <i r="2">
      <x v="253"/>
      <x v="233"/>
      <x v="2"/>
    </i>
    <i r="2">
      <x v="257"/>
      <x v="237"/>
      <x v="6"/>
    </i>
    <i r="2">
      <x v="265"/>
      <x v="245"/>
      <x v="6"/>
    </i>
    <i r="2">
      <x v="266"/>
      <x v="246"/>
      <x v="2"/>
    </i>
    <i r="2">
      <x v="273"/>
      <x v="253"/>
      <x v="4"/>
    </i>
    <i r="2">
      <x v="388"/>
      <x v="254"/>
      <x v="2"/>
    </i>
    <i t="default" r="1">
      <x v="19"/>
    </i>
    <i r="1">
      <x v="30"/>
      <x v="372"/>
      <x v="348"/>
      <x v="5"/>
    </i>
    <i t="default" r="1">
      <x v="30"/>
    </i>
    <i r="1">
      <x v="39"/>
      <x v="315"/>
      <x v="126"/>
      <x v="3"/>
    </i>
    <i t="default" r="1">
      <x v="39"/>
    </i>
    <i r="1">
      <x v="41"/>
      <x v="148"/>
      <x v="138"/>
      <x/>
    </i>
    <i r="2">
      <x v="204"/>
      <x v="184"/>
      <x v="3"/>
    </i>
    <i r="2">
      <x v="209"/>
      <x v="189"/>
      <x/>
    </i>
    <i r="2">
      <x v="267"/>
      <x v="247"/>
      <x v="4"/>
    </i>
    <i r="2">
      <x v="277"/>
      <x v="257"/>
      <x/>
    </i>
    <i r="2">
      <x v="279"/>
      <x v="259"/>
      <x v="3"/>
    </i>
    <i r="2">
      <x v="330"/>
      <x v="305"/>
      <x v="6"/>
    </i>
    <i r="2">
      <x v="332"/>
      <x v="307"/>
      <x v="6"/>
    </i>
    <i r="2">
      <x v="335"/>
      <x v="310"/>
      <x v="6"/>
    </i>
    <i r="2">
      <x v="339"/>
      <x v="314"/>
      <x v="5"/>
    </i>
    <i t="default" r="1">
      <x v="41"/>
    </i>
    <i r="1">
      <x v="64"/>
      <x v="305"/>
      <x v="282"/>
      <x v="2"/>
    </i>
    <i t="default" r="1">
      <x v="64"/>
    </i>
    <i r="1">
      <x v="67"/>
      <x v="310"/>
      <x v="286"/>
      <x/>
    </i>
    <i t="default" r="1">
      <x v="67"/>
    </i>
    <i r="1">
      <x v="77"/>
      <x v="390"/>
      <x v="366"/>
      <x v="3"/>
    </i>
    <i t="default" r="1">
      <x v="77"/>
    </i>
    <i t="default">
      <x/>
    </i>
    <i>
      <x v="1"/>
      <x v="15"/>
      <x v="151"/>
      <x v="141"/>
      <x v="4"/>
    </i>
    <i r="2">
      <x v="211"/>
      <x v="191"/>
      <x v="6"/>
    </i>
    <i r="2">
      <x v="220"/>
      <x v="200"/>
      <x/>
    </i>
    <i r="2">
      <x v="222"/>
      <x v="202"/>
      <x/>
    </i>
    <i r="2">
      <x v="229"/>
      <x v="209"/>
      <x v="2"/>
    </i>
    <i r="2">
      <x v="289"/>
      <x v="268"/>
      <x v="4"/>
    </i>
    <i r="2">
      <x v="290"/>
      <x v="269"/>
      <x v="4"/>
    </i>
    <i r="2">
      <x v="297"/>
      <x v="130"/>
      <x v="5"/>
    </i>
    <i r="2">
      <x v="377"/>
      <x v="353"/>
      <x v="4"/>
    </i>
    <i t="default" r="1">
      <x v="15"/>
    </i>
    <i r="1">
      <x v="18"/>
      <x v="221"/>
      <x v="201"/>
      <x v="6"/>
    </i>
    <i r="2">
      <x v="223"/>
      <x v="203"/>
      <x/>
    </i>
    <i r="2">
      <x v="224"/>
      <x v="204"/>
      <x v="6"/>
    </i>
    <i r="2">
      <x v="234"/>
      <x v="214"/>
      <x v="3"/>
    </i>
    <i r="2">
      <x v="236"/>
      <x v="216"/>
      <x v="5"/>
    </i>
    <i r="2">
      <x v="238"/>
      <x v="218"/>
      <x v="3"/>
    </i>
    <i r="2">
      <x v="239"/>
      <x v="219"/>
      <x v="4"/>
    </i>
    <i r="2">
      <x v="240"/>
      <x v="220"/>
      <x v="5"/>
    </i>
    <i r="2">
      <x v="242"/>
      <x v="222"/>
      <x v="4"/>
    </i>
    <i r="2">
      <x v="243"/>
      <x v="223"/>
      <x v="3"/>
    </i>
    <i r="2">
      <x v="244"/>
      <x v="224"/>
      <x v="5"/>
    </i>
    <i r="2">
      <x v="245"/>
      <x v="225"/>
      <x v="4"/>
    </i>
    <i r="2">
      <x v="246"/>
      <x v="226"/>
      <x/>
    </i>
    <i r="2">
      <x v="255"/>
      <x v="235"/>
      <x v="2"/>
    </i>
    <i r="2">
      <x v="268"/>
      <x v="248"/>
      <x v="6"/>
    </i>
    <i r="2">
      <x v="354"/>
      <x v="330"/>
      <x v="6"/>
    </i>
    <i r="2">
      <x v="376"/>
      <x v="352"/>
      <x v="3"/>
    </i>
    <i r="2">
      <x v="384"/>
      <x v="361"/>
      <x v="2"/>
    </i>
    <i t="default" r="1">
      <x v="18"/>
    </i>
    <i r="1">
      <x v="20"/>
      <x v="235"/>
      <x v="215"/>
      <x v="3"/>
    </i>
    <i r="2">
      <x v="237"/>
      <x v="217"/>
      <x v="3"/>
    </i>
    <i r="2">
      <x v="321"/>
      <x v="296"/>
      <x v="2"/>
    </i>
    <i r="2">
      <x v="322"/>
      <x v="297"/>
      <x v="4"/>
    </i>
    <i r="2">
      <x v="324"/>
      <x v="299"/>
      <x v="4"/>
    </i>
    <i r="2">
      <x v="331"/>
      <x v="306"/>
      <x v="6"/>
    </i>
    <i r="2">
      <x v="337"/>
      <x v="312"/>
      <x v="4"/>
    </i>
    <i r="2">
      <x v="341"/>
      <x v="316"/>
      <x v="6"/>
    </i>
    <i r="2">
      <x v="343"/>
      <x v="318"/>
      <x v="4"/>
    </i>
    <i r="2">
      <x v="345"/>
      <x v="320"/>
      <x v="6"/>
    </i>
    <i r="2">
      <x v="356"/>
      <x v="332"/>
      <x v="6"/>
    </i>
    <i r="2">
      <x v="358"/>
      <x v="334"/>
      <x v="5"/>
    </i>
    <i r="2">
      <x v="359"/>
      <x v="335"/>
      <x v="2"/>
    </i>
    <i r="2">
      <x v="360"/>
      <x v="336"/>
      <x v="5"/>
    </i>
    <i t="default" r="1">
      <x v="20"/>
    </i>
    <i r="1">
      <x v="24"/>
      <x v="126"/>
      <x v="117"/>
      <x v="5"/>
    </i>
    <i r="2">
      <x v="205"/>
      <x v="185"/>
      <x v="3"/>
    </i>
    <i r="2">
      <x v="206"/>
      <x v="186"/>
      <x v="5"/>
    </i>
    <i r="2">
      <x v="208"/>
      <x v="188"/>
      <x v="3"/>
    </i>
    <i r="2">
      <x v="250"/>
      <x v="230"/>
      <x v="5"/>
    </i>
    <i r="2">
      <x v="293"/>
      <x v="272"/>
      <x v="6"/>
    </i>
    <i t="default" r="1">
      <x v="24"/>
    </i>
    <i t="default">
      <x v="1"/>
    </i>
    <i>
      <x v="2"/>
      <x v="61"/>
      <x v="49"/>
      <x v="50"/>
      <x v="2"/>
    </i>
    <i t="default" r="1">
      <x v="61"/>
    </i>
    <i r="1">
      <x v="65"/>
      <x v="306"/>
      <x v="283"/>
      <x v="6"/>
    </i>
    <i t="default" r="1">
      <x v="65"/>
    </i>
    <i t="default">
      <x v="2"/>
    </i>
    <i>
      <x v="3"/>
      <x v="3"/>
      <x v="43"/>
      <x v="14"/>
      <x v="1"/>
    </i>
    <i t="default" r="1">
      <x v="3"/>
    </i>
    <i r="1">
      <x v="18"/>
      <x v="142"/>
      <x v="134"/>
      <x v="5"/>
    </i>
    <i t="default" r="1">
      <x v="18"/>
    </i>
    <i t="default">
      <x v="3"/>
    </i>
    <i>
      <x v="4"/>
      <x v="5"/>
      <x v="181"/>
      <x v="171"/>
      <x v="1"/>
    </i>
    <i r="2">
      <x v="344"/>
      <x v="319"/>
      <x v="4"/>
    </i>
    <i t="default" r="1">
      <x v="5"/>
    </i>
    <i r="1">
      <x v="8"/>
      <x v="91"/>
      <x v="263"/>
      <x v="4"/>
    </i>
    <i r="2">
      <x v="203"/>
      <x v="183"/>
      <x v="3"/>
    </i>
    <i r="2">
      <x v="231"/>
      <x v="211"/>
      <x v="5"/>
    </i>
    <i r="2">
      <x v="232"/>
      <x v="212"/>
      <x v="6"/>
    </i>
    <i r="2">
      <x v="249"/>
      <x v="229"/>
      <x v="5"/>
    </i>
    <i r="2">
      <x v="294"/>
      <x v="273"/>
      <x/>
    </i>
    <i t="default" r="1">
      <x v="8"/>
    </i>
    <i r="1">
      <x v="13"/>
      <x v="272"/>
      <x v="252"/>
      <x v="4"/>
    </i>
    <i r="2">
      <x v="282"/>
      <x v="140"/>
      <x v="5"/>
    </i>
    <i r="2">
      <x v="286"/>
      <x v="87"/>
      <x v="6"/>
    </i>
    <i r="2">
      <x v="295"/>
      <x v="166"/>
      <x v="2"/>
    </i>
    <i t="default" r="1">
      <x v="13"/>
    </i>
    <i r="1">
      <x v="37"/>
      <x v="285"/>
      <x v="265"/>
      <x v="6"/>
    </i>
    <i r="2">
      <x v="287"/>
      <x v="266"/>
      <x v="4"/>
    </i>
    <i r="2">
      <x v="355"/>
      <x v="331"/>
      <x v="5"/>
    </i>
    <i t="default" r="1">
      <x v="37"/>
    </i>
    <i r="1">
      <x v="40"/>
      <x v="300"/>
      <x v="277"/>
      <x v="2"/>
    </i>
    <i r="2">
      <x v="392"/>
      <x v="368"/>
      <x v="6"/>
    </i>
    <i t="default" r="1">
      <x v="40"/>
    </i>
    <i r="1">
      <x v="62"/>
      <x v="3"/>
      <x v="2"/>
      <x v="6"/>
    </i>
    <i t="default" r="1">
      <x v="62"/>
    </i>
    <i r="1">
      <x v="69"/>
      <x v="318"/>
      <x v="293"/>
      <x v="2"/>
    </i>
    <i r="2">
      <x v="333"/>
      <x v="308"/>
      <x v="2"/>
    </i>
    <i r="2">
      <x v="334"/>
      <x v="309"/>
      <x v="3"/>
    </i>
    <i r="2">
      <x v="342"/>
      <x v="317"/>
      <x v="4"/>
    </i>
    <i r="2">
      <x v="346"/>
      <x v="321"/>
      <x v="6"/>
    </i>
    <i t="default" r="1">
      <x v="69"/>
    </i>
    <i t="default">
      <x v="4"/>
    </i>
    <i>
      <x v="6"/>
      <x v="1"/>
      <x v="179"/>
      <x v="169"/>
      <x v="1"/>
    </i>
    <i r="2">
      <x v="180"/>
      <x v="170"/>
      <x v="1"/>
    </i>
    <i t="default" r="1">
      <x v="1"/>
    </i>
    <i r="1">
      <x v="3"/>
      <x v="178"/>
      <x v="354"/>
      <x v="1"/>
    </i>
    <i t="default" r="1">
      <x v="3"/>
    </i>
    <i r="1">
      <x v="14"/>
      <x v="326"/>
      <x v="301"/>
      <x v="5"/>
    </i>
    <i r="2">
      <x v="327"/>
      <x v="302"/>
      <x v="4"/>
    </i>
    <i r="2">
      <x v="329"/>
      <x v="304"/>
      <x v="2"/>
    </i>
    <i t="default" r="1">
      <x v="14"/>
    </i>
    <i r="1">
      <x v="28"/>
      <x v="247"/>
      <x v="227"/>
      <x v="6"/>
    </i>
    <i r="2">
      <x v="248"/>
      <x v="228"/>
      <x v="3"/>
    </i>
    <i r="2">
      <x v="278"/>
      <x v="258"/>
      <x v="2"/>
    </i>
    <i t="default" r="1">
      <x v="28"/>
    </i>
    <i r="1">
      <x v="43"/>
      <x v="212"/>
      <x v="192"/>
      <x v="4"/>
    </i>
    <i r="2">
      <x v="213"/>
      <x v="193"/>
      <x v="4"/>
    </i>
    <i r="2">
      <x v="216"/>
      <x v="196"/>
      <x v="4"/>
    </i>
    <i r="2">
      <x v="217"/>
      <x v="197"/>
      <x v="6"/>
    </i>
    <i r="2">
      <x v="270"/>
      <x v="250"/>
      <x v="5"/>
    </i>
    <i r="2">
      <x v="320"/>
      <x v="295"/>
      <x v="3"/>
    </i>
    <i r="2">
      <x v="374"/>
      <x v="350"/>
      <x/>
    </i>
    <i r="2">
      <x v="383"/>
      <x v="360"/>
      <x v="2"/>
    </i>
    <i t="default" r="1">
      <x v="43"/>
    </i>
    <i r="1">
      <x v="51"/>
      <x v="193"/>
      <x v="182"/>
      <x v="3"/>
    </i>
    <i r="2">
      <x v="291"/>
      <x v="270"/>
      <x v="2"/>
    </i>
    <i t="default" r="1">
      <x v="51"/>
    </i>
    <i r="1">
      <x v="60"/>
      <x v="284"/>
      <x v="264"/>
      <x v="5"/>
    </i>
    <i t="default" r="1">
      <x v="60"/>
    </i>
    <i t="default">
      <x v="6"/>
    </i>
    <i>
      <x v="11"/>
      <x v="74"/>
      <x v="361"/>
      <x v="337"/>
      <x/>
    </i>
    <i t="default" r="1">
      <x v="74"/>
    </i>
    <i t="default">
      <x v="11"/>
    </i>
    <i>
      <x v="17"/>
      <x v="22"/>
      <x v="48"/>
      <x v="48"/>
      <x v="3"/>
    </i>
    <i r="2">
      <x v="269"/>
      <x v="249"/>
      <x v="2"/>
    </i>
    <i r="2">
      <x v="307"/>
      <x v="284"/>
      <x v="3"/>
    </i>
    <i r="2">
      <x v="364"/>
      <x v="340"/>
      <x v="5"/>
    </i>
    <i r="2">
      <x v="373"/>
      <x v="349"/>
      <x v="5"/>
    </i>
    <i t="default" r="1">
      <x v="22"/>
    </i>
    <i r="1">
      <x v="26"/>
      <x v="93"/>
      <x v="93"/>
      <x v="3"/>
    </i>
    <i r="2">
      <x v="353"/>
      <x v="329"/>
      <x v="4"/>
    </i>
    <i r="2">
      <x v="369"/>
      <x v="345"/>
      <x/>
    </i>
    <i t="default" r="1">
      <x v="26"/>
    </i>
    <i r="1">
      <x v="32"/>
      <x v="363"/>
      <x v="339"/>
      <x v="3"/>
    </i>
    <i r="2">
      <x v="371"/>
      <x v="347"/>
      <x v="4"/>
    </i>
    <i r="2">
      <x v="380"/>
      <x v="357"/>
      <x v="6"/>
    </i>
    <i t="default" r="1">
      <x v="32"/>
    </i>
    <i r="1">
      <x v="55"/>
      <x v="225"/>
      <x v="205"/>
      <x v="4"/>
    </i>
    <i r="2">
      <x v="226"/>
      <x v="206"/>
      <x v="3"/>
    </i>
    <i r="2">
      <x v="227"/>
      <x v="207"/>
      <x v="4"/>
    </i>
    <i r="2">
      <x v="228"/>
      <x v="208"/>
      <x v="4"/>
    </i>
    <i r="2">
      <x v="230"/>
      <x v="210"/>
      <x v="3"/>
    </i>
    <i r="2">
      <x v="233"/>
      <x v="213"/>
      <x v="5"/>
    </i>
    <i r="2">
      <x v="241"/>
      <x v="221"/>
      <x/>
    </i>
    <i r="2">
      <x v="251"/>
      <x v="231"/>
      <x v="4"/>
    </i>
    <i r="2">
      <x v="254"/>
      <x v="234"/>
      <x v="6"/>
    </i>
    <i r="2">
      <x v="260"/>
      <x v="240"/>
      <x v="6"/>
    </i>
    <i r="2">
      <x v="382"/>
      <x v="359"/>
      <x v="3"/>
    </i>
    <i t="default" r="1">
      <x v="55"/>
    </i>
    <i r="1">
      <x v="56"/>
      <x v="256"/>
      <x v="236"/>
      <x v="3"/>
    </i>
    <i r="2">
      <x v="259"/>
      <x v="239"/>
      <x v="3"/>
    </i>
    <i r="2">
      <x v="261"/>
      <x v="241"/>
      <x v="4"/>
    </i>
    <i r="2">
      <x v="262"/>
      <x v="242"/>
      <x v="3"/>
    </i>
    <i r="2">
      <x v="263"/>
      <x v="243"/>
      <x v="6"/>
    </i>
    <i r="2">
      <x v="264"/>
      <x v="244"/>
      <x v="6"/>
    </i>
    <i r="2">
      <x v="296"/>
      <x v="274"/>
      <x v="2"/>
    </i>
    <i r="2">
      <x v="303"/>
      <x v="280"/>
      <x v="2"/>
    </i>
    <i r="2">
      <x v="313"/>
      <x v="289"/>
      <x v="6"/>
    </i>
    <i r="2">
      <x v="314"/>
      <x v="290"/>
      <x v="3"/>
    </i>
    <i r="2">
      <x v="316"/>
      <x v="291"/>
      <x v="5"/>
    </i>
    <i r="2">
      <x v="317"/>
      <x v="292"/>
      <x v="2"/>
    </i>
    <i r="2">
      <x v="336"/>
      <x v="311"/>
      <x/>
    </i>
    <i r="2">
      <x v="338"/>
      <x v="367"/>
      <x v="5"/>
    </i>
    <i r="2">
      <x v="366"/>
      <x v="342"/>
      <x v="5"/>
    </i>
    <i t="default" r="1">
      <x v="56"/>
    </i>
    <i t="default">
      <x v="17"/>
    </i>
    <i>
      <x v="19"/>
      <x v="78"/>
      <x v="218"/>
      <x v="198"/>
      <x v="5"/>
    </i>
    <i r="2">
      <x v="275"/>
      <x v="255"/>
      <x v="2"/>
    </i>
    <i t="default" r="1">
      <x v="78"/>
    </i>
    <i t="default">
      <x v="19"/>
    </i>
    <i>
      <x v="20"/>
      <x v="54"/>
      <x v="219"/>
      <x v="199"/>
      <x v="5"/>
    </i>
    <i t="default" r="1">
      <x v="54"/>
    </i>
    <i r="1">
      <x v="73"/>
      <x v="348"/>
      <x v="324"/>
      <x v="4"/>
    </i>
    <i t="default" r="1">
      <x v="73"/>
    </i>
    <i t="default">
      <x v="20"/>
    </i>
    <i>
      <x v="21"/>
      <x/>
      <x v="90"/>
      <x v="322"/>
      <x v="4"/>
    </i>
    <i r="2">
      <x v="385"/>
      <x v="362"/>
      <x v="5"/>
    </i>
    <i r="2">
      <x v="391"/>
      <x v="118"/>
      <x v="5"/>
    </i>
    <i t="default" r="1">
      <x/>
    </i>
    <i r="1">
      <x v="4"/>
      <x v="252"/>
      <x v="232"/>
      <x v="4"/>
    </i>
    <i r="2">
      <x v="258"/>
      <x v="238"/>
      <x v="2"/>
    </i>
    <i r="2">
      <x v="276"/>
      <x v="256"/>
      <x v="3"/>
    </i>
    <i r="2">
      <x v="280"/>
      <x v="260"/>
      <x v="6"/>
    </i>
    <i r="2">
      <x v="362"/>
      <x v="338"/>
      <x v="2"/>
    </i>
    <i r="2">
      <x v="387"/>
      <x v="364"/>
      <x/>
    </i>
    <i r="2">
      <x v="389"/>
      <x v="365"/>
      <x v="5"/>
    </i>
    <i t="default" r="1">
      <x v="4"/>
    </i>
    <i r="1">
      <x v="6"/>
      <x v="45"/>
      <x v="44"/>
      <x v="2"/>
    </i>
    <i r="2">
      <x v="351"/>
      <x v="327"/>
      <x v="3"/>
    </i>
    <i t="default" r="1">
      <x v="6"/>
    </i>
    <i r="1">
      <x v="7"/>
      <x v="34"/>
      <x v="33"/>
      <x v="5"/>
    </i>
    <i r="2">
      <x v="207"/>
      <x v="187"/>
      <x/>
    </i>
    <i r="2">
      <x v="210"/>
      <x v="190"/>
      <x v="4"/>
    </i>
    <i r="2">
      <x v="288"/>
      <x v="267"/>
      <x v="6"/>
    </i>
    <i r="2">
      <x v="299"/>
      <x v="276"/>
      <x v="2"/>
    </i>
    <i r="2">
      <x v="304"/>
      <x v="281"/>
      <x v="3"/>
    </i>
    <i t="default" r="1">
      <x v="7"/>
    </i>
    <i r="1">
      <x v="10"/>
      <x v="308"/>
      <x v="52"/>
      <x/>
    </i>
    <i r="2">
      <x v="311"/>
      <x v="287"/>
      <x/>
    </i>
    <i r="2">
      <x v="312"/>
      <x v="288"/>
      <x v="4"/>
    </i>
    <i r="2">
      <x v="347"/>
      <x v="323"/>
      <x/>
    </i>
    <i r="2">
      <x v="349"/>
      <x v="325"/>
      <x v="4"/>
    </i>
    <i r="2">
      <x v="350"/>
      <x v="326"/>
      <x v="2"/>
    </i>
    <i r="2">
      <x v="357"/>
      <x v="333"/>
      <x v="3"/>
    </i>
    <i t="default" r="1">
      <x v="10"/>
    </i>
    <i r="1">
      <x v="12"/>
      <x v="301"/>
      <x v="278"/>
      <x/>
    </i>
    <i r="2">
      <x v="302"/>
      <x v="279"/>
      <x v="2"/>
    </i>
    <i r="2">
      <x v="309"/>
      <x v="285"/>
      <x v="3"/>
    </i>
    <i r="2">
      <x v="319"/>
      <x v="294"/>
      <x v="3"/>
    </i>
    <i r="2">
      <x v="328"/>
      <x v="303"/>
      <x v="4"/>
    </i>
    <i t="default" r="1">
      <x v="12"/>
    </i>
    <i r="1">
      <x v="29"/>
      <x v="271"/>
      <x v="251"/>
      <x/>
    </i>
    <i r="2">
      <x v="298"/>
      <x v="275"/>
      <x v="5"/>
    </i>
    <i r="2">
      <x v="323"/>
      <x v="298"/>
      <x v="5"/>
    </i>
    <i r="2">
      <x v="325"/>
      <x v="300"/>
      <x v="2"/>
    </i>
    <i r="2">
      <x v="352"/>
      <x v="328"/>
      <x/>
    </i>
    <i r="2">
      <x v="367"/>
      <x v="343"/>
      <x v="6"/>
    </i>
    <i r="2">
      <x v="368"/>
      <x v="344"/>
      <x v="5"/>
    </i>
    <i r="2">
      <x v="378"/>
      <x v="355"/>
      <x v="5"/>
    </i>
    <i r="2">
      <x v="386"/>
      <x v="363"/>
      <x v="2"/>
    </i>
    <i t="default" r="1">
      <x v="29"/>
    </i>
    <i r="1">
      <x v="59"/>
      <x v="281"/>
      <x v="261"/>
      <x/>
    </i>
    <i t="default" r="1">
      <x v="59"/>
    </i>
    <i r="1">
      <x v="76"/>
      <x v="375"/>
      <x v="351"/>
      <x v="6"/>
    </i>
    <i t="default" r="1">
      <x v="76"/>
    </i>
    <i t="default">
      <x v="21"/>
    </i>
    <i>
      <x v="22"/>
      <x v="74"/>
      <x v="381"/>
      <x v="358"/>
      <x/>
    </i>
    <i t="default" r="1">
      <x v="74"/>
    </i>
    <i r="1">
      <x v="79"/>
      <x v="340"/>
      <x v="315"/>
      <x v="5"/>
    </i>
    <i t="default" r="1">
      <x v="79"/>
    </i>
    <i t="default">
      <x v="22"/>
    </i>
    <i>
      <x v="23"/>
      <x v="52"/>
      <x v="214"/>
      <x v="194"/>
      <x v="2"/>
    </i>
    <i r="2">
      <x v="215"/>
      <x v="195"/>
      <x v="5"/>
    </i>
    <i t="default" r="1">
      <x v="52"/>
    </i>
    <i t="default">
      <x v="23"/>
    </i>
    <i t="grand">
      <x/>
    </i>
  </rowItems>
  <colItems count="1">
    <i/>
  </colItems>
  <pageFields count="2">
    <pageField fld="8" hier="-1"/>
    <pageField fld="29" hier="-1"/>
  </pageFields>
  <dataFields count="1">
    <dataField name="N° Part." fld="27" baseField="0" baseItem="0"/>
  </dataFields>
  <formats count="7">
    <format dxfId="66">
      <pivotArea field="11" type="button" dataOnly="0" labelOnly="1" outline="0" axis="axisRow" fieldPosition="0"/>
    </format>
    <format dxfId="65">
      <pivotArea field="9" type="button" dataOnly="0" labelOnly="1" outline="0" axis="axisRow" fieldPosition="1"/>
    </format>
    <format dxfId="64">
      <pivotArea field="2" type="button" dataOnly="0" labelOnly="1" outline="0" axis="axisRow" fieldPosition="2"/>
    </format>
    <format dxfId="63">
      <pivotArea field="1" type="button" dataOnly="0" labelOnly="1" outline="0" axis="axisRow" fieldPosition="3"/>
    </format>
    <format dxfId="62">
      <pivotArea field="10" type="button" dataOnly="0" labelOnly="1" outline="0" axis="axisRow" fieldPosition="4"/>
    </format>
    <format dxfId="61">
      <pivotArea field="28" type="button" dataOnly="0" labelOnly="1" outline="0"/>
    </format>
    <format dxfId="60">
      <pivotArea dataOnly="0" labelOnly="1" outline="0" axis="axisValues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592A9-A564-4B66-BC79-F334AE49B9F2}" name="TablaDinámica2" cacheId="396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 rowHeaderCaption="Distrito">
  <location ref="A4:E48" firstHeaderRow="0" firstDataRow="1" firstDataCol="3" rowPageCount="2" colPageCount="1"/>
  <pivotFields count="52"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name="Comuna " compact="0" outline="0" showAll="0" defaultSubtotal="0"/>
    <pivotField compact="0" outline="0" showAll="0"/>
    <pivotField compact="0" outline="0" showAll="0"/>
    <pivotField name="Rol" axis="axisPage" compact="0" outline="0" showAll="0">
      <items count="8">
        <item x="3"/>
        <item x="1"/>
        <item x="0"/>
        <item m="1" x="6"/>
        <item x="4"/>
        <item x="5"/>
        <item x="2"/>
        <item t="default"/>
      </items>
    </pivotField>
    <pivotField name="Grupo " axis="axisRow" compact="0" outline="0" showAll="0" defaultSubtotal="0">
      <items count="80">
        <item x="38"/>
        <item x="45"/>
        <item x="25"/>
        <item x="46"/>
        <item x="14"/>
        <item x="37"/>
        <item x="40"/>
        <item x="3"/>
        <item x="0"/>
        <item m="1" x="48"/>
        <item x="29"/>
        <item m="1" x="76"/>
        <item x="30"/>
        <item x="19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2"/>
        <item m="1" x="79"/>
        <item x="13"/>
        <item x="18"/>
        <item x="43"/>
        <item m="1" x="62"/>
        <item x="42"/>
        <item m="1" x="65"/>
        <item m="1" x="77"/>
        <item m="1" x="67"/>
        <item m="1" x="68"/>
        <item x="22"/>
        <item m="1" x="78"/>
        <item x="33"/>
        <item x="28"/>
        <item x="1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</items>
    </pivotField>
    <pivotField compact="0" outline="0" showAll="0">
      <items count="11">
        <item x="2"/>
        <item x="6"/>
        <item x="5"/>
        <item x="0"/>
        <item x="3"/>
        <item x="1"/>
        <item x="4"/>
        <item m="1" x="7"/>
        <item m="1" x="9"/>
        <item m="1" x="8"/>
        <item t="default"/>
      </items>
    </pivotField>
    <pivotField name="Distrito " axis="axisRow" compact="0" outline="0" showAll="0">
      <items count="25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name="Estado" axis="axisPage" compact="0" outline="0" multipleItemSelectionAllowed="1" showAll="0">
      <items count="8">
        <item x="0"/>
        <item m="1" x="5"/>
        <item h="1" x="1"/>
        <item m="1" x="3"/>
        <item h="1" m="1" x="6"/>
        <item h="1" m="1" x="2"/>
        <item h="1"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name="Registro " axis="axisRow" compact="0" outline="0" showAll="0" defaultSubtotal="0">
      <items count="6">
        <item x="2"/>
        <item m="1" x="4"/>
        <item x="0"/>
        <item m="1" x="5"/>
        <item m="1" x="3"/>
        <item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8" outline="0" showAll="0"/>
    <pivotField compact="0" outline="0" showAll="0"/>
  </pivotFields>
  <rowFields count="3">
    <field x="11"/>
    <field x="9"/>
    <field x="37"/>
  </rowFields>
  <rowItems count="44">
    <i>
      <x/>
      <x v="2"/>
      <x v="2"/>
    </i>
    <i r="1">
      <x v="19"/>
      <x v="2"/>
    </i>
    <i r="1">
      <x v="39"/>
      <x v="2"/>
    </i>
    <i r="1">
      <x v="41"/>
      <x v="2"/>
    </i>
    <i r="1">
      <x v="77"/>
      <x v="2"/>
    </i>
    <i t="default">
      <x/>
    </i>
    <i>
      <x v="1"/>
      <x v="15"/>
      <x v="2"/>
    </i>
    <i r="1">
      <x v="18"/>
      <x/>
    </i>
    <i r="2">
      <x v="2"/>
    </i>
    <i r="1">
      <x v="20"/>
      <x v="2"/>
    </i>
    <i r="1">
      <x v="24"/>
      <x v="2"/>
    </i>
    <i t="default">
      <x v="1"/>
    </i>
    <i>
      <x v="4"/>
      <x v="8"/>
      <x v="2"/>
    </i>
    <i r="1">
      <x v="13"/>
      <x v="2"/>
    </i>
    <i r="1">
      <x v="37"/>
      <x/>
    </i>
    <i r="1">
      <x v="40"/>
      <x v="2"/>
    </i>
    <i r="1">
      <x v="69"/>
      <x v="2"/>
    </i>
    <i t="default">
      <x v="4"/>
    </i>
    <i>
      <x v="6"/>
      <x v="14"/>
      <x v="2"/>
    </i>
    <i r="1">
      <x v="28"/>
      <x/>
    </i>
    <i r="2">
      <x v="2"/>
    </i>
    <i r="1">
      <x v="43"/>
      <x v="2"/>
    </i>
    <i t="default">
      <x v="6"/>
    </i>
    <i>
      <x v="17"/>
      <x v="22"/>
      <x v="2"/>
    </i>
    <i r="1">
      <x v="26"/>
      <x v="2"/>
    </i>
    <i r="1">
      <x v="32"/>
      <x v="2"/>
    </i>
    <i r="1">
      <x v="55"/>
      <x v="2"/>
    </i>
    <i r="1">
      <x v="56"/>
      <x v="2"/>
    </i>
    <i t="default">
      <x v="17"/>
    </i>
    <i>
      <x v="20"/>
      <x v="54"/>
      <x v="2"/>
    </i>
    <i t="default">
      <x v="20"/>
    </i>
    <i>
      <x v="21"/>
      <x/>
      <x/>
    </i>
    <i r="1">
      <x v="4"/>
      <x v="2"/>
    </i>
    <i r="1">
      <x v="7"/>
      <x v="2"/>
    </i>
    <i r="1">
      <x v="10"/>
      <x v="2"/>
    </i>
    <i r="1">
      <x v="12"/>
      <x v="2"/>
    </i>
    <i r="1">
      <x v="29"/>
      <x v="2"/>
    </i>
    <i r="1">
      <x v="59"/>
      <x v="2"/>
    </i>
    <i t="default">
      <x v="21"/>
    </i>
    <i>
      <x v="22"/>
      <x v="79"/>
      <x v="2"/>
    </i>
    <i t="default">
      <x v="22"/>
    </i>
    <i>
      <x v="23"/>
      <x v="52"/>
      <x v="2"/>
    </i>
    <i t="default">
      <x v="23"/>
    </i>
    <i t="grand">
      <x/>
    </i>
  </rowItems>
  <colFields count="1">
    <field x="-2"/>
  </colFields>
  <colItems count="2">
    <i>
      <x/>
    </i>
    <i i="1">
      <x v="1"/>
    </i>
  </colItems>
  <pageFields count="2">
    <pageField fld="8" item="2" hier="-1"/>
    <pageField fld="29" hier="-1"/>
  </pageFields>
  <dataFields count="2">
    <dataField name="Total Cuota" fld="36" baseField="40" baseItem="0" numFmtId="164"/>
    <dataField name="N° Part." fld="27" baseField="0" baseItem="0"/>
  </dataFields>
  <formats count="45">
    <format dxfId="59">
      <pivotArea field="10" type="button" dataOnly="0" labelOnly="1" outline="0"/>
    </format>
    <format dxfId="58">
      <pivotArea dataOnly="0" labelOnly="1" outline="0" axis="axisValues" fieldPosition="0"/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dataOnly="0" labelOnly="1" outline="0" fieldPosition="0">
        <references count="3">
          <reference field="9" count="1" selected="0">
            <x v="38"/>
          </reference>
          <reference field="11" count="1" selected="0">
            <x v="5"/>
          </reference>
          <reference field="37" count="0"/>
        </references>
      </pivotArea>
    </format>
    <format dxfId="55">
      <pivotArea field="37" type="button" dataOnly="0" labelOnly="1" outline="0" axis="axisRow" fieldPosition="2"/>
    </format>
    <format dxfId="54">
      <pivotArea dataOnly="0" labelOnly="1" outline="0" fieldPosition="0">
        <references count="1">
          <reference field="11" count="1" defaultSubtotal="1">
            <x v="0"/>
          </reference>
        </references>
      </pivotArea>
    </format>
    <format dxfId="53">
      <pivotArea dataOnly="0" labelOnly="1" outline="0" fieldPosition="0">
        <references count="1">
          <reference field="11" count="1" defaultSubtotal="1">
            <x v="1"/>
          </reference>
        </references>
      </pivotArea>
    </format>
    <format dxfId="52">
      <pivotArea dataOnly="0" labelOnly="1" outline="0" fieldPosition="0">
        <references count="1">
          <reference field="11" count="1" defaultSubtotal="1">
            <x v="4"/>
          </reference>
        </references>
      </pivotArea>
    </format>
    <format dxfId="51">
      <pivotArea dataOnly="0" labelOnly="1" outline="0" fieldPosition="0">
        <references count="1">
          <reference field="11" count="1" defaultSubtotal="1">
            <x v="5"/>
          </reference>
        </references>
      </pivotArea>
    </format>
    <format dxfId="50">
      <pivotArea dataOnly="0" labelOnly="1" outline="0" fieldPosition="0">
        <references count="1">
          <reference field="11" count="1" defaultSubtotal="1">
            <x v="6"/>
          </reference>
        </references>
      </pivotArea>
    </format>
    <format dxfId="49">
      <pivotArea dataOnly="0" labelOnly="1" outline="0" fieldPosition="0">
        <references count="1">
          <reference field="11" count="1" defaultSubtotal="1">
            <x v="7"/>
          </reference>
        </references>
      </pivotArea>
    </format>
    <format dxfId="48">
      <pivotArea dataOnly="0" labelOnly="1" grandRow="1" outline="0" fieldPosition="0"/>
    </format>
    <format dxfId="47">
      <pivotArea dataOnly="0" labelOnly="1" outline="0" fieldPosition="0">
        <references count="3">
          <reference field="9" count="1" selected="0">
            <x v="2"/>
          </reference>
          <reference field="11" count="1" selected="0">
            <x v="0"/>
          </reference>
          <reference field="37" count="0"/>
        </references>
      </pivotArea>
    </format>
    <format dxfId="46">
      <pivotArea dataOnly="0" labelOnly="1" outline="0" fieldPosition="0">
        <references count="3">
          <reference field="9" count="1" selected="0">
            <x v="19"/>
          </reference>
          <reference field="11" count="1" selected="0">
            <x v="0"/>
          </reference>
          <reference field="37" count="0"/>
        </references>
      </pivotArea>
    </format>
    <format dxfId="45">
      <pivotArea dataOnly="0" labelOnly="1" outline="0" fieldPosition="0">
        <references count="3">
          <reference field="9" count="1" selected="0">
            <x v="25"/>
          </reference>
          <reference field="11" count="1" selected="0">
            <x v="0"/>
          </reference>
          <reference field="37" count="0"/>
        </references>
      </pivotArea>
    </format>
    <format dxfId="44">
      <pivotArea dataOnly="0" labelOnly="1" outline="0" fieldPosition="0">
        <references count="3">
          <reference field="9" count="1" selected="0">
            <x v="30"/>
          </reference>
          <reference field="11" count="1" selected="0">
            <x v="0"/>
          </reference>
          <reference field="37" count="0"/>
        </references>
      </pivotArea>
    </format>
    <format dxfId="43">
      <pivotArea dataOnly="0" labelOnly="1" outline="0" fieldPosition="0">
        <references count="3">
          <reference field="9" count="1" selected="0">
            <x v="39"/>
          </reference>
          <reference field="11" count="1" selected="0">
            <x v="0"/>
          </reference>
          <reference field="37" count="0"/>
        </references>
      </pivotArea>
    </format>
    <format dxfId="42">
      <pivotArea dataOnly="0" labelOnly="1" outline="0" fieldPosition="0">
        <references count="3">
          <reference field="9" count="1" selected="0">
            <x v="41"/>
          </reference>
          <reference field="11" count="1" selected="0">
            <x v="0"/>
          </reference>
          <reference field="37" count="0"/>
        </references>
      </pivotArea>
    </format>
    <format dxfId="41">
      <pivotArea dataOnly="0" labelOnly="1" outline="0" fieldPosition="0">
        <references count="3">
          <reference field="9" count="1" selected="0">
            <x v="15"/>
          </reference>
          <reference field="11" count="1" selected="0">
            <x v="1"/>
          </reference>
          <reference field="37" count="0"/>
        </references>
      </pivotArea>
    </format>
    <format dxfId="40">
      <pivotArea dataOnly="0" labelOnly="1" outline="0" fieldPosition="0">
        <references count="3">
          <reference field="9" count="1" selected="0">
            <x v="18"/>
          </reference>
          <reference field="11" count="1" selected="0">
            <x v="1"/>
          </reference>
          <reference field="37" count="0"/>
        </references>
      </pivotArea>
    </format>
    <format dxfId="39">
      <pivotArea dataOnly="0" labelOnly="1" outline="0" fieldPosition="0">
        <references count="3">
          <reference field="9" count="1" selected="0">
            <x v="20"/>
          </reference>
          <reference field="11" count="1" selected="0">
            <x v="1"/>
          </reference>
          <reference field="37" count="0"/>
        </references>
      </pivotArea>
    </format>
    <format dxfId="38">
      <pivotArea dataOnly="0" labelOnly="1" outline="0" fieldPosition="0">
        <references count="3">
          <reference field="9" count="1" selected="0">
            <x v="24"/>
          </reference>
          <reference field="11" count="1" selected="0">
            <x v="1"/>
          </reference>
          <reference field="37" count="0"/>
        </references>
      </pivotArea>
    </format>
    <format dxfId="37">
      <pivotArea dataOnly="0" labelOnly="1" outline="0" fieldPosition="0">
        <references count="3">
          <reference field="9" count="1" selected="0">
            <x v="35"/>
          </reference>
          <reference field="11" count="1" selected="0">
            <x v="1"/>
          </reference>
          <reference field="37" count="0"/>
        </references>
      </pivotArea>
    </format>
    <format dxfId="36">
      <pivotArea dataOnly="0" labelOnly="1" outline="0" fieldPosition="0">
        <references count="3">
          <reference field="9" count="1" selected="0">
            <x v="5"/>
          </reference>
          <reference field="11" count="1" selected="0">
            <x v="4"/>
          </reference>
          <reference field="37" count="0"/>
        </references>
      </pivotArea>
    </format>
    <format dxfId="35">
      <pivotArea dataOnly="0" labelOnly="1" outline="0" fieldPosition="0">
        <references count="3">
          <reference field="9" count="1" selected="0">
            <x v="13"/>
          </reference>
          <reference field="11" count="1" selected="0">
            <x v="4"/>
          </reference>
          <reference field="37" count="0"/>
        </references>
      </pivotArea>
    </format>
    <format dxfId="34">
      <pivotArea dataOnly="0" labelOnly="1" outline="0" fieldPosition="0">
        <references count="3">
          <reference field="9" count="1" selected="0">
            <x v="36"/>
          </reference>
          <reference field="11" count="1" selected="0">
            <x v="4"/>
          </reference>
          <reference field="37" count="0"/>
        </references>
      </pivotArea>
    </format>
    <format dxfId="33">
      <pivotArea dataOnly="0" labelOnly="1" outline="0" fieldPosition="0">
        <references count="3">
          <reference field="9" count="1" selected="0">
            <x v="37"/>
          </reference>
          <reference field="11" count="1" selected="0">
            <x v="4"/>
          </reference>
          <reference field="37" count="0"/>
        </references>
      </pivotArea>
    </format>
    <format dxfId="32">
      <pivotArea dataOnly="0" labelOnly="1" outline="0" fieldPosition="0">
        <references count="3">
          <reference field="9" count="1" selected="0">
            <x v="40"/>
          </reference>
          <reference field="11" count="1" selected="0">
            <x v="4"/>
          </reference>
          <reference field="37" count="0"/>
        </references>
      </pivotArea>
    </format>
    <format dxfId="31">
      <pivotArea dataOnly="0" labelOnly="1" outline="0" fieldPosition="0">
        <references count="3">
          <reference field="9" count="1" selected="0">
            <x v="21"/>
          </reference>
          <reference field="11" count="1" selected="0">
            <x v="5"/>
          </reference>
          <reference field="37" count="0"/>
        </references>
      </pivotArea>
    </format>
    <format dxfId="30">
      <pivotArea dataOnly="0" labelOnly="1" outline="0" fieldPosition="0">
        <references count="3">
          <reference field="9" count="1" selected="0">
            <x v="22"/>
          </reference>
          <reference field="11" count="1" selected="0">
            <x v="5"/>
          </reference>
          <reference field="37" count="0"/>
        </references>
      </pivotArea>
    </format>
    <format dxfId="29">
      <pivotArea dataOnly="0" labelOnly="1" outline="0" fieldPosition="0">
        <references count="3">
          <reference field="9" count="1" selected="0">
            <x v="26"/>
          </reference>
          <reference field="11" count="1" selected="0">
            <x v="5"/>
          </reference>
          <reference field="37" count="0"/>
        </references>
      </pivotArea>
    </format>
    <format dxfId="28">
      <pivotArea dataOnly="0" labelOnly="1" outline="0" fieldPosition="0">
        <references count="3">
          <reference field="9" count="1" selected="0">
            <x v="32"/>
          </reference>
          <reference field="11" count="1" selected="0">
            <x v="5"/>
          </reference>
          <reference field="37" count="0"/>
        </references>
      </pivotArea>
    </format>
    <format dxfId="27">
      <pivotArea dataOnly="0" labelOnly="1" outline="0" fieldPosition="0">
        <references count="3">
          <reference field="9" count="1" selected="0">
            <x v="33"/>
          </reference>
          <reference field="11" count="1" selected="0">
            <x v="5"/>
          </reference>
          <reference field="37" count="0"/>
        </references>
      </pivotArea>
    </format>
    <format dxfId="26">
      <pivotArea dataOnly="0" labelOnly="1" outline="0" fieldPosition="0">
        <references count="3">
          <reference field="9" count="1" selected="0">
            <x v="1"/>
          </reference>
          <reference field="11" count="1" selected="0">
            <x v="6"/>
          </reference>
          <reference field="37" count="0"/>
        </references>
      </pivotArea>
    </format>
    <format dxfId="25">
      <pivotArea dataOnly="0" labelOnly="1" outline="0" fieldPosition="0">
        <references count="3">
          <reference field="9" count="1" selected="0">
            <x v="9"/>
          </reference>
          <reference field="11" count="1" selected="0">
            <x v="6"/>
          </reference>
          <reference field="37" count="0"/>
        </references>
      </pivotArea>
    </format>
    <format dxfId="24">
      <pivotArea dataOnly="0" labelOnly="1" outline="0" fieldPosition="0">
        <references count="3">
          <reference field="9" count="1" selected="0">
            <x v="14"/>
          </reference>
          <reference field="11" count="1" selected="0">
            <x v="6"/>
          </reference>
          <reference field="37" count="0"/>
        </references>
      </pivotArea>
    </format>
    <format dxfId="23">
      <pivotArea dataOnly="0" labelOnly="1" outline="0" fieldPosition="0">
        <references count="3">
          <reference field="9" count="1" selected="0">
            <x v="28"/>
          </reference>
          <reference field="11" count="1" selected="0">
            <x v="6"/>
          </reference>
          <reference field="37" count="0"/>
        </references>
      </pivotArea>
    </format>
    <format dxfId="22">
      <pivotArea dataOnly="0" labelOnly="1" outline="0" fieldPosition="0">
        <references count="3">
          <reference field="9" count="1" selected="0">
            <x v="43"/>
          </reference>
          <reference field="11" count="1" selected="0">
            <x v="6"/>
          </reference>
          <reference field="37" count="0"/>
        </references>
      </pivotArea>
    </format>
    <format dxfId="21">
      <pivotArea dataOnly="0" labelOnly="1" outline="0" fieldPosition="0">
        <references count="3">
          <reference field="9" count="1" selected="0">
            <x v="0"/>
          </reference>
          <reference field="11" count="1" selected="0">
            <x v="7"/>
          </reference>
          <reference field="37" count="0"/>
        </references>
      </pivotArea>
    </format>
    <format dxfId="20">
      <pivotArea dataOnly="0" labelOnly="1" outline="0" fieldPosition="0">
        <references count="3">
          <reference field="9" count="1" selected="0">
            <x v="4"/>
          </reference>
          <reference field="11" count="1" selected="0">
            <x v="7"/>
          </reference>
          <reference field="37" count="0"/>
        </references>
      </pivotArea>
    </format>
    <format dxfId="19">
      <pivotArea dataOnly="0" labelOnly="1" outline="0" fieldPosition="0">
        <references count="3">
          <reference field="9" count="1" selected="0">
            <x v="6"/>
          </reference>
          <reference field="11" count="1" selected="0">
            <x v="7"/>
          </reference>
          <reference field="37" count="0"/>
        </references>
      </pivotArea>
    </format>
    <format dxfId="18">
      <pivotArea dataOnly="0" labelOnly="1" outline="0" fieldPosition="0">
        <references count="3">
          <reference field="9" count="1" selected="0">
            <x v="7"/>
          </reference>
          <reference field="11" count="1" selected="0">
            <x v="7"/>
          </reference>
          <reference field="37" count="0"/>
        </references>
      </pivotArea>
    </format>
    <format dxfId="17">
      <pivotArea dataOnly="0" labelOnly="1" outline="0" fieldPosition="0">
        <references count="3">
          <reference field="9" count="1" selected="0">
            <x v="10"/>
          </reference>
          <reference field="11" count="1" selected="0">
            <x v="7"/>
          </reference>
          <reference field="37" count="0"/>
        </references>
      </pivotArea>
    </format>
    <format dxfId="16">
      <pivotArea dataOnly="0" labelOnly="1" outline="0" fieldPosition="0">
        <references count="3">
          <reference field="9" count="1" selected="0">
            <x v="12"/>
          </reference>
          <reference field="11" count="1" selected="0">
            <x v="7"/>
          </reference>
          <reference field="37" count="0"/>
        </references>
      </pivotArea>
    </format>
    <format dxfId="15">
      <pivotArea dataOnly="0" labelOnly="1" outline="0" fieldPosition="0">
        <references count="3">
          <reference field="9" count="1" selected="0">
            <x v="29"/>
          </reference>
          <reference field="11" count="1" selected="0">
            <x v="7"/>
          </reference>
          <reference field="3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69C1AA-4F97-485B-9505-8904CA5B046D}" name="TablaDinámica3" cacheId="396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compact="0" compactData="0" multipleFieldFilters="0" rowHeaderCaption="Nombre Completo">
  <location ref="A5:K148" firstHeaderRow="1" firstDataRow="1" firstDataCol="10" rowPageCount="3" colPageCount="1"/>
  <pivotFields count="52">
    <pivotField name="R.U.N." axis="axisRow" compact="0" outline="0" showAll="0" defaultSubtotal="0">
      <items count="381">
        <item m="1" x="259"/>
        <item m="1" x="292"/>
        <item m="1" x="216"/>
        <item x="85"/>
        <item x="115"/>
        <item x="190"/>
        <item m="1" x="380"/>
        <item x="82"/>
        <item m="1" x="264"/>
        <item x="193"/>
        <item m="1" x="258"/>
        <item m="1" x="260"/>
        <item m="1" x="217"/>
        <item m="1" x="255"/>
        <item m="1" x="314"/>
        <item m="1" x="235"/>
        <item m="1" x="218"/>
        <item m="1" x="250"/>
        <item m="1" x="288"/>
        <item m="1" x="219"/>
        <item m="1" x="289"/>
        <item x="92"/>
        <item x="94"/>
        <item x="84"/>
        <item m="1" x="285"/>
        <item m="1" x="273"/>
        <item m="1" x="315"/>
        <item m="1" x="290"/>
        <item x="151"/>
        <item m="1" x="214"/>
        <item x="25"/>
        <item m="1" x="246"/>
        <item m="1" x="277"/>
        <item x="155"/>
        <item m="1" x="279"/>
        <item m="1" x="265"/>
        <item m="1" x="249"/>
        <item m="1" x="224"/>
        <item m="1" x="261"/>
        <item m="1" x="234"/>
        <item m="1" x="300"/>
        <item m="1" x="308"/>
        <item m="1" x="269"/>
        <item m="1" x="295"/>
        <item x="109"/>
        <item m="1" x="262"/>
        <item m="1" x="310"/>
        <item m="1" x="233"/>
        <item m="1" x="379"/>
        <item m="1" x="298"/>
        <item m="1" x="221"/>
        <item m="1" x="252"/>
        <item x="121"/>
        <item m="1" x="245"/>
        <item m="1" x="247"/>
        <item m="1" x="230"/>
        <item m="1" x="243"/>
        <item m="1" x="291"/>
        <item m="1" x="294"/>
        <item m="1" x="227"/>
        <item m="1" x="226"/>
        <item m="1" x="305"/>
        <item m="1" x="225"/>
        <item m="1" x="293"/>
        <item m="1" x="241"/>
        <item m="1" x="238"/>
        <item m="1" x="263"/>
        <item m="1" x="244"/>
        <item m="1" x="213"/>
        <item m="1" x="228"/>
        <item m="1" x="309"/>
        <item m="1" x="248"/>
        <item m="1" x="222"/>
        <item m="1" x="220"/>
        <item m="1" x="270"/>
        <item m="1" x="283"/>
        <item m="1" x="251"/>
        <item m="1" x="212"/>
        <item m="1" x="268"/>
        <item m="1" x="267"/>
        <item m="1" x="242"/>
        <item m="1" x="302"/>
        <item m="1" x="231"/>
        <item m="1" x="280"/>
        <item m="1" x="276"/>
        <item m="1" x="301"/>
        <item m="1" x="296"/>
        <item m="1" x="299"/>
        <item m="1" x="304"/>
        <item m="1" x="232"/>
        <item m="1" x="297"/>
        <item m="1" x="239"/>
        <item m="1" x="272"/>
        <item m="1" x="278"/>
        <item m="1" x="236"/>
        <item m="1" x="229"/>
        <item m="1" x="257"/>
        <item m="1" x="223"/>
        <item m="1" x="275"/>
        <item m="1" x="312"/>
        <item m="1" x="237"/>
        <item m="1" x="307"/>
        <item m="1" x="311"/>
        <item m="1" x="286"/>
        <item m="1" x="266"/>
        <item m="1" x="256"/>
        <item m="1" x="271"/>
        <item m="1" x="303"/>
        <item m="1" x="240"/>
        <item m="1" x="306"/>
        <item m="1" x="282"/>
        <item m="1" x="254"/>
        <item m="1" x="313"/>
        <item m="1" x="287"/>
        <item m="1" x="284"/>
        <item m="1" x="253"/>
        <item m="1" x="281"/>
        <item x="204"/>
        <item x="205"/>
        <item m="1" x="316"/>
        <item m="1" x="317"/>
        <item m="1" x="318"/>
        <item m="1" x="319"/>
        <item m="1" x="320"/>
        <item m="1" x="321"/>
        <item m="1" x="322"/>
        <item x="123"/>
        <item m="1" x="323"/>
        <item m="1" x="324"/>
        <item m="1" x="325"/>
        <item x="98"/>
        <item m="1" x="326"/>
        <item m="1" x="327"/>
        <item x="88"/>
        <item m="1" x="328"/>
        <item m="1" x="329"/>
        <item m="1" x="330"/>
        <item x="142"/>
        <item m="1" x="331"/>
        <item x="81"/>
        <item x="87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215"/>
        <item m="1" x="274"/>
        <item m="1" x="353"/>
        <item m="1" x="354"/>
        <item x="91"/>
        <item m="1" x="355"/>
        <item x="191"/>
        <item x="187"/>
        <item x="188"/>
        <item x="189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6"/>
        <item m="1" x="365"/>
        <item x="10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x="200"/>
        <item m="1" x="378"/>
        <item m="1" x="211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207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10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m="1" x="20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9"/>
        <item x="194"/>
        <item x="195"/>
        <item x="138"/>
        <item x="196"/>
        <item x="197"/>
        <item x="198"/>
        <item x="199"/>
        <item x="201"/>
        <item x="202"/>
        <item x="203"/>
        <item x="206"/>
        <item x="22"/>
      </items>
    </pivotField>
    <pivotField name="Correo Electrónico" axis="axisRow" compact="0" outline="0" showAll="0" defaultSubtotal="0">
      <items count="369">
        <item m="1" x="257"/>
        <item m="1" x="211"/>
        <item x="94"/>
        <item m="1" x="258"/>
        <item m="1" x="216"/>
        <item m="1" x="230"/>
        <item m="1" x="222"/>
        <item m="1" x="212"/>
        <item m="1" x="223"/>
        <item m="1" x="241"/>
        <item m="1" x="254"/>
        <item m="1" x="256"/>
        <item m="1" x="248"/>
        <item m="1" x="255"/>
        <item x="190"/>
        <item m="1" x="224"/>
        <item m="1" x="247"/>
        <item m="1" x="219"/>
        <item m="1" x="240"/>
        <item m="1" x="218"/>
        <item m="1" x="242"/>
        <item m="1" x="232"/>
        <item m="1" x="246"/>
        <item m="1" x="249"/>
        <item m="1" x="235"/>
        <item m="1" x="252"/>
        <item m="1" x="236"/>
        <item m="1" x="221"/>
        <item m="1" x="234"/>
        <item m="1" x="228"/>
        <item m="1" x="217"/>
        <item m="1" x="251"/>
        <item m="1" x="231"/>
        <item x="25"/>
        <item m="1" x="250"/>
        <item m="1" x="215"/>
        <item m="1" x="225"/>
        <item m="1" x="238"/>
        <item m="1" x="237"/>
        <item x="151"/>
        <item m="1" x="245"/>
        <item m="1" x="253"/>
        <item m="1" x="213"/>
        <item m="1" x="244"/>
        <item x="193"/>
        <item m="1" x="220"/>
        <item m="1" x="243"/>
        <item m="1" x="227"/>
        <item x="121"/>
        <item m="1" x="226"/>
        <item x="92"/>
        <item m="1" x="229"/>
        <item x="109"/>
        <item m="1" x="233"/>
        <item m="1" x="214"/>
        <item m="1" x="239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x="84"/>
        <item m="1" x="287"/>
        <item m="1" x="288"/>
        <item x="85"/>
        <item m="1" x="289"/>
        <item m="1" x="290"/>
        <item m="1" x="291"/>
        <item m="1" x="292"/>
        <item m="1" x="293"/>
        <item x="115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x="204"/>
        <item x="205"/>
        <item m="1" x="317"/>
        <item m="1" x="318"/>
        <item m="1" x="319"/>
        <item m="1" x="320"/>
        <item m="1" x="321"/>
        <item m="1" x="322"/>
        <item m="1" x="323"/>
        <item x="123"/>
        <item m="1" x="324"/>
        <item m="1" x="325"/>
        <item m="1" x="368"/>
        <item x="98"/>
        <item m="1" x="326"/>
        <item m="1" x="327"/>
        <item m="1" x="328"/>
        <item x="88"/>
        <item m="1" x="329"/>
        <item m="1" x="330"/>
        <item m="1" x="331"/>
        <item x="142"/>
        <item m="1" x="332"/>
        <item x="81"/>
        <item x="87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210"/>
        <item m="1" x="354"/>
        <item m="1" x="355"/>
        <item x="91"/>
        <item m="1" x="356"/>
        <item m="1" x="357"/>
        <item x="187"/>
        <item x="188"/>
        <item x="189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9"/>
        <item x="82"/>
        <item x="83"/>
        <item x="86"/>
        <item x="90"/>
        <item x="95"/>
        <item x="96"/>
        <item x="97"/>
        <item x="99"/>
        <item x="100"/>
        <item x="101"/>
        <item x="89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m="1" x="207"/>
        <item x="140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1"/>
        <item x="192"/>
        <item m="1" x="208"/>
        <item x="194"/>
        <item x="195"/>
        <item x="196"/>
        <item x="197"/>
        <item x="198"/>
        <item x="199"/>
        <item x="200"/>
        <item x="201"/>
        <item x="202"/>
        <item x="203"/>
        <item x="136"/>
        <item x="206"/>
      </items>
    </pivotField>
    <pivotField name="Nombre" axis="axisRow" compact="0" outline="0" showAll="0" defaultSubtotal="0">
      <items count="393">
        <item m="1" x="211"/>
        <item m="1" x="259"/>
        <item x="151"/>
        <item x="94"/>
        <item m="1" x="222"/>
        <item m="1" x="216"/>
        <item m="1" x="230"/>
        <item m="1" x="212"/>
        <item m="1" x="249"/>
        <item m="1" x="223"/>
        <item m="1" x="241"/>
        <item m="1" x="256"/>
        <item m="1" x="254"/>
        <item m="1" x="248"/>
        <item m="1" x="260"/>
        <item m="1" x="389"/>
        <item m="1" x="224"/>
        <item m="1" x="247"/>
        <item m="1" x="237"/>
        <item m="1" x="219"/>
        <item m="1" x="246"/>
        <item m="1" x="232"/>
        <item m="1" x="242"/>
        <item m="1" x="218"/>
        <item m="1" x="240"/>
        <item m="1" x="235"/>
        <item m="1" x="252"/>
        <item m="1" x="236"/>
        <item m="1" x="221"/>
        <item m="1" x="217"/>
        <item m="1" x="234"/>
        <item m="1" x="228"/>
        <item m="1" x="251"/>
        <item m="1" x="231"/>
        <item x="25"/>
        <item m="1" x="250"/>
        <item m="1" x="225"/>
        <item m="1" x="220"/>
        <item m="1" x="238"/>
        <item m="1" x="386"/>
        <item m="1" x="390"/>
        <item m="1" x="213"/>
        <item m="1" x="244"/>
        <item x="190"/>
        <item m="1" x="227"/>
        <item x="193"/>
        <item m="1" x="243"/>
        <item m="1" x="215"/>
        <item x="121"/>
        <item x="92"/>
        <item m="1" x="258"/>
        <item m="1" x="229"/>
        <item m="1" x="233"/>
        <item m="1" x="226"/>
        <item m="1" x="214"/>
        <item m="1" x="239"/>
        <item m="1" x="388"/>
        <item m="1" x="391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385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x="84"/>
        <item m="1" x="289"/>
        <item m="1" x="387"/>
        <item m="1" x="291"/>
        <item m="1" x="292"/>
        <item m="1" x="293"/>
        <item x="155"/>
        <item x="82"/>
        <item m="1" x="294"/>
        <item x="115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92"/>
        <item m="1" x="384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253"/>
        <item m="1" x="255"/>
        <item m="1" x="274"/>
        <item m="1" x="306"/>
        <item m="1" x="245"/>
        <item m="1" x="257"/>
        <item m="1" x="261"/>
        <item m="1" x="290"/>
        <item m="1" x="305"/>
        <item x="204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83"/>
        <item m="1" x="329"/>
        <item m="1" x="330"/>
        <item m="1" x="331"/>
        <item m="1" x="332"/>
        <item x="88"/>
        <item m="1" x="333"/>
        <item m="1" x="334"/>
        <item m="1" x="262"/>
        <item m="1" x="328"/>
        <item m="1" x="335"/>
        <item x="142"/>
        <item m="1" x="336"/>
        <item m="1" x="337"/>
        <item x="8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210"/>
        <item m="1" x="359"/>
        <item m="1" x="360"/>
        <item m="1" x="361"/>
        <item m="1" x="362"/>
        <item x="191"/>
        <item x="187"/>
        <item x="188"/>
        <item x="189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3"/>
        <item m="1" x="372"/>
        <item x="10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m="1" x="207"/>
        <item x="74"/>
        <item x="75"/>
        <item x="77"/>
        <item x="78"/>
        <item x="79"/>
        <item x="76"/>
        <item x="80"/>
        <item x="81"/>
        <item m="1" x="209"/>
        <item x="83"/>
        <item x="86"/>
        <item x="85"/>
        <item x="90"/>
        <item x="95"/>
        <item x="96"/>
        <item x="97"/>
        <item x="99"/>
        <item x="100"/>
        <item x="101"/>
        <item x="89"/>
        <item x="91"/>
        <item x="93"/>
        <item x="98"/>
        <item x="104"/>
        <item x="106"/>
        <item x="107"/>
        <item x="110"/>
        <item x="111"/>
        <item x="112"/>
        <item x="105"/>
        <item x="102"/>
        <item x="103"/>
        <item x="108"/>
        <item x="109"/>
        <item x="113"/>
        <item x="114"/>
        <item x="117"/>
        <item x="118"/>
        <item x="120"/>
        <item x="122"/>
        <item x="123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8"/>
        <item x="194"/>
        <item x="195"/>
        <item x="196"/>
        <item x="197"/>
        <item x="198"/>
        <item x="199"/>
        <item x="200"/>
        <item x="201"/>
        <item x="73"/>
        <item x="202"/>
        <item x="203"/>
        <item x="205"/>
        <item x="206"/>
      </items>
    </pivotField>
    <pivotField name="Fecha Nac." axis="axisRow" compact="0" numFmtId="14" outline="0" showAll="0" defaultSubtotal="0">
      <items count="352">
        <item m="1" x="206"/>
        <item m="1" x="207"/>
        <item x="24"/>
        <item m="1" x="208"/>
        <item m="1" x="351"/>
        <item m="1" x="210"/>
        <item m="1" x="211"/>
        <item m="1" x="212"/>
        <item m="1" x="213"/>
        <item m="1" x="214"/>
        <item m="1" x="215"/>
        <item m="1" x="216"/>
        <item m="1" x="217"/>
        <item x="119"/>
        <item m="1" x="218"/>
        <item x="149"/>
        <item m="1" x="219"/>
        <item m="1" x="220"/>
        <item m="1" x="221"/>
        <item m="1" x="222"/>
        <item m="1" x="223"/>
        <item m="1" x="224"/>
        <item x="202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x="92"/>
        <item x="189"/>
        <item x="107"/>
        <item m="1" x="251"/>
        <item m="1" x="252"/>
        <item x="186"/>
        <item x="90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x="99"/>
        <item m="1" x="275"/>
        <item m="1" x="276"/>
        <item m="1" x="277"/>
        <item m="1" x="278"/>
        <item x="36"/>
        <item x="82"/>
        <item m="1" x="279"/>
        <item m="1" x="280"/>
        <item x="83"/>
        <item m="1" x="281"/>
        <item m="1" x="282"/>
        <item x="153"/>
        <item x="80"/>
        <item m="1" x="283"/>
        <item x="11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x="200"/>
        <item x="201"/>
        <item m="1" x="305"/>
        <item m="1" x="306"/>
        <item m="1" x="307"/>
        <item m="1" x="308"/>
        <item m="1" x="309"/>
        <item m="1" x="310"/>
        <item x="23"/>
        <item x="121"/>
        <item m="1" x="311"/>
        <item m="1" x="312"/>
        <item m="1" x="313"/>
        <item x="96"/>
        <item m="1" x="314"/>
        <item m="1" x="315"/>
        <item x="86"/>
        <item m="1" x="316"/>
        <item m="1" x="317"/>
        <item m="1" x="318"/>
        <item x="140"/>
        <item m="1" x="319"/>
        <item x="79"/>
        <item x="85"/>
        <item m="1" x="320"/>
        <item m="1" x="321"/>
        <item m="1" x="322"/>
        <item m="1" x="323"/>
        <item m="1" x="324"/>
        <item m="1" x="325"/>
        <item x="22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209"/>
        <item x="89"/>
        <item m="1" x="341"/>
        <item x="187"/>
        <item m="1" x="203"/>
        <item m="1" x="342"/>
        <item m="1" x="343"/>
        <item m="1" x="344"/>
        <item m="1" x="345"/>
        <item m="1" x="346"/>
        <item m="1" x="347"/>
        <item x="183"/>
        <item m="1" x="348"/>
        <item m="1" x="349"/>
        <item m="1" x="350"/>
        <item x="9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5"/>
        <item x="26"/>
        <item x="27"/>
        <item x="28"/>
        <item x="29"/>
        <item x="30"/>
        <item x="31"/>
        <item x="32"/>
        <item x="33"/>
        <item x="34"/>
        <item x="35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5"/>
        <item x="76"/>
        <item x="77"/>
        <item x="74"/>
        <item x="78"/>
        <item m="1" x="205"/>
        <item x="81"/>
        <item x="84"/>
        <item x="88"/>
        <item x="93"/>
        <item x="94"/>
        <item x="95"/>
        <item x="97"/>
        <item x="98"/>
        <item x="87"/>
        <item x="91"/>
        <item x="102"/>
        <item x="104"/>
        <item x="105"/>
        <item x="108"/>
        <item x="109"/>
        <item x="110"/>
        <item x="103"/>
        <item x="100"/>
        <item x="101"/>
        <item x="106"/>
        <item x="111"/>
        <item x="112"/>
        <item x="115"/>
        <item x="116"/>
        <item x="118"/>
        <item x="120"/>
        <item x="122"/>
        <item x="114"/>
        <item x="123"/>
        <item x="117"/>
        <item x="124"/>
        <item x="126"/>
        <item x="127"/>
        <item x="129"/>
        <item x="132"/>
        <item x="135"/>
        <item x="137"/>
        <item x="128"/>
        <item x="130"/>
        <item x="141"/>
        <item x="142"/>
        <item x="144"/>
        <item x="143"/>
        <item x="133"/>
        <item x="136"/>
        <item x="139"/>
        <item x="131"/>
        <item x="125"/>
        <item x="134"/>
        <item x="138"/>
        <item x="145"/>
        <item x="146"/>
        <item x="147"/>
        <item x="148"/>
        <item x="150"/>
        <item x="151"/>
        <item x="152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4"/>
        <item x="188"/>
        <item m="1" x="204"/>
        <item x="190"/>
        <item x="191"/>
        <item x="192"/>
        <item x="193"/>
        <item x="194"/>
        <item x="185"/>
        <item x="195"/>
        <item x="196"/>
        <item x="197"/>
        <item x="198"/>
        <item x="199"/>
      </items>
    </pivotField>
    <pivotField compact="0" outline="0" showAll="0"/>
    <pivotField name="Comuna Inscrita" axis="axisRow" compact="0" outline="0" showAll="0" defaultSubtotal="0">
      <items count="52">
        <item x="15"/>
        <item x="2"/>
        <item x="11"/>
        <item m="1" x="51"/>
        <item m="1" x="31"/>
        <item x="4"/>
        <item m="1" x="28"/>
        <item x="3"/>
        <item m="1" x="35"/>
        <item m="1" x="33"/>
        <item x="1"/>
        <item x="0"/>
        <item x="5"/>
        <item m="1" x="49"/>
        <item m="1" x="32"/>
        <item x="19"/>
        <item m="1" x="50"/>
        <item m="1" x="48"/>
        <item m="1" x="45"/>
        <item m="1" x="36"/>
        <item m="1" x="37"/>
        <item x="20"/>
        <item m="1" x="38"/>
        <item x="18"/>
        <item m="1" x="46"/>
        <item m="1" x="40"/>
        <item m="1" x="39"/>
        <item m="1" x="41"/>
        <item m="1" x="42"/>
        <item m="1" x="43"/>
        <item m="1" x="34"/>
        <item x="21"/>
        <item m="1" x="44"/>
        <item m="1" x="47"/>
        <item x="22"/>
        <item x="6"/>
        <item x="7"/>
        <item x="8"/>
        <item x="9"/>
        <item m="1" x="29"/>
        <item x="10"/>
        <item x="12"/>
        <item x="13"/>
        <item m="1" x="30"/>
        <item x="14"/>
        <item x="17"/>
        <item x="16"/>
        <item m="1" x="27"/>
        <item x="23"/>
        <item x="24"/>
        <item m="1" x="26"/>
        <item x="25"/>
      </items>
    </pivotField>
    <pivotField compact="0" outline="0" showAll="0"/>
    <pivotField name="N° Fono" axis="axisRow" compact="0" outline="0" showAll="0" defaultSubtotal="0">
      <items count="370">
        <item m="1" x="368"/>
        <item m="1" x="364"/>
        <item m="1" x="365"/>
        <item x="151"/>
        <item m="1" x="233"/>
        <item m="1" x="214"/>
        <item m="1" x="211"/>
        <item m="1" x="210"/>
        <item x="92"/>
        <item m="1" x="231"/>
        <item m="1" x="246"/>
        <item m="1" x="228"/>
        <item m="1" x="220"/>
        <item m="1" x="224"/>
        <item m="1" x="243"/>
        <item m="1" x="223"/>
        <item m="1" x="218"/>
        <item m="1" x="236"/>
        <item m="1" x="227"/>
        <item x="109"/>
        <item m="1" x="250"/>
        <item m="1" x="253"/>
        <item m="1" x="229"/>
        <item m="1" x="234"/>
        <item x="94"/>
        <item m="1" x="244"/>
        <item x="25"/>
        <item m="1" x="222"/>
        <item m="1" x="239"/>
        <item m="1" x="232"/>
        <item m="1" x="245"/>
        <item m="1" x="251"/>
        <item m="1" x="216"/>
        <item m="1" x="252"/>
        <item m="1" x="254"/>
        <item m="1" x="226"/>
        <item m="1" x="247"/>
        <item m="1" x="230"/>
        <item m="1" x="235"/>
        <item m="1" x="241"/>
        <item x="193"/>
        <item m="1" x="237"/>
        <item m="1" x="225"/>
        <item m="1" x="221"/>
        <item m="1" x="219"/>
        <item m="1" x="217"/>
        <item m="1" x="242"/>
        <item m="1" x="255"/>
        <item m="1" x="257"/>
        <item m="1" x="256"/>
        <item x="121"/>
        <item x="190"/>
        <item m="1" x="238"/>
        <item m="1" x="240"/>
        <item m="1" x="366"/>
        <item m="1" x="367"/>
        <item m="1" x="212"/>
        <item m="1" x="213"/>
        <item m="1" x="248"/>
        <item m="1" x="249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369"/>
        <item m="1" x="280"/>
        <item m="1" x="281"/>
        <item m="1" x="282"/>
        <item m="1" x="283"/>
        <item m="1" x="284"/>
        <item m="1" x="285"/>
        <item x="84"/>
        <item m="1" x="286"/>
        <item x="85"/>
        <item m="1" x="287"/>
        <item m="1" x="288"/>
        <item x="155"/>
        <item x="82"/>
        <item m="1" x="289"/>
        <item x="115"/>
        <item m="1" x="27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x="204"/>
        <item x="205"/>
        <item m="1" x="313"/>
        <item m="1" x="314"/>
        <item m="1" x="315"/>
        <item m="1" x="316"/>
        <item m="1" x="317"/>
        <item m="1" x="318"/>
        <item m="1" x="319"/>
        <item x="123"/>
        <item m="1" x="320"/>
        <item m="1" x="321"/>
        <item m="1" x="322"/>
        <item x="98"/>
        <item m="1" x="323"/>
        <item m="1" x="324"/>
        <item x="88"/>
        <item m="1" x="325"/>
        <item m="1" x="326"/>
        <item m="1" x="327"/>
        <item x="142"/>
        <item m="1" x="328"/>
        <item x="81"/>
        <item x="87"/>
        <item m="1" x="215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209"/>
        <item m="1" x="350"/>
        <item m="1" x="351"/>
        <item m="1" x="352"/>
        <item m="1" x="353"/>
        <item x="191"/>
        <item x="187"/>
        <item x="188"/>
        <item x="189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x="10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7"/>
        <item x="78"/>
        <item x="79"/>
        <item x="76"/>
        <item x="80"/>
        <item m="1" x="208"/>
        <item x="83"/>
        <item x="86"/>
        <item x="90"/>
        <item x="95"/>
        <item x="96"/>
        <item x="97"/>
        <item x="99"/>
        <item x="100"/>
        <item x="101"/>
        <item x="89"/>
        <item x="91"/>
        <item x="93"/>
        <item x="104"/>
        <item x="106"/>
        <item x="107"/>
        <item x="110"/>
        <item x="111"/>
        <item x="112"/>
        <item x="105"/>
        <item x="102"/>
        <item x="103"/>
        <item x="108"/>
        <item x="113"/>
        <item x="114"/>
        <item x="117"/>
        <item x="118"/>
        <item x="120"/>
        <item x="122"/>
        <item x="124"/>
        <item x="116"/>
        <item x="125"/>
        <item x="119"/>
        <item x="126"/>
        <item x="128"/>
        <item x="129"/>
        <item x="131"/>
        <item x="134"/>
        <item x="137"/>
        <item x="139"/>
        <item x="130"/>
        <item x="132"/>
        <item x="143"/>
        <item x="144"/>
        <item x="146"/>
        <item x="145"/>
        <item x="135"/>
        <item x="138"/>
        <item x="141"/>
        <item x="133"/>
        <item x="127"/>
        <item x="136"/>
        <item x="140"/>
        <item x="147"/>
        <item x="148"/>
        <item x="149"/>
        <item x="150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2"/>
        <item m="1" x="207"/>
        <item x="194"/>
        <item x="195"/>
        <item x="196"/>
        <item x="197"/>
        <item x="198"/>
        <item x="199"/>
        <item x="200"/>
        <item x="201"/>
        <item x="202"/>
        <item x="203"/>
        <item x="206"/>
      </items>
    </pivotField>
    <pivotField name="Rol" axis="axisPage" compact="0" outline="0" multipleItemSelectionAllowed="1" showAll="0">
      <items count="8">
        <item h="1" x="3"/>
        <item h="1" x="1"/>
        <item x="0"/>
        <item h="1" m="1" x="6"/>
        <item h="1" x="4"/>
        <item h="1" x="5"/>
        <item h="1" x="2"/>
        <item t="default"/>
      </items>
    </pivotField>
    <pivotField name="Grupo " axis="axisRow" compact="0" outline="0" showAll="0" defaultSubtotal="0">
      <items count="80">
        <item x="38"/>
        <item x="45"/>
        <item x="25"/>
        <item m="1" x="68"/>
        <item x="46"/>
        <item x="14"/>
        <item x="37"/>
        <item x="40"/>
        <item x="3"/>
        <item x="0"/>
        <item m="1" x="48"/>
        <item x="29"/>
        <item m="1" x="67"/>
        <item m="1" x="76"/>
        <item x="1"/>
        <item x="30"/>
        <item x="22"/>
        <item x="19"/>
        <item x="28"/>
        <item x="35"/>
        <item x="4"/>
        <item m="1" x="66"/>
        <item m="1" x="63"/>
        <item x="10"/>
        <item x="15"/>
        <item x="12"/>
        <item m="1" x="64"/>
        <item x="17"/>
        <item m="1" x="53"/>
        <item x="2"/>
        <item m="1" x="61"/>
        <item x="33"/>
        <item x="32"/>
        <item m="1" x="78"/>
        <item m="1" x="79"/>
        <item x="13"/>
        <item x="18"/>
        <item x="43"/>
        <item m="1" x="62"/>
        <item x="42"/>
        <item m="1" x="65"/>
        <item m="1" x="77"/>
        <item m="1" x="69"/>
        <item x="5"/>
        <item m="1" x="70"/>
        <item m="1" x="71"/>
        <item m="1" x="72"/>
        <item m="1" x="60"/>
        <item m="1" x="73"/>
        <item m="1" x="74"/>
        <item m="1" x="75"/>
        <item x="6"/>
        <item x="7"/>
        <item m="1" x="49"/>
        <item x="9"/>
        <item x="11"/>
        <item x="16"/>
        <item m="1" x="55"/>
        <item m="1" x="50"/>
        <item x="20"/>
        <item x="21"/>
        <item x="23"/>
        <item x="24"/>
        <item m="1" x="56"/>
        <item x="26"/>
        <item x="27"/>
        <item m="1" x="51"/>
        <item x="31"/>
        <item m="1" x="57"/>
        <item x="34"/>
        <item m="1" x="58"/>
        <item m="1" x="59"/>
        <item m="1" x="52"/>
        <item x="39"/>
        <item x="41"/>
        <item m="1" x="54"/>
        <item x="44"/>
        <item x="47"/>
        <item x="8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ama Curso" axis="axisRow" compact="0" outline="0" showAll="0" defaultSubtotal="0">
      <items count="10">
        <item x="2"/>
        <item x="6"/>
        <item x="5"/>
        <item x="0"/>
        <item x="3"/>
        <item x="1"/>
        <item x="4"/>
        <item m="1" x="7"/>
        <item m="1" x="9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istrito " axis="axisRow" compact="0" outline="0" showAll="0" defaultSubtotal="0">
      <items count="24">
        <item x="1"/>
        <item x="2"/>
        <item x="10"/>
        <item x="9"/>
        <item x="0"/>
        <item m="1" x="19"/>
        <item x="4"/>
        <item m="1" x="13"/>
        <item m="1" x="20"/>
        <item m="1" x="21"/>
        <item m="1" x="22"/>
        <item x="12"/>
        <item m="1" x="18"/>
        <item m="1" x="23"/>
        <item m="1" x="14"/>
        <item m="1" x="15"/>
        <item m="1" x="16"/>
        <item x="8"/>
        <item m="1" x="17"/>
        <item x="6"/>
        <item x="7"/>
        <item x="3"/>
        <item x="11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name="Fue Avisado" axis="axisPage" compact="0" outline="0" multipleItemSelectionAllowed="1" showAll="0">
      <items count="12">
        <item m="1" x="5"/>
        <item m="1" x="10"/>
        <item m="1" x="8"/>
        <item x="0"/>
        <item m="1" x="7"/>
        <item x="1"/>
        <item m="1" x="4"/>
        <item m="1" x="6"/>
        <item m="1" x="9"/>
        <item m="1" x="3"/>
        <item m="1" x="2"/>
        <item t="default"/>
      </items>
    </pivotField>
    <pivotField name="Estado" axis="axisPage" compact="0" outline="0" multipleItemSelectionAllowed="1" showAll="0">
      <items count="8">
        <item x="0"/>
        <item h="1" m="1" x="5"/>
        <item h="1" x="1"/>
        <item m="1" x="3"/>
        <item h="1" m="1" x="6"/>
        <item h="1" m="1" x="2"/>
        <item h="1" m="1"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Edad " axis="axisRow" compact="0" outline="0" showAll="0" defaultSubtotal="0">
      <items count="34">
        <item m="1" x="33"/>
        <item x="13"/>
        <item x="1"/>
        <item x="2"/>
        <item x="3"/>
        <item x="11"/>
        <item x="5"/>
        <item x="6"/>
        <item x="12"/>
        <item x="7"/>
        <item x="8"/>
        <item x="9"/>
        <item x="4"/>
        <item x="14"/>
        <item x="27"/>
        <item x="0"/>
        <item x="15"/>
        <item x="16"/>
        <item x="10"/>
        <item x="17"/>
        <item x="18"/>
        <item x="19"/>
        <item x="20"/>
        <item x="21"/>
        <item x="22"/>
        <item x="23"/>
        <item x="25"/>
        <item x="26"/>
        <item x="29"/>
        <item x="28"/>
        <item x="30"/>
        <item x="31"/>
        <item x="24"/>
        <item x="3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8" outline="0" showAll="0"/>
    <pivotField compact="0" outline="0" showAll="0"/>
  </pivotFields>
  <rowFields count="10">
    <field x="10"/>
    <field x="11"/>
    <field x="9"/>
    <field x="2"/>
    <field x="0"/>
    <field x="3"/>
    <field x="42"/>
    <field x="1"/>
    <field x="5"/>
    <field x="7"/>
  </rowFields>
  <rowItems count="143">
    <i>
      <x/>
      <x/>
      <x v="2"/>
      <x v="365"/>
      <x v="354"/>
      <x v="327"/>
      <x v="13"/>
      <x v="341"/>
      <x v="10"/>
      <x v="344"/>
    </i>
    <i r="2">
      <x v="14"/>
      <x v="148"/>
      <x v="137"/>
      <x v="135"/>
      <x v="16"/>
      <x v="138"/>
      <x v="5"/>
      <x v="141"/>
    </i>
    <i r="3">
      <x v="209"/>
      <x v="204"/>
      <x v="183"/>
      <x v="4"/>
      <x v="189"/>
      <x v="10"/>
      <x v="193"/>
    </i>
    <i r="3">
      <x v="277"/>
      <x v="272"/>
      <x v="246"/>
      <x v="17"/>
      <x v="257"/>
      <x v="10"/>
      <x v="261"/>
    </i>
    <i r="1">
      <x v="1"/>
      <x v="20"/>
      <x v="220"/>
      <x v="215"/>
      <x v="193"/>
      <x v="5"/>
      <x v="200"/>
      <x v="1"/>
      <x v="204"/>
    </i>
    <i r="3">
      <x v="222"/>
      <x v="217"/>
      <x v="195"/>
      <x v="12"/>
      <x v="202"/>
      <x v="1"/>
      <x v="206"/>
    </i>
    <i r="2">
      <x v="23"/>
      <x v="223"/>
      <x v="218"/>
      <x v="196"/>
      <x v="2"/>
      <x v="203"/>
      <x v="12"/>
      <x v="207"/>
    </i>
    <i r="3">
      <x v="246"/>
      <x v="241"/>
      <x v="216"/>
      <x v="16"/>
      <x v="226"/>
      <x v="5"/>
      <x v="230"/>
    </i>
    <i r="1">
      <x v="4"/>
      <x v="9"/>
      <x v="294"/>
      <x v="287"/>
      <x v="260"/>
      <x v="22"/>
      <x v="273"/>
      <x v="46"/>
      <x v="276"/>
    </i>
    <i r="1">
      <x v="17"/>
      <x v="32"/>
      <x v="369"/>
      <x v="358"/>
      <x v="331"/>
      <x v="22"/>
      <x v="345"/>
      <x v="2"/>
      <x v="348"/>
    </i>
    <i r="2">
      <x v="55"/>
      <x v="241"/>
      <x v="236"/>
      <x v="211"/>
      <x v="17"/>
      <x v="221"/>
      <x v="40"/>
      <x v="225"/>
    </i>
    <i r="2">
      <x v="56"/>
      <x v="336"/>
      <x v="325"/>
      <x v="298"/>
      <x v="3"/>
      <x v="311"/>
      <x v="5"/>
      <x v="315"/>
    </i>
    <i r="1">
      <x v="21"/>
      <x v="5"/>
      <x v="387"/>
      <x v="376"/>
      <x v="349"/>
      <x v="16"/>
      <x v="364"/>
      <x v="7"/>
      <x v="366"/>
    </i>
    <i r="2">
      <x v="8"/>
      <x v="207"/>
      <x v="202"/>
      <x v="181"/>
      <x v="12"/>
      <x v="187"/>
      <x v="7"/>
      <x v="191"/>
    </i>
    <i r="2">
      <x v="11"/>
      <x v="311"/>
      <x v="301"/>
      <x v="274"/>
      <x v="17"/>
      <x v="287"/>
      <x v="12"/>
      <x v="291"/>
    </i>
    <i r="3">
      <x v="347"/>
      <x v="336"/>
      <x v="309"/>
      <x v="20"/>
      <x v="323"/>
      <x v="12"/>
      <x v="326"/>
    </i>
    <i r="2">
      <x v="15"/>
      <x v="301"/>
      <x v="292"/>
      <x v="265"/>
      <x v="15"/>
      <x v="278"/>
      <x v="12"/>
      <x v="282"/>
    </i>
    <i r="2">
      <x v="36"/>
      <x v="271"/>
      <x v="266"/>
      <x v="240"/>
      <x v="9"/>
      <x v="251"/>
      <x v="12"/>
      <x v="255"/>
    </i>
    <i r="3">
      <x v="352"/>
      <x v="341"/>
      <x v="314"/>
      <x v="17"/>
      <x v="328"/>
      <x v="5"/>
      <x v="331"/>
    </i>
    <i r="2">
      <x v="59"/>
      <x v="281"/>
      <x v="276"/>
      <x v="250"/>
      <x v="20"/>
      <x v="261"/>
      <x v="12"/>
      <x v="265"/>
    </i>
    <i>
      <x v="2"/>
      <x/>
      <x v="2"/>
      <x v="292"/>
      <x v="285"/>
      <x v="259"/>
      <x v="25"/>
      <x v="271"/>
      <x v="10"/>
      <x v="274"/>
    </i>
    <i r="2">
      <x v="24"/>
      <x v="253"/>
      <x v="248"/>
      <x v="223"/>
      <x v="17"/>
      <x v="233"/>
      <x v="10"/>
      <x v="237"/>
    </i>
    <i r="3">
      <x v="266"/>
      <x v="261"/>
      <x v="235"/>
      <x v="8"/>
      <x v="246"/>
      <x v="5"/>
      <x v="250"/>
    </i>
    <i r="3">
      <x v="388"/>
      <x v="269"/>
      <x v="243"/>
      <x v="6"/>
      <x v="254"/>
      <x v="10"/>
      <x v="258"/>
    </i>
    <i r="1">
      <x v="1"/>
      <x v="20"/>
      <x v="229"/>
      <x v="224"/>
      <x v="200"/>
      <x v="13"/>
      <x v="209"/>
      <x v="5"/>
      <x v="213"/>
    </i>
    <i r="2">
      <x v="23"/>
      <x v="255"/>
      <x v="250"/>
      <x v="225"/>
      <x v="6"/>
      <x v="235"/>
      <x v="5"/>
      <x v="239"/>
    </i>
    <i r="3">
      <x v="384"/>
      <x v="374"/>
      <x v="345"/>
      <x v="2"/>
      <x v="361"/>
      <x v="11"/>
      <x v="363"/>
    </i>
    <i r="2">
      <x v="25"/>
      <x v="321"/>
      <x v="310"/>
      <x v="283"/>
      <x v="3"/>
      <x v="296"/>
      <x v="7"/>
      <x v="300"/>
    </i>
    <i r="3">
      <x v="359"/>
      <x v="348"/>
      <x v="321"/>
      <x v="6"/>
      <x v="335"/>
      <x v="7"/>
      <x v="338"/>
    </i>
    <i r="1">
      <x v="4"/>
      <x v="18"/>
      <x v="300"/>
      <x v="291"/>
      <x v="264"/>
      <x v="16"/>
      <x v="277"/>
      <x v="23"/>
      <x v="281"/>
    </i>
    <i r="2">
      <x v="69"/>
      <x v="318"/>
      <x v="307"/>
      <x v="280"/>
      <x v="27"/>
      <x v="293"/>
      <x v="46"/>
      <x v="297"/>
    </i>
    <i r="3">
      <x v="333"/>
      <x v="322"/>
      <x v="295"/>
      <x v="19"/>
      <x v="308"/>
      <x v="46"/>
      <x v="312"/>
    </i>
    <i r="1">
      <x v="6"/>
      <x v="35"/>
      <x v="278"/>
      <x v="273"/>
      <x v="247"/>
      <x v="2"/>
      <x v="258"/>
      <x v="5"/>
      <x v="262"/>
    </i>
    <i r="1">
      <x v="17"/>
      <x v="27"/>
      <x v="269"/>
      <x v="264"/>
      <x v="238"/>
      <x v="16"/>
      <x v="249"/>
      <x v="2"/>
      <x v="253"/>
    </i>
    <i r="2">
      <x v="56"/>
      <x v="303"/>
      <x v="294"/>
      <x v="267"/>
      <x v="8"/>
      <x v="280"/>
      <x v="2"/>
      <x v="284"/>
    </i>
    <i r="3">
      <x v="317"/>
      <x v="306"/>
      <x v="279"/>
      <x v="26"/>
      <x v="292"/>
      <x v="2"/>
      <x v="296"/>
    </i>
    <i r="1">
      <x v="21"/>
      <x v="5"/>
      <x v="362"/>
      <x v="351"/>
      <x v="324"/>
      <x v="29"/>
      <x v="338"/>
      <x v="12"/>
      <x v="341"/>
    </i>
    <i r="2">
      <x v="8"/>
      <x v="299"/>
      <x v="290"/>
      <x v="263"/>
      <x v="18"/>
      <x v="276"/>
      <x v="7"/>
      <x v="280"/>
    </i>
    <i r="2">
      <x v="11"/>
      <x v="350"/>
      <x v="339"/>
      <x v="312"/>
      <x v="6"/>
      <x v="326"/>
      <x v="12"/>
      <x v="329"/>
    </i>
    <i r="2">
      <x v="15"/>
      <x v="302"/>
      <x v="293"/>
      <x v="266"/>
      <x v="16"/>
      <x v="279"/>
      <x v="12"/>
      <x v="283"/>
    </i>
    <i r="2">
      <x v="36"/>
      <x v="325"/>
      <x v="314"/>
      <x v="287"/>
      <x v="10"/>
      <x v="300"/>
      <x v="12"/>
      <x v="304"/>
    </i>
    <i r="1">
      <x v="23"/>
      <x v="52"/>
      <x v="214"/>
      <x v="209"/>
      <x v="187"/>
      <x v="3"/>
      <x v="194"/>
      <x v="35"/>
      <x v="198"/>
    </i>
    <i>
      <x v="3"/>
      <x/>
      <x v="14"/>
      <x v="204"/>
      <x v="199"/>
      <x v="178"/>
      <x v="2"/>
      <x v="184"/>
      <x v="10"/>
      <x v="188"/>
    </i>
    <i r="2">
      <x v="31"/>
      <x v="315"/>
      <x v="126"/>
      <x v="124"/>
      <x v="6"/>
      <x v="126"/>
      <x v="21"/>
      <x v="130"/>
    </i>
    <i r="2">
      <x v="77"/>
      <x v="390"/>
      <x v="378"/>
      <x v="351"/>
      <x v="33"/>
      <x v="366"/>
      <x v="51"/>
      <x v="368"/>
    </i>
    <i r="1">
      <x v="1"/>
      <x v="23"/>
      <x v="234"/>
      <x v="229"/>
      <x v="205"/>
      <x v="10"/>
      <x v="214"/>
      <x v="5"/>
      <x v="218"/>
    </i>
    <i r="3">
      <x v="238"/>
      <x v="233"/>
      <x v="83"/>
      <x v="3"/>
      <x v="218"/>
      <x v="5"/>
      <x v="222"/>
    </i>
    <i r="3">
      <x v="243"/>
      <x v="238"/>
      <x v="213"/>
      <x v="6"/>
      <x v="223"/>
      <x v="5"/>
      <x v="227"/>
    </i>
    <i r="3">
      <x v="376"/>
      <x v="365"/>
      <x v="172"/>
      <x v="6"/>
      <x v="352"/>
      <x v="5"/>
      <x v="355"/>
    </i>
    <i r="2">
      <x v="25"/>
      <x v="235"/>
      <x v="230"/>
      <x v="206"/>
      <x v="6"/>
      <x v="215"/>
      <x v="1"/>
      <x v="219"/>
    </i>
    <i r="3">
      <x v="237"/>
      <x v="232"/>
      <x v="208"/>
      <x v="6"/>
      <x v="217"/>
      <x v="5"/>
      <x v="221"/>
    </i>
    <i r="2">
      <x v="29"/>
      <x v="205"/>
      <x v="200"/>
      <x v="179"/>
      <x v="3"/>
      <x v="185"/>
      <x v="11"/>
      <x v="189"/>
    </i>
    <i r="3">
      <x v="208"/>
      <x v="203"/>
      <x v="182"/>
      <x v="6"/>
      <x v="188"/>
      <x v="5"/>
      <x v="192"/>
    </i>
    <i r="1">
      <x v="4"/>
      <x v="9"/>
      <x v="203"/>
      <x v="198"/>
      <x v="177"/>
      <x v="15"/>
      <x v="183"/>
      <x v="11"/>
      <x v="187"/>
    </i>
    <i r="2">
      <x v="69"/>
      <x v="334"/>
      <x v="371"/>
      <x v="296"/>
      <x v="11"/>
      <x v="309"/>
      <x v="5"/>
      <x v="313"/>
    </i>
    <i r="1">
      <x v="6"/>
      <x v="35"/>
      <x v="248"/>
      <x v="243"/>
      <x v="218"/>
      <x v="3"/>
      <x v="228"/>
      <x v="1"/>
      <x v="232"/>
    </i>
    <i r="1">
      <x v="17"/>
      <x v="39"/>
      <x v="363"/>
      <x v="352"/>
      <x v="325"/>
      <x v="28"/>
      <x v="339"/>
      <x v="2"/>
      <x v="342"/>
    </i>
    <i r="2">
      <x v="55"/>
      <x v="226"/>
      <x v="221"/>
      <x v="123"/>
      <x v="2"/>
      <x v="206"/>
      <x v="40"/>
      <x v="210"/>
    </i>
    <i r="3">
      <x v="230"/>
      <x v="225"/>
      <x v="201"/>
      <x v="8"/>
      <x v="210"/>
      <x v="40"/>
      <x v="214"/>
    </i>
    <i r="2">
      <x v="56"/>
      <x v="256"/>
      <x v="251"/>
      <x v="226"/>
      <x v="8"/>
      <x v="236"/>
      <x v="2"/>
      <x v="240"/>
    </i>
    <i r="3">
      <x v="259"/>
      <x v="254"/>
      <x v="228"/>
      <x v="6"/>
      <x v="239"/>
      <x v="2"/>
      <x v="243"/>
    </i>
    <i r="3">
      <x v="262"/>
      <x v="257"/>
      <x v="231"/>
      <x v="6"/>
      <x v="242"/>
      <x v="2"/>
      <x v="246"/>
    </i>
    <i r="1">
      <x v="21"/>
      <x v="5"/>
      <x v="276"/>
      <x v="271"/>
      <x v="245"/>
      <x v="22"/>
      <x v="256"/>
      <x v="12"/>
      <x v="260"/>
    </i>
    <i r="2">
      <x v="11"/>
      <x v="357"/>
      <x v="346"/>
      <x v="319"/>
      <x v="6"/>
      <x v="333"/>
      <x v="12"/>
      <x v="336"/>
    </i>
    <i r="2">
      <x v="15"/>
      <x v="319"/>
      <x v="308"/>
      <x v="281"/>
      <x v="22"/>
      <x v="294"/>
      <x v="12"/>
      <x v="298"/>
    </i>
    <i>
      <x v="4"/>
      <x/>
      <x v="14"/>
      <x v="267"/>
      <x v="262"/>
      <x v="236"/>
      <x v="21"/>
      <x v="247"/>
      <x v="10"/>
      <x v="251"/>
    </i>
    <i r="2">
      <x v="24"/>
      <x v="273"/>
      <x v="268"/>
      <x v="242"/>
      <x v="7"/>
      <x v="253"/>
      <x v="10"/>
      <x v="257"/>
    </i>
    <i r="1">
      <x v="1"/>
      <x v="20"/>
      <x v="290"/>
      <x v="283"/>
      <x v="257"/>
      <x v="6"/>
      <x v="269"/>
      <x v="11"/>
      <x v="272"/>
    </i>
    <i r="3">
      <x v="377"/>
      <x v="366"/>
      <x v="338"/>
      <x v="8"/>
      <x v="353"/>
      <x v="11"/>
      <x v="356"/>
    </i>
    <i r="2">
      <x v="23"/>
      <x v="239"/>
      <x v="234"/>
      <x v="209"/>
      <x v="6"/>
      <x v="219"/>
      <x v="42"/>
      <x v="223"/>
    </i>
    <i r="3">
      <x v="242"/>
      <x v="237"/>
      <x v="212"/>
      <x v="10"/>
      <x v="222"/>
      <x v="1"/>
      <x v="226"/>
    </i>
    <i r="2">
      <x v="25"/>
      <x v="322"/>
      <x v="311"/>
      <x v="284"/>
      <x v="8"/>
      <x v="297"/>
      <x v="11"/>
      <x v="301"/>
    </i>
    <i r="3">
      <x v="324"/>
      <x v="313"/>
      <x v="286"/>
      <x v="6"/>
      <x v="299"/>
      <x v="7"/>
      <x v="303"/>
    </i>
    <i r="3">
      <x v="337"/>
      <x v="326"/>
      <x v="299"/>
      <x v="6"/>
      <x v="312"/>
      <x v="7"/>
      <x v="316"/>
    </i>
    <i r="1">
      <x v="4"/>
      <x v="17"/>
      <x v="272"/>
      <x v="267"/>
      <x v="241"/>
      <x v="1"/>
      <x v="252"/>
      <x v="44"/>
      <x v="256"/>
    </i>
    <i r="2">
      <x v="69"/>
      <x v="342"/>
      <x v="331"/>
      <x v="304"/>
      <x v="23"/>
      <x v="317"/>
      <x v="46"/>
      <x v="321"/>
    </i>
    <i r="1">
      <x v="6"/>
      <x v="43"/>
      <x v="212"/>
      <x v="207"/>
      <x v="185"/>
      <x v="7"/>
      <x v="192"/>
      <x v="7"/>
      <x v="196"/>
    </i>
    <i r="3">
      <x v="213"/>
      <x v="208"/>
      <x v="186"/>
      <x v="6"/>
      <x v="193"/>
      <x v="5"/>
      <x v="197"/>
    </i>
    <i r="3">
      <x v="216"/>
      <x v="211"/>
      <x v="189"/>
      <x v="10"/>
      <x v="196"/>
      <x v="12"/>
      <x v="200"/>
    </i>
    <i r="1">
      <x v="17"/>
      <x v="32"/>
      <x v="353"/>
      <x v="342"/>
      <x v="315"/>
      <x v="18"/>
      <x v="329"/>
      <x v="2"/>
      <x v="332"/>
    </i>
    <i r="2">
      <x v="55"/>
      <x v="225"/>
      <x v="220"/>
      <x v="145"/>
      <x v="3"/>
      <x v="205"/>
      <x v="38"/>
      <x v="209"/>
    </i>
    <i r="3">
      <x v="227"/>
      <x v="222"/>
      <x v="198"/>
      <x v="8"/>
      <x v="207"/>
      <x v="40"/>
      <x v="211"/>
    </i>
    <i r="3">
      <x v="228"/>
      <x v="223"/>
      <x v="199"/>
      <x v="10"/>
      <x v="208"/>
      <x v="2"/>
      <x v="212"/>
    </i>
    <i r="3">
      <x v="251"/>
      <x v="246"/>
      <x v="221"/>
      <x v="3"/>
      <x v="231"/>
      <x v="40"/>
      <x v="235"/>
    </i>
    <i r="2">
      <x v="56"/>
      <x v="261"/>
      <x v="256"/>
      <x v="230"/>
      <x v="10"/>
      <x v="241"/>
      <x v="2"/>
      <x v="245"/>
    </i>
    <i r="1">
      <x v="21"/>
      <x v="5"/>
      <x v="252"/>
      <x v="247"/>
      <x v="222"/>
      <x v="20"/>
      <x v="232"/>
      <x v="12"/>
      <x v="236"/>
    </i>
    <i r="2">
      <x v="8"/>
      <x v="210"/>
      <x v="205"/>
      <x v="179"/>
      <x v="3"/>
      <x v="190"/>
      <x v="12"/>
      <x v="194"/>
    </i>
    <i r="2">
      <x v="11"/>
      <x v="312"/>
      <x v="302"/>
      <x v="275"/>
      <x v="17"/>
      <x v="288"/>
      <x v="7"/>
      <x v="292"/>
    </i>
    <i r="3">
      <x v="349"/>
      <x v="338"/>
      <x v="311"/>
      <x v="6"/>
      <x v="325"/>
      <x v="12"/>
      <x v="328"/>
    </i>
    <i r="2">
      <x v="15"/>
      <x v="328"/>
      <x v="317"/>
      <x v="290"/>
      <x v="19"/>
      <x v="303"/>
      <x v="12"/>
      <x v="307"/>
    </i>
    <i>
      <x v="5"/>
      <x/>
      <x v="2"/>
      <x v="370"/>
      <x v="359"/>
      <x v="332"/>
      <x v="3"/>
      <x v="346"/>
      <x v="10"/>
      <x v="349"/>
    </i>
    <i r="2">
      <x v="14"/>
      <x v="339"/>
      <x v="328"/>
      <x v="301"/>
      <x v="5"/>
      <x v="314"/>
      <x v="10"/>
      <x v="318"/>
    </i>
    <i r="1">
      <x v="1"/>
      <x v="23"/>
      <x v="236"/>
      <x v="231"/>
      <x v="207"/>
      <x v="16"/>
      <x v="216"/>
      <x v="42"/>
      <x v="220"/>
    </i>
    <i r="3">
      <x v="240"/>
      <x v="235"/>
      <x v="210"/>
      <x v="6"/>
      <x v="220"/>
      <x v="42"/>
      <x v="224"/>
    </i>
    <i r="3">
      <x v="244"/>
      <x v="239"/>
      <x v="214"/>
      <x v="8"/>
      <x v="224"/>
      <x v="5"/>
      <x v="228"/>
    </i>
    <i r="2">
      <x v="25"/>
      <x v="358"/>
      <x v="347"/>
      <x v="320"/>
      <x v="2"/>
      <x v="334"/>
      <x v="5"/>
      <x v="337"/>
    </i>
    <i r="3">
      <x v="360"/>
      <x v="349"/>
      <x v="322"/>
      <x v="2"/>
      <x v="336"/>
      <x v="11"/>
      <x v="339"/>
    </i>
    <i r="2">
      <x v="29"/>
      <x v="206"/>
      <x v="201"/>
      <x v="180"/>
      <x v="4"/>
      <x v="186"/>
      <x v="1"/>
      <x v="190"/>
    </i>
    <i r="3">
      <x v="250"/>
      <x v="245"/>
      <x v="220"/>
      <x v="4"/>
      <x v="230"/>
      <x v="5"/>
      <x v="234"/>
    </i>
    <i r="1">
      <x v="4"/>
      <x v="9"/>
      <x v="231"/>
      <x v="226"/>
      <x v="202"/>
      <x v="1"/>
      <x v="211"/>
      <x v="11"/>
      <x v="215"/>
    </i>
    <i r="3">
      <x v="249"/>
      <x v="244"/>
      <x v="219"/>
      <x v="19"/>
      <x v="229"/>
      <x v="11"/>
      <x v="233"/>
    </i>
    <i r="2">
      <x v="16"/>
      <x v="355"/>
      <x v="344"/>
      <x v="317"/>
      <x v="7"/>
      <x v="331"/>
      <x v="11"/>
      <x v="334"/>
    </i>
    <i r="1">
      <x v="6"/>
      <x v="19"/>
      <x v="326"/>
      <x v="315"/>
      <x v="288"/>
      <x v="3"/>
      <x v="301"/>
      <x v="5"/>
      <x v="305"/>
    </i>
    <i r="2">
      <x v="43"/>
      <x v="270"/>
      <x v="265"/>
      <x v="239"/>
      <x v="6"/>
      <x v="250"/>
      <x v="7"/>
      <x v="254"/>
    </i>
    <i r="1">
      <x v="17"/>
      <x v="27"/>
      <x v="373"/>
      <x v="362"/>
      <x v="335"/>
      <x v="3"/>
      <x v="349"/>
      <x v="2"/>
      <x v="352"/>
    </i>
    <i r="2">
      <x v="56"/>
      <x v="316"/>
      <x v="305"/>
      <x v="278"/>
      <x v="6"/>
      <x v="291"/>
      <x v="2"/>
      <x v="295"/>
    </i>
    <i r="3">
      <x v="366"/>
      <x v="355"/>
      <x v="328"/>
      <x v="2"/>
      <x v="342"/>
      <x v="2"/>
      <x v="345"/>
    </i>
    <i r="1">
      <x v="20"/>
      <x v="54"/>
      <x v="219"/>
      <x v="214"/>
      <x v="192"/>
      <x v="18"/>
      <x v="199"/>
      <x v="37"/>
      <x v="203"/>
    </i>
    <i r="1">
      <x v="21"/>
      <x/>
      <x v="391"/>
      <x v="118"/>
      <x v="116"/>
      <x v="2"/>
      <x v="118"/>
      <x v="12"/>
      <x v="122"/>
    </i>
    <i r="2">
      <x v="5"/>
      <x v="389"/>
      <x v="377"/>
      <x v="350"/>
      <x v="22"/>
      <x v="365"/>
      <x v="12"/>
      <x v="367"/>
    </i>
    <i r="2">
      <x v="8"/>
      <x v="34"/>
      <x v="30"/>
      <x v="2"/>
      <x v="1"/>
      <x v="33"/>
      <x v="12"/>
      <x v="26"/>
    </i>
    <i r="2">
      <x v="36"/>
      <x v="298"/>
      <x v="289"/>
      <x v="262"/>
      <x v="3"/>
      <x v="275"/>
      <x v="12"/>
      <x v="279"/>
    </i>
    <i r="3">
      <x v="323"/>
      <x v="312"/>
      <x v="285"/>
      <x v="3"/>
      <x v="298"/>
      <x v="7"/>
      <x v="302"/>
    </i>
    <i r="3">
      <x v="368"/>
      <x v="357"/>
      <x v="330"/>
      <x v="20"/>
      <x v="344"/>
      <x v="7"/>
      <x v="347"/>
    </i>
    <i r="1">
      <x v="22"/>
      <x v="79"/>
      <x v="340"/>
      <x v="329"/>
      <x v="302"/>
      <x v="2"/>
      <x v="315"/>
      <x v="31"/>
      <x v="319"/>
    </i>
    <i r="1">
      <x v="23"/>
      <x v="52"/>
      <x v="215"/>
      <x v="210"/>
      <x v="188"/>
      <x v="9"/>
      <x v="195"/>
      <x v="35"/>
      <x v="199"/>
    </i>
    <i>
      <x v="6"/>
      <x/>
      <x v="14"/>
      <x v="330"/>
      <x v="319"/>
      <x v="292"/>
      <x v="8"/>
      <x v="305"/>
      <x v="10"/>
      <x v="309"/>
    </i>
    <i r="3">
      <x v="332"/>
      <x v="321"/>
      <x v="294"/>
      <x v="13"/>
      <x v="307"/>
      <x v="10"/>
      <x v="311"/>
    </i>
    <i r="3">
      <x v="335"/>
      <x v="324"/>
      <x v="297"/>
      <x v="27"/>
      <x v="310"/>
      <x v="10"/>
      <x v="314"/>
    </i>
    <i r="2">
      <x v="24"/>
      <x v="257"/>
      <x v="252"/>
      <x v="227"/>
      <x v="8"/>
      <x v="237"/>
      <x v="10"/>
      <x v="241"/>
    </i>
    <i r="3">
      <x v="265"/>
      <x v="260"/>
      <x v="234"/>
      <x v="2"/>
      <x v="245"/>
      <x v="10"/>
      <x v="249"/>
    </i>
    <i r="1">
      <x v="1"/>
      <x v="23"/>
      <x v="221"/>
      <x v="216"/>
      <x v="194"/>
      <x v="8"/>
      <x v="201"/>
      <x v="12"/>
      <x v="205"/>
    </i>
    <i r="3">
      <x v="224"/>
      <x v="380"/>
      <x v="197"/>
      <x v="10"/>
      <x v="204"/>
      <x v="1"/>
      <x v="208"/>
    </i>
    <i r="3">
      <x v="268"/>
      <x v="263"/>
      <x v="237"/>
      <x v="8"/>
      <x v="248"/>
      <x v="5"/>
      <x v="252"/>
    </i>
    <i r="2">
      <x v="25"/>
      <x v="331"/>
      <x v="320"/>
      <x v="293"/>
      <x v="6"/>
      <x v="306"/>
      <x v="7"/>
      <x v="310"/>
    </i>
    <i r="3">
      <x v="341"/>
      <x v="330"/>
      <x v="303"/>
      <x v="6"/>
      <x v="316"/>
      <x v="5"/>
      <x v="320"/>
    </i>
    <i r="3">
      <x v="356"/>
      <x v="345"/>
      <x v="318"/>
      <x v="20"/>
      <x v="332"/>
      <x v="12"/>
      <x v="335"/>
    </i>
    <i r="2">
      <x v="29"/>
      <x v="293"/>
      <x v="286"/>
      <x v="78"/>
      <x v="3"/>
      <x v="272"/>
      <x v="5"/>
      <x v="275"/>
    </i>
    <i r="1">
      <x v="4"/>
      <x v="9"/>
      <x v="232"/>
      <x v="227"/>
      <x v="203"/>
      <x v="5"/>
      <x v="212"/>
      <x v="41"/>
      <x v="216"/>
    </i>
    <i r="2">
      <x v="18"/>
      <x v="392"/>
      <x v="379"/>
      <x v="22"/>
      <x v="2"/>
      <x v="368"/>
      <x v="23"/>
      <x v="369"/>
    </i>
    <i r="2">
      <x v="69"/>
      <x v="346"/>
      <x v="335"/>
      <x v="308"/>
      <x v="7"/>
      <x v="321"/>
      <x v="11"/>
      <x v="325"/>
    </i>
    <i r="1">
      <x v="6"/>
      <x v="35"/>
      <x v="247"/>
      <x v="242"/>
      <x v="217"/>
      <x v="10"/>
      <x v="227"/>
      <x v="7"/>
      <x v="231"/>
    </i>
    <i r="2">
      <x v="43"/>
      <x v="217"/>
      <x v="212"/>
      <x v="190"/>
      <x v="10"/>
      <x v="197"/>
      <x v="5"/>
      <x v="201"/>
    </i>
    <i r="1">
      <x v="17"/>
      <x v="39"/>
      <x v="380"/>
      <x v="369"/>
      <x v="341"/>
      <x v="15"/>
      <x v="357"/>
      <x v="2"/>
      <x v="359"/>
    </i>
    <i r="2">
      <x v="55"/>
      <x v="254"/>
      <x v="249"/>
      <x v="224"/>
      <x v="10"/>
      <x v="234"/>
      <x v="40"/>
      <x v="238"/>
    </i>
    <i r="3">
      <x v="260"/>
      <x v="255"/>
      <x v="229"/>
      <x v="8"/>
      <x v="240"/>
      <x v="40"/>
      <x v="244"/>
    </i>
    <i r="2">
      <x v="56"/>
      <x v="263"/>
      <x v="258"/>
      <x v="232"/>
      <x v="10"/>
      <x v="243"/>
      <x v="2"/>
      <x v="247"/>
    </i>
    <i r="3">
      <x v="264"/>
      <x v="259"/>
      <x v="233"/>
      <x v="8"/>
      <x v="244"/>
      <x v="5"/>
      <x v="248"/>
    </i>
    <i r="3">
      <x v="313"/>
      <x v="303"/>
      <x v="276"/>
      <x v="3"/>
      <x v="289"/>
      <x v="2"/>
      <x v="293"/>
    </i>
    <i r="1">
      <x v="21"/>
      <x v="5"/>
      <x v="280"/>
      <x v="275"/>
      <x v="249"/>
      <x v="19"/>
      <x v="260"/>
      <x v="1"/>
      <x v="264"/>
    </i>
    <i r="2">
      <x v="8"/>
      <x v="288"/>
      <x v="281"/>
      <x v="255"/>
      <x v="22"/>
      <x v="267"/>
      <x v="7"/>
      <x v="270"/>
    </i>
    <i r="2">
      <x v="36"/>
      <x v="367"/>
      <x v="356"/>
      <x v="329"/>
      <x v="6"/>
      <x v="343"/>
      <x v="12"/>
      <x v="346"/>
    </i>
    <i t="grand">
      <x/>
    </i>
  </rowItems>
  <colItems count="1">
    <i/>
  </colItems>
  <pageFields count="3">
    <pageField fld="8" hier="-1"/>
    <pageField fld="29" hier="-1"/>
    <pageField fld="28" hier="-1"/>
  </pageFields>
  <dataFields count="1">
    <dataField name="N° Part." fld="27" baseField="0" baseItem="0"/>
  </dataFields>
  <formats count="10">
    <format dxfId="14">
      <pivotArea field="10" type="button" dataOnly="0" labelOnly="1" outline="0" axis="axisRow" fieldPosition="0"/>
    </format>
    <format dxfId="13">
      <pivotArea field="11" type="button" dataOnly="0" labelOnly="1" outline="0" axis="axisRow" fieldPosition="1"/>
    </format>
    <format dxfId="12">
      <pivotArea field="9" type="button" dataOnly="0" labelOnly="1" outline="0" axis="axisRow" fieldPosition="2"/>
    </format>
    <format dxfId="11">
      <pivotArea field="2" type="button" dataOnly="0" labelOnly="1" outline="0" axis="axisRow" fieldPosition="3"/>
    </format>
    <format dxfId="10">
      <pivotArea field="0" type="button" dataOnly="0" labelOnly="1" outline="0" axis="axisRow" fieldPosition="4"/>
    </format>
    <format dxfId="9">
      <pivotArea field="1" type="button" dataOnly="0" labelOnly="1" outline="0" axis="axisRow" fieldPosition="7"/>
    </format>
    <format dxfId="8">
      <pivotArea field="5" type="button" dataOnly="0" labelOnly="1" outline="0" axis="axisRow" fieldPosition="8"/>
    </format>
    <format dxfId="7">
      <pivotArea field="7" type="button" dataOnly="0" labelOnly="1" outline="0" axis="axisRow" fieldPosition="9"/>
    </format>
    <format dxfId="6">
      <pivotArea dataOnly="0" labelOnly="1" outline="0" axis="axisValues" fieldPosition="0"/>
    </format>
    <format dxfId="5">
      <pivotArea field="3" type="button" dataOnly="0" labelOnly="1" outline="0" axis="axisRow" fieldPosition="5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AA11B1-B00E-4D90-93EE-93C50D8F419B}" name="TablaDinámica3" cacheId="4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ateriales e Insumos">
  <location ref="J3:L61" firstHeaderRow="0" firstDataRow="1" firstDataCol="1" rowPageCount="1" colPageCount="1"/>
  <pivotFields count="9">
    <pivotField axis="axisPage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 sortType="ascending">
      <items count="63">
        <item x="25"/>
        <item x="21"/>
        <item x="26"/>
        <item x="44"/>
        <item x="49"/>
        <item x="51"/>
        <item x="37"/>
        <item x="30"/>
        <item x="34"/>
        <item x="23"/>
        <item x="42"/>
        <item x="55"/>
        <item x="46"/>
        <item x="7"/>
        <item m="1" x="61"/>
        <item x="45"/>
        <item x="56"/>
        <item m="1" x="60"/>
        <item x="17"/>
        <item x="50"/>
        <item x="8"/>
        <item x="12"/>
        <item x="47"/>
        <item x="54"/>
        <item x="20"/>
        <item x="32"/>
        <item x="6"/>
        <item x="1"/>
        <item x="41"/>
        <item x="31"/>
        <item x="22"/>
        <item m="1" x="59"/>
        <item x="48"/>
        <item x="28"/>
        <item x="40"/>
        <item x="18"/>
        <item x="19"/>
        <item x="27"/>
        <item x="0"/>
        <item x="4"/>
        <item x="2"/>
        <item x="29"/>
        <item x="3"/>
        <item x="9"/>
        <item x="10"/>
        <item x="11"/>
        <item x="13"/>
        <item x="35"/>
        <item x="33"/>
        <item x="16"/>
        <item x="14"/>
        <item x="39"/>
        <item x="15"/>
        <item x="38"/>
        <item m="1" x="58"/>
        <item x="24"/>
        <item x="36"/>
        <item x="5"/>
        <item x="52"/>
        <item m="1" x="57"/>
        <item x="43"/>
        <item x="53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dragToRow="0" dragToCol="0" dragToPage="0" showAll="0" defaultSubtotal="0"/>
  </pivotFields>
  <rowFields count="1">
    <field x="1"/>
  </rowFields>
  <rowItems count="5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60"/>
    </i>
    <i>
      <x v="61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ant." fld="3" baseField="1" baseItem="10" numFmtId="3"/>
    <dataField name="Total ($)" fld="5" baseField="1" baseItem="6" numFmtId="4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4" xr16:uid="{32EB84DE-1A55-4211-A05E-373618177FAB}" autoFormatId="16" applyNumberFormats="0" applyBorderFormats="0" applyFontFormats="0" applyPatternFormats="0" applyAlignmentFormats="0" applyWidthHeightFormats="0">
  <queryTableRefresh nextId="20">
    <queryTableFields count="19">
      <queryTableField id="1" name="RUN" tableColumnId="1"/>
      <queryTableField id="2" name="CORREO" tableColumnId="2"/>
      <queryTableField id="3" name="NOMBRE" tableColumnId="3"/>
      <queryTableField id="4" name="FECHA_NAC" tableColumnId="4"/>
      <queryTableField id="5" name="DIRECCION" tableColumnId="5"/>
      <queryTableField id="6" name="COMUNA" tableColumnId="6"/>
      <queryTableField id="7" name="TIPO_FONO" tableColumnId="7"/>
      <queryTableField id="8" name="FONO" tableColumnId="8"/>
      <queryTableField id="9" name="GRUPO" tableColumnId="9"/>
      <queryTableField id="10" name="DISTRITO" tableColumnId="10"/>
      <queryTableField id="11" name="NIVEL" tableColumnId="11"/>
      <queryTableField id="12" name="NUMERO_MMAA" tableColumnId="12"/>
      <queryTableField id="13" name="RAMA_MEDIO" tableColumnId="13"/>
      <queryTableField id="14" name="RAMA_AVANZADO" tableColumnId="14"/>
      <queryTableField id="15" name="HABIL_I" tableColumnId="15"/>
      <queryTableField id="16" name="HABIL_II" tableColumnId="16"/>
      <queryTableField id="17" name="VERIFICADOR" tableColumnId="17"/>
      <queryTableField id="18" name="INSTITUCIONAL" tableColumnId="18"/>
      <queryTableField id="19" name="CUENTA" tableColumnId="19"/>
    </queryTableFields>
  </queryTableRefresh>
  <extLst>
    <ext xmlns:x15="http://schemas.microsoft.com/office/spreadsheetml/2010/11/main" uri="{883FBD77-0823-4a55-B5E3-86C4891E6966}">
      <x15:queryTable sourceDataName="Consulta - BBDD_Formador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backgroundRefresh="0" connectionId="5" xr16:uid="{71DCAE9A-8270-4601-8660-7F79B44F348D}" autoFormatId="16" applyNumberFormats="0" applyBorderFormats="0" applyFontFormats="0" applyPatternFormats="0" applyAlignmentFormats="0" applyWidthHeightFormats="0">
  <queryTableRefresh nextId="38">
    <queryTableFields count="37">
      <queryTableField id="1" name="RUN" tableColumnId="1"/>
      <queryTableField id="2" name="FECHA_HORA" tableColumnId="2"/>
      <queryTableField id="3" name="EMAIL" tableColumnId="3"/>
      <queryTableField id="4" name="NOMBRE" tableColumnId="4"/>
      <queryTableField id="5" name="FECHA_NAC" tableColumnId="5"/>
      <queryTableField id="6" name="DIRECCION" tableColumnId="6"/>
      <queryTableField id="7" name="COMUNA" tableColumnId="7"/>
      <queryTableField id="8" name="TIPO_FONO" tableColumnId="8"/>
      <queryTableField id="9" name="FONO" tableColumnId="9"/>
      <queryTableField id="10" name="ROL" tableColumnId="10"/>
      <queryTableField id="11" name="GRUPO" tableColumnId="11"/>
      <queryTableField id="12" name="RAMA" tableColumnId="12"/>
      <queryTableField id="13" name="CARGO" tableColumnId="13"/>
      <queryTableField id="14" name="TIEMPO_UNIDAD" tableColumnId="14"/>
      <queryTableField id="15" name="DISTRITO" tableColumnId="15"/>
      <queryTableField id="16" name="NIVEL" tableColumnId="16"/>
      <queryTableField id="17" name="NUM_MMAA" tableColumnId="17"/>
      <queryTableField id="18" name="RAMA_NIVEL_MEDIO" tableColumnId="18"/>
      <queryTableField id="19" name="RAMA_NIVEL_AVANZADO" tableColumnId="19"/>
      <queryTableField id="20" name="ALIMENTACION" tableColumnId="20"/>
      <queryTableField id="21" name="ALERGIA" tableColumnId="21"/>
      <queryTableField id="22" name="LIMITACION" tableColumnId="22"/>
      <queryTableField id="23" name="EMERGENCIA" tableColumnId="23"/>
      <queryTableField id="24" name="PATENTE_VEHICULO" tableColumnId="24"/>
      <queryTableField id="25" name="MARCA_VEHICULO" tableColumnId="25"/>
      <queryTableField id="26" name="MODELO_VEHICULO" tableColumnId="26"/>
      <queryTableField id="27" name="CONSIDERACION" tableColumnId="27"/>
      <queryTableField id="28" name="ALOJAMIENTO" tableColumnId="28"/>
      <queryTableField id="29" name="PROFESION" tableColumnId="29"/>
      <queryTableField id="30" name="TIEMPO_BENEFICIARIO" tableColumnId="30"/>
      <queryTableField id="31" name="TRABAJO_NNAJ" tableColumnId="31"/>
      <queryTableField id="32" name="ESTADO_CIVIL" tableColumnId="32"/>
      <queryTableField id="33" name="RELIGION" tableColumnId="33"/>
      <queryTableField id="34" name="APODO" tableColumnId="34"/>
      <queryTableField id="35" name="CUOTA" tableColumnId="35"/>
      <queryTableField id="36" name="FICHA_MEDICA" tableColumnId="36"/>
      <queryTableField id="37" name="EDAD" tableColumnId="37"/>
    </queryTableFields>
  </queryTableRefresh>
  <extLst>
    <ext xmlns:x15="http://schemas.microsoft.com/office/spreadsheetml/2010/11/main" uri="{883FBD77-0823-4a55-B5E3-86C4891E6966}">
      <x15:queryTable sourceDataName="Consulta - BBDD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23B605B4-1E85-48C4-8447-C25BCD4A06EC}" autoFormatId="16" applyNumberFormats="0" applyBorderFormats="0" applyFontFormats="0" applyPatternFormats="0" applyAlignmentFormats="0" applyWidthHeightFormats="0">
  <queryTableRefresh nextId="10">
    <queryTableFields count="9">
      <queryTableField id="1" name="RUT" tableColumnId="1"/>
      <queryTableField id="2" name="EMail" tableColumnId="2"/>
      <queryTableField id="3" name="Nombre_Completo" tableColumnId="3"/>
      <queryTableField id="4" name="Grupo" tableColumnId="4"/>
      <queryTableField id="5" name="Distrito" tableColumnId="5"/>
      <queryTableField id="6" name="Comuna" tableColumnId="6"/>
      <queryTableField id="7" name="Cuota N° 1" tableColumnId="7"/>
      <queryTableField id="8" name="Cuota N° 2" tableColumnId="8"/>
      <queryTableField id="9" name="Cuota N° 3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1" xr10:uid="{375FAD47-0B60-449A-94E9-DBA03A7CD176}" sourceName="ESTADO">
  <pivotTables>
    <pivotTable tabId="15" name="TablaDinámica3"/>
  </pivotTables>
  <data>
    <tabular pivotCacheId="1619521275" showMissing="0">
      <items count="7">
        <i x="1" s="1"/>
        <i x="0" s="1"/>
        <i x="2" s="1" nd="1"/>
        <i x="3" s="1" nd="1"/>
        <i x="4" s="1" nd="1"/>
        <i x="6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OL1" xr10:uid="{22468DB0-B60F-4B3C-BB3B-45218F30219A}" sourceName="ROL">
  <pivotTables>
    <pivotTable tabId="15" name="TablaDinámica3"/>
  </pivotTables>
  <data>
    <tabular pivotCacheId="1619521275" showMissing="0">
      <items count="7">
        <i x="2" s="1"/>
        <i x="5" s="1"/>
        <i x="4" s="1"/>
        <i x="3" s="1"/>
        <i x="1" s="1"/>
        <i x="0" s="1"/>
        <i x="6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TRITO" xr10:uid="{A11EF44D-AB11-4616-83E1-B377DD819488}" sourceName="DISTRITO">
  <pivotTables>
    <pivotTable tabId="15" name="TablaDinámica3"/>
  </pivotTables>
  <data>
    <tabular pivotCacheId="1619521275" showMissing="0">
      <items count="24">
        <i x="1" s="1"/>
        <i x="2" s="1"/>
        <i x="10" s="1"/>
        <i x="9" s="1"/>
        <i x="12" s="1"/>
        <i x="0" s="1"/>
        <i x="4" s="1"/>
        <i x="3" s="1"/>
        <i x="11" s="1"/>
        <i x="7" s="1"/>
        <i x="6" s="1"/>
        <i x="5" s="1"/>
        <i x="8" s="1"/>
        <i x="16" s="1" nd="1"/>
        <i x="21" s="1" nd="1"/>
        <i x="23" s="1" nd="1"/>
        <i x="14" s="1" nd="1"/>
        <i x="20" s="1" nd="1"/>
        <i x="19" s="1" nd="1"/>
        <i x="17" s="1" nd="1"/>
        <i x="15" s="1" nd="1"/>
        <i x="13" s="1" nd="1"/>
        <i x="22" s="1" nd="1"/>
        <i x="18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VISADO1" xr10:uid="{FA5FD1A4-0D6C-4966-A56D-1683F0FAD16A}" sourceName="AVISADO">
  <pivotTables>
    <pivotTable tabId="15" name="TablaDinámica3"/>
  </pivotTables>
  <data>
    <tabular pivotCacheId="1619521275" showMissing="0">
      <items count="11">
        <i x="0" s="1"/>
        <i x="1" s="1"/>
        <i x="5" s="1" nd="1"/>
        <i x="10" s="1" nd="1"/>
        <i x="8" s="1" nd="1"/>
        <i x="7" s="1" nd="1"/>
        <i x="4" s="1" nd="1"/>
        <i x="6" s="1" nd="1"/>
        <i x="2" s="1" nd="1"/>
        <i x="9" s="1" nd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 1" xr10:uid="{0C68730D-B3D4-4109-9A2A-AE762B37DDC2}" cache="SegmentaciónDeDatos_ESTADO1" caption="Estado" columnCount="2" rowHeight="180000"/>
  <slicer name="Rol 1" xr10:uid="{7659C79A-9699-4549-A1F7-41BAC0B96C5C}" cache="SegmentaciónDeDatos_ROL1" caption="Rol" columnCount="2" rowHeight="180000"/>
  <slicer name="DISTRITO" xr10:uid="{8E5485B5-3A75-43DA-8000-886024B9366B}" cache="SegmentaciónDeDatos_DISTRITO" caption="Distrito" rowHeight="241300"/>
  <slicer name="AVISADO 1" xr10:uid="{79D44571-4AEB-4136-9FEB-47C1F75FF697}" cache="SegmentaciónDeDatos_AVISADO1" caption="Aviso de Inscripción (Pago Cuota)" columnCount="2" rowHeight="180000"/>
</slicer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2E9B12-2946-4ACD-AB1B-EFC147FD2ED2}" name="T_Avisado" displayName="T_Avisado" ref="A1:A5" totalsRowShown="0">
  <autoFilter ref="A1:A5" xr:uid="{192E9B12-2946-4ACD-AB1B-EFC147FD2ED2}"/>
  <sortState xmlns:xlrd2="http://schemas.microsoft.com/office/spreadsheetml/2017/richdata2" ref="A2:A5">
    <sortCondition ref="A1:A5"/>
  </sortState>
  <tableColumns count="1">
    <tableColumn id="1" xr3:uid="{5D9F36B0-3316-47DB-8E89-50EBF54E2F49}" name="Avisad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F52777-4710-48BE-BCE3-BF46177B9967}" name="T_Rol" displayName="T_Rol" ref="C1:C4" totalsRowShown="0">
  <autoFilter ref="C1:C4" xr:uid="{FCF52777-4710-48BE-BCE3-BF46177B9967}"/>
  <tableColumns count="1">
    <tableColumn id="1" xr3:uid="{76A2ABAD-C4B1-49A6-9C57-A2F4B5E24CD1}" name="Ro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92676E-FFB8-4E28-9114-2138EC2EFEAD}" name="T_TipoRendicion" displayName="T_TipoRendicion" ref="E1:E6" totalsRowShown="0">
  <autoFilter ref="E1:E6" xr:uid="{C192676E-FFB8-4E28-9114-2138EC2EFEAD}"/>
  <sortState xmlns:xlrd2="http://schemas.microsoft.com/office/spreadsheetml/2017/richdata2" ref="E2:E6">
    <sortCondition ref="E1:E6"/>
  </sortState>
  <tableColumns count="1">
    <tableColumn id="1" xr3:uid="{B5BE1732-443A-4F56-B237-22077E832606}" name="Tipo_Rendic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1CBB44-94F4-4300-A83D-DDF21F100014}" name="T_TipoDocto" displayName="T_TipoDocto" ref="G1:G5" totalsRowShown="0">
  <autoFilter ref="G1:G5" xr:uid="{2B1CBB44-94F4-4300-A83D-DDF21F100014}"/>
  <sortState xmlns:xlrd2="http://schemas.microsoft.com/office/spreadsheetml/2017/richdata2" ref="G2:G5">
    <sortCondition ref="G1:G5"/>
  </sortState>
  <tableColumns count="1">
    <tableColumn id="1" xr3:uid="{6305C383-D915-4ACC-9D6C-2C0E4E6B40C0}" name="Tipo_Doc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D0D775-DC74-432D-AB96-AADD6B9BB70E}" name="T_Cargo" displayName="T_Cargo" ref="I1:J26" totalsRowShown="0">
  <autoFilter ref="I1:J26" xr:uid="{52D0D775-DC74-432D-AB96-AADD6B9BB70E}"/>
  <sortState xmlns:xlrd2="http://schemas.microsoft.com/office/spreadsheetml/2017/richdata2" ref="I2:J24">
    <sortCondition ref="J1:J24"/>
  </sortState>
  <tableColumns count="2">
    <tableColumn id="1" xr3:uid="{6210F590-B276-4456-869A-41E3474E4AFE}" name="Cargo"/>
    <tableColumn id="2" xr3:uid="{EDBC09CD-E555-42FE-910E-63F355419A07}" name="Orden" dataDxfId="27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7B4141-81A6-4374-A192-A4392939F457}" name="T_Estado" displayName="T_Estado" ref="L1:L6" totalsRowShown="0">
  <autoFilter ref="L1:L6" xr:uid="{7D7B4141-81A6-4374-A192-A4392939F457}"/>
  <sortState xmlns:xlrd2="http://schemas.microsoft.com/office/spreadsheetml/2017/richdata2" ref="L2:L5">
    <sortCondition ref="L1:L5"/>
  </sortState>
  <tableColumns count="1">
    <tableColumn id="1" xr3:uid="{75B3C10F-4D47-4E53-9F1A-509A32B756D0}" name="Estad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B37B3F-3F84-4847-997F-78D944028A02}" name="T_Cuenta" displayName="T_Cuenta" ref="N1:N3" totalsRowShown="0" headerRowDxfId="269" dataDxfId="268">
  <autoFilter ref="N1:N3" xr:uid="{E1B37B3F-3F84-4847-997F-78D944028A02}"/>
  <tableColumns count="1">
    <tableColumn id="1" xr3:uid="{48A198C5-54FD-4E26-AF79-C691BD0502EB}" name="Cuenta" dataDxfId="2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F462E74-41D9-414B-A722-4D0016C68A1C}" name="T_Asignado" displayName="T_Asignado" ref="P1:P3" totalsRowShown="0">
  <autoFilter ref="P1:P3" xr:uid="{8F462E74-41D9-414B-A722-4D0016C68A1C}"/>
  <tableColumns count="1">
    <tableColumn id="1" xr3:uid="{5D985773-9E89-4F7C-BA9A-EA08FAEAB43F}" name="Asignad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7E8030E-1794-44A8-989A-E31CB13395E7}" name="T_Transporte" displayName="T_Transporte" ref="R1:R3" totalsRowShown="0">
  <autoFilter ref="R1:R3" xr:uid="{77E8030E-1794-44A8-989A-E31CB13395E7}"/>
  <tableColumns count="1">
    <tableColumn id="1" xr3:uid="{324FC25A-D423-4B6C-ABEF-2601845F9674}" name="Transpor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58EC1C6-D728-4148-B4A3-A1D9E8F347E9}" name="T_Cama" displayName="T_Cama" ref="L10:L13" totalsRowShown="0">
  <autoFilter ref="L10:L13" xr:uid="{C58EC1C6-D728-4148-B4A3-A1D9E8F347E9}"/>
  <tableColumns count="1">
    <tableColumn id="1" xr3:uid="{BD13E376-2960-4BD6-B4BB-8BE4A477B3E3}" name="Cam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7A0E25-1C9D-415E-BA9D-DAC43E53689B}" name="T_Registro" displayName="T_Registro" ref="N6:N10" totalsRowShown="0">
  <autoFilter ref="N6:N10" xr:uid="{7F7A0E25-1C9D-415E-BA9D-DAC43E53689B}"/>
  <tableColumns count="1">
    <tableColumn id="1" xr3:uid="{206C84A3-36C3-4036-AEF1-7F5869A6C38A}" name="Registr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58D67D2-FC96-4C31-858F-392E0961F9E3}" name="T_Institucional" displayName="T_Institucional" ref="P6:P9" totalsRowShown="0">
  <autoFilter ref="P6:P9" xr:uid="{F58D67D2-FC96-4C31-858F-392E0961F9E3}"/>
  <sortState xmlns:xlrd2="http://schemas.microsoft.com/office/spreadsheetml/2017/richdata2" ref="P7:P9">
    <sortCondition ref="P6:P9"/>
  </sortState>
  <tableColumns count="1">
    <tableColumn id="1" xr3:uid="{31D76470-1493-4982-B85F-CCE71F0FE108}" name="INSTITUCION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72D2100-8646-41CE-B235-BB2B0804549C}" name="BBDD_Formadores" displayName="BBDD_Formadores" ref="A2:S65" tableType="queryTable" totalsRowShown="0">
  <autoFilter ref="A2:S65" xr:uid="{072D2100-8646-41CE-B235-BB2B0804549C}"/>
  <tableColumns count="19">
    <tableColumn id="1" xr3:uid="{9C8A8A7F-BAB5-4272-8744-DCAAA3B8DF14}" uniqueName="1" name="RUN" queryTableFieldId="1"/>
    <tableColumn id="2" xr3:uid="{78A485EF-6A48-48FD-91BA-1C2918A3DE10}" uniqueName="2" name="CORREO" queryTableFieldId="2"/>
    <tableColumn id="3" xr3:uid="{4952B4B9-EBBE-45D8-969F-160871D39497}" uniqueName="3" name="NOMBRE" queryTableFieldId="3" dataDxfId="266"/>
    <tableColumn id="4" xr3:uid="{D3BD71AD-93CB-4C5D-9338-98CED5D895B2}" uniqueName="4" name="FECHA_NAC" queryTableFieldId="4"/>
    <tableColumn id="5" xr3:uid="{67BB1FBE-2DCA-4938-BA09-457CBDBE5C44}" uniqueName="5" name="DIRECCION" queryTableFieldId="5"/>
    <tableColumn id="6" xr3:uid="{CB224D9C-6C46-4785-90B9-0209C0E77312}" uniqueName="6" name="COMUNA" queryTableFieldId="6"/>
    <tableColumn id="7" xr3:uid="{09616EE9-69C5-4725-BE5C-8BD7780E9780}" uniqueName="7" name="TIPO_FONO" queryTableFieldId="7"/>
    <tableColumn id="8" xr3:uid="{606291FE-68FF-4FFD-B8B7-7D1D3F3B55ED}" uniqueName="8" name="FONO" queryTableFieldId="8"/>
    <tableColumn id="9" xr3:uid="{A6A6B571-AB80-435D-86A0-B53941A54D30}" uniqueName="9" name="GRUPO" queryTableFieldId="9"/>
    <tableColumn id="10" xr3:uid="{CB517E38-DF54-45EB-A34C-3628EA5D0B1C}" uniqueName="10" name="DISTRITO" queryTableFieldId="10"/>
    <tableColumn id="11" xr3:uid="{56EA5E9D-48DB-4334-9E3F-1D599A53D3B2}" uniqueName="11" name="NIVEL" queryTableFieldId="11"/>
    <tableColumn id="12" xr3:uid="{CF5A2FDA-92E9-45D5-A8FE-1D06D5008053}" uniqueName="12" name="NUMERO_MMAA" queryTableFieldId="12" dataDxfId="265"/>
    <tableColumn id="13" xr3:uid="{9B0507E9-4201-4740-9012-9060BB1B65EC}" uniqueName="13" name="RAMA_MEDIO" queryTableFieldId="13"/>
    <tableColumn id="14" xr3:uid="{19A3517A-7214-4D64-BCD4-748A852A059B}" uniqueName="14" name="RAMA_AVANZADO" queryTableFieldId="14"/>
    <tableColumn id="15" xr3:uid="{38B59ECF-79FF-4697-9A44-C41DDF8B5098}" uniqueName="15" name="HABIL_I" queryTableFieldId="15"/>
    <tableColumn id="16" xr3:uid="{9E328CB4-F15C-40BC-A83F-B2DEAB182202}" uniqueName="16" name="HABIL_II" queryTableFieldId="16"/>
    <tableColumn id="17" xr3:uid="{69415203-457B-4A91-BBE3-CBDDB77736A3}" uniqueName="17" name="VERIFICADOR" queryTableFieldId="17"/>
    <tableColumn id="18" xr3:uid="{B23E3A93-3E6A-4DEC-867B-742D08ACCD93}" uniqueName="18" name="INSTITUCIONAL" queryTableFieldId="18"/>
    <tableColumn id="19" xr3:uid="{BB95DB1E-4F50-4E26-AD67-AFCAFA8499C7}" uniqueName="19" name="CUENTA" queryTableFieldId="19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25A3CDE-8C18-471E-9786-73EB4947AE0D}" name="BBDD" displayName="BBDD" ref="A2:AK209" tableType="queryTable" totalsRowShown="0">
  <autoFilter ref="A2:AK209" xr:uid="{025A3CDE-8C18-471E-9786-73EB4947AE0D}">
    <filterColumn colId="0">
      <filters>
        <filter val="21412999-K"/>
      </filters>
    </filterColumn>
  </autoFilter>
  <sortState xmlns:xlrd2="http://schemas.microsoft.com/office/spreadsheetml/2017/richdata2" ref="A3:AK209">
    <sortCondition ref="B2:B209"/>
  </sortState>
  <tableColumns count="37">
    <tableColumn id="1" xr3:uid="{EA964DA4-A71F-4CF6-9B46-B7940C0C01A0}" uniqueName="1" name="RUN" queryTableFieldId="1"/>
    <tableColumn id="2" xr3:uid="{B53AB1F7-6BFC-491B-9E51-74CE90BA530B}" uniqueName="2" name="FECHA_HORA" queryTableFieldId="2" dataDxfId="1"/>
    <tableColumn id="3" xr3:uid="{DBF2BD68-40C0-43E7-B0D0-CEA7E9096389}" uniqueName="3" name="EMAIL" queryTableFieldId="3"/>
    <tableColumn id="4" xr3:uid="{DBF009E8-0038-4C1C-9F82-11E987DD0B75}" uniqueName="4" name="NOMBRE" queryTableFieldId="4"/>
    <tableColumn id="5" xr3:uid="{6BFF9067-F5E0-44A2-92BD-B47561AE5B3B}" uniqueName="5" name="FECHA_NAC" queryTableFieldId="5" dataDxfId="0"/>
    <tableColumn id="6" xr3:uid="{1933B32A-82B9-4EED-BCF8-C203FA9735F1}" uniqueName="6" name="DIRECCION" queryTableFieldId="6"/>
    <tableColumn id="7" xr3:uid="{B5B8885C-D70C-4EBB-B542-66F5D2B9CC72}" uniqueName="7" name="COMUNA" queryTableFieldId="7" dataDxfId="264"/>
    <tableColumn id="8" xr3:uid="{6ECE2DAE-42AD-457F-9D4F-5D5B2AE3D516}" uniqueName="8" name="TIPO_FONO" queryTableFieldId="8"/>
    <tableColumn id="9" xr3:uid="{7C99A531-DD74-4139-B1A5-443537B1D9BF}" uniqueName="9" name="FONO" queryTableFieldId="9"/>
    <tableColumn id="10" xr3:uid="{2BCA5C3D-7FD8-4799-9A9C-2539B0F2A33C}" uniqueName="10" name="ROL" queryTableFieldId="10"/>
    <tableColumn id="11" xr3:uid="{DCB49944-4A93-4E17-A4C7-8291AC8D31D9}" uniqueName="11" name="GRUPO" queryTableFieldId="11"/>
    <tableColumn id="12" xr3:uid="{5895FE7E-6141-4D02-8210-88202E2D4918}" uniqueName="12" name="RAMA" queryTableFieldId="12"/>
    <tableColumn id="13" xr3:uid="{E0CF62AC-D10E-4DC4-93EE-28921E784D9A}" uniqueName="13" name="CARGO" queryTableFieldId="13"/>
    <tableColumn id="14" xr3:uid="{2DBF2306-2766-43C6-A743-75334301DB8C}" uniqueName="14" name="TIEMPO_UNIDAD" queryTableFieldId="14"/>
    <tableColumn id="15" xr3:uid="{508ABD37-69C0-45BF-9D37-D4BFD5E556CE}" uniqueName="15" name="DISTRITO" queryTableFieldId="15"/>
    <tableColumn id="16" xr3:uid="{C34F2D7B-85CF-4DC1-9D6E-DDE9FC940B4B}" uniqueName="16" name="NIVEL" queryTableFieldId="16"/>
    <tableColumn id="17" xr3:uid="{721B4966-8D80-4BF6-82C5-B4A2BB2D3B08}" uniqueName="17" name="NUM_MMAA" queryTableFieldId="17"/>
    <tableColumn id="18" xr3:uid="{9A22BA24-594E-4289-9867-01F17C987E88}" uniqueName="18" name="RAMA_NIVEL_MEDIO" queryTableFieldId="18"/>
    <tableColumn id="19" xr3:uid="{85ADE7BB-CA49-4C71-8EFF-4D65E4F6D06B}" uniqueName="19" name="RAMA_NIVEL_AVANZADO" queryTableFieldId="19"/>
    <tableColumn id="20" xr3:uid="{F03F4C7B-BC3D-46B6-AF9C-5B147F144BE9}" uniqueName="20" name="ALIMENTACION" queryTableFieldId="20"/>
    <tableColumn id="21" xr3:uid="{566435C6-15F7-4DF6-BA59-FBE23780C263}" uniqueName="21" name="ALERGIA" queryTableFieldId="21"/>
    <tableColumn id="22" xr3:uid="{0220E2E8-33A0-4AB9-B4F3-30A3A13BD9B2}" uniqueName="22" name="LIMITACION" queryTableFieldId="22"/>
    <tableColumn id="23" xr3:uid="{960F75CE-F9E0-40FB-8307-AF91F3BE7EC9}" uniqueName="23" name="EMERGENCIA" queryTableFieldId="23"/>
    <tableColumn id="24" xr3:uid="{20BF5C03-B664-42D7-9D12-1532DA841944}" uniqueName="24" name="PATENTE_VEHICULO" queryTableFieldId="24"/>
    <tableColumn id="25" xr3:uid="{FD1FDF3E-6E4D-4807-BAF2-7CF53DBA6355}" uniqueName="25" name="MARCA_VEHICULO" queryTableFieldId="25"/>
    <tableColumn id="26" xr3:uid="{7AD1B2BA-56C8-49BE-94C2-426FDC2732D9}" uniqueName="26" name="MODELO_VEHICULO" queryTableFieldId="26"/>
    <tableColumn id="27" xr3:uid="{0F1E9D37-B25F-43C1-9DB3-063CDE150D9F}" uniqueName="27" name="CONSIDERACION" queryTableFieldId="27"/>
    <tableColumn id="28" xr3:uid="{56FB975A-2623-4321-A56C-35A5518212EE}" uniqueName="28" name="ALOJAMIENTO" queryTableFieldId="28"/>
    <tableColumn id="29" xr3:uid="{F432A21F-80B5-41E4-9DD3-3D4D06A787C1}" uniqueName="29" name="PROFESION" queryTableFieldId="29"/>
    <tableColumn id="30" xr3:uid="{657D161D-7E3E-46CC-82BD-BC69780EB090}" uniqueName="30" name="TIEMPO_BENEFICIARIO" queryTableFieldId="30"/>
    <tableColumn id="31" xr3:uid="{4E601A53-221A-4E10-97AF-E030387AB0DE}" uniqueName="31" name="TRABAJO_NNAJ" queryTableFieldId="31"/>
    <tableColumn id="32" xr3:uid="{400A12D8-C5D7-4C7A-836E-65E3D11F92DD}" uniqueName="32" name="ESTADO_CIVIL" queryTableFieldId="32"/>
    <tableColumn id="33" xr3:uid="{64E88B6D-574B-4CD1-8DA3-42B9BFF76418}" uniqueName="33" name="RELIGION" queryTableFieldId="33"/>
    <tableColumn id="34" xr3:uid="{2EB3A750-2A41-4761-9479-17E811D9CAC5}" uniqueName="34" name="APODO" queryTableFieldId="34"/>
    <tableColumn id="35" xr3:uid="{806A5404-F626-4E95-8A32-8F6B3CF209E6}" uniqueName="35" name="CUOTA" queryTableFieldId="35"/>
    <tableColumn id="36" xr3:uid="{8242C42A-4206-4E9F-9110-0A88F371AFDA}" uniqueName="36" name="FICHA_MEDICA" queryTableFieldId="36"/>
    <tableColumn id="37" xr3:uid="{DDC49A10-7D86-45A0-927B-2BC27252C5ED}" uniqueName="37" name="EDAD" queryTableFieldId="37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5BB23D6-7A16-450B-830F-486B98348E17}" name="Tabla_Pagos" displayName="Tabla_Pagos" ref="A1:I176" tableType="queryTable" totalsRowShown="0">
  <autoFilter ref="A1:I176" xr:uid="{B5BB23D6-7A16-450B-830F-486B98348E17}"/>
  <tableColumns count="9">
    <tableColumn id="1" xr3:uid="{89AD217F-A5BC-4303-A345-2EA44F873AB6}" uniqueName="1" name="RUT" queryTableFieldId="1" dataDxfId="263"/>
    <tableColumn id="2" xr3:uid="{7A0E0B4E-61ED-4EB8-B5FB-C11C85C7B386}" uniqueName="2" name="EMail" queryTableFieldId="2" dataDxfId="262"/>
    <tableColumn id="3" xr3:uid="{9E9A1D90-86CC-4EFE-A940-D065462CE7CC}" uniqueName="3" name="Nombre_Completo" queryTableFieldId="3" dataDxfId="261"/>
    <tableColumn id="4" xr3:uid="{D8448EAD-6824-420C-A725-A933F55D7AE5}" uniqueName="4" name="Grupo" queryTableFieldId="4" dataDxfId="260"/>
    <tableColumn id="5" xr3:uid="{261DEA9C-5028-4539-A586-2D2F369DCB2A}" uniqueName="5" name="Distrito" queryTableFieldId="5" dataDxfId="259"/>
    <tableColumn id="6" xr3:uid="{CF71334F-75C4-4BB6-8DF4-6C7BD173B96A}" uniqueName="6" name="Comuna" queryTableFieldId="6" dataDxfId="258"/>
    <tableColumn id="7" xr3:uid="{473261EF-C8CE-44FC-AA5F-50CC4E762557}" uniqueName="7" name="Cuota N° 1" queryTableFieldId="7"/>
    <tableColumn id="8" xr3:uid="{AAC8A0B5-328B-46E3-A0EB-C17D319F8F57}" uniqueName="8" name="Cuota N° 2" queryTableFieldId="8"/>
    <tableColumn id="9" xr3:uid="{3AED2566-54F9-426E-A7B8-B78F375209BE}" uniqueName="9" name="Cuota N° 3" queryTableFieldId="9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98B86C-820F-4949-9291-95F7DAAF1503}" name="T_RevisionRUT" displayName="T_RevisionRUT" ref="A1:C207" totalsRowShown="0">
  <autoFilter ref="A1:C207" xr:uid="{3898B86C-820F-4949-9291-95F7DAAF1503}">
    <filterColumn colId="1">
      <filters>
        <filter val="#N/D"/>
      </filters>
    </filterColumn>
  </autoFilter>
  <tableColumns count="3">
    <tableColumn id="1" xr3:uid="{66FFF501-6C13-433D-BE0F-669F3EF2560D}" name="BBDD" dataDxfId="257"/>
    <tableColumn id="2" xr3:uid="{AAACDAA1-140F-423C-9668-8AF19505FE06}" name="Inscritos" dataDxfId="256">
      <calculatedColumnFormula>VLOOKUP(T_RevisionRUT[[#This Row],[BBDD]],T_Voluntarios[],1,FALSE)</calculatedColumnFormula>
    </tableColumn>
    <tableColumn id="3" xr3:uid="{B6B43097-ABE5-4310-ADBB-CD5CD90693DB}" name="Cuenta" dataDxfId="255">
      <calculatedColumnFormula>COUNTIF(T_RevisionRUT[BBDD],T_RevisionRUT[[#This Row],[BBDD]])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D220346-507E-4049-A130-B7B73F664D00}" name="T_Voluntarios" displayName="T_Voluntarios" ref="A2:AZ209" totalsRowShown="0" headerRowDxfId="169" dataDxfId="168">
  <autoFilter ref="A2:AZ209" xr:uid="{7D220346-507E-4049-A130-B7B73F664D00}"/>
  <sortState xmlns:xlrd2="http://schemas.microsoft.com/office/spreadsheetml/2017/richdata2" ref="A3:AY189">
    <sortCondition ref="AY2:AY189"/>
  </sortState>
  <tableColumns count="52">
    <tableColumn id="1" xr3:uid="{FDB54245-3055-421F-BAEC-B443B13B3023}" name="RUN" dataDxfId="167"/>
    <tableColumn id="2" xr3:uid="{3C648184-EC05-4FF9-A2BB-0B31A49F6992}" name="E_MAIL" dataDxfId="166">
      <calculatedColumnFormula>VLOOKUP(T_Voluntarios[[#This Row],[RUN]],BBDD[],3,FALSE)</calculatedColumnFormula>
    </tableColumn>
    <tableColumn id="3" xr3:uid="{19ECA7A9-2B57-4CA6-90EF-DF24C9962350}" name="NOMBRE" dataDxfId="165">
      <calculatedColumnFormula>VLOOKUP(T_Voluntarios[[#This Row],[RUN]],BBDD[],4,FALSE)</calculatedColumnFormula>
    </tableColumn>
    <tableColumn id="4" xr3:uid="{CFA41CEF-1D23-4945-81E6-662087209EB2}" name="FEC_NAC" dataDxfId="164">
      <calculatedColumnFormula>VLOOKUP(T_Voluntarios[[#This Row],[RUN]],BBDD[],5,FALSE)</calculatedColumnFormula>
    </tableColumn>
    <tableColumn id="5" xr3:uid="{2349116B-1B38-4872-ACB4-451120784A6B}" name="DIRECCION" dataDxfId="163">
      <calculatedColumnFormula>VLOOKUP(T_Voluntarios[[#This Row],[RUN]],BBDD[],6,FALSE)</calculatedColumnFormula>
    </tableColumn>
    <tableColumn id="6" xr3:uid="{EECFBC29-9A46-4A39-8DB0-EE80EDEA117B}" name="COMUNA" dataDxfId="162">
      <calculatedColumnFormula>VLOOKUP(T_Voluntarios[[#This Row],[RUN]],BBDD[],7,FALSE)</calculatedColumnFormula>
    </tableColumn>
    <tableColumn id="7" xr3:uid="{CCE8C6D3-45A6-4E91-AC8E-C371BEAE0DD4}" name="TIPO_FONO" dataDxfId="161">
      <calculatedColumnFormula>VLOOKUP(T_Voluntarios[[#This Row],[RUN]],BBDD[],8,FALSE)</calculatedColumnFormula>
    </tableColumn>
    <tableColumn id="8" xr3:uid="{EAE35FF4-78C0-4C17-8F98-0A45774C983E}" name="FONO" dataDxfId="160">
      <calculatedColumnFormula>IF(VLOOKUP(T_Voluntarios[[#This Row],[RUN]],BBDD[],9,FALSE)=0,"Falta",VLOOKUP(T_Voluntarios[[#This Row],[RUN]],BBDD[],9,FALSE))</calculatedColumnFormula>
    </tableColumn>
    <tableColumn id="9" xr3:uid="{0A04C447-9823-4EE8-9130-AD6EB1A489A6}" name="ROL" dataDxfId="159">
      <calculatedColumnFormula>VLOOKUP(T_Voluntarios[[#This Row],[RUN]],BBDD[],10,FALSE)</calculatedColumnFormula>
    </tableColumn>
    <tableColumn id="10" xr3:uid="{A87D67BB-098F-46C5-84A1-B6886107AAA5}" name="GRUPO" dataDxfId="158">
      <calculatedColumnFormula>VLOOKUP(T_Voluntarios[[#This Row],[RUN]],BBDD[],11,FALSE)</calculatedColumnFormula>
    </tableColumn>
    <tableColumn id="11" xr3:uid="{8F7D4A4A-EDE4-4D97-8B58-3342174DA4F9}" name="RAMA_CURSO" dataDxfId="157">
      <calculatedColumnFormula>VLOOKUP(T_Voluntarios[[#This Row],[RUN]],BBDD[],12,FALSE)</calculatedColumnFormula>
    </tableColumn>
    <tableColumn id="12" xr3:uid="{B0E7F9A7-6105-4D2A-9BAA-99381A2A7618}" name="DISTRITO" dataDxfId="156">
      <calculatedColumnFormula>VLOOKUP(T_Voluntarios[[#This Row],[RUN]],BBDD[],15,FALSE)</calculatedColumnFormula>
    </tableColumn>
    <tableColumn id="13" xr3:uid="{A01F4B86-6AF3-4D47-A8F5-635EEB71B900}" name="ALIMENTACION" dataDxfId="155">
      <calculatedColumnFormula>VLOOKUP(T_Voluntarios[[#This Row],[RUN]],BBDD[],20,FALSE)</calculatedColumnFormula>
    </tableColumn>
    <tableColumn id="14" xr3:uid="{587C13EE-B12B-498D-A8FB-707750703EDE}" name="ALERGIA_ENFERMEDAD" dataDxfId="154">
      <calculatedColumnFormula>VLOOKUP(T_Voluntarios[[#This Row],[RUN]],BBDD[],21,FALSE)</calculatedColumnFormula>
    </tableColumn>
    <tableColumn id="15" xr3:uid="{8506627D-807A-49C1-9965-B46FF2FBADCE}" name="LIMITACION" dataDxfId="153">
      <calculatedColumnFormula>VLOOKUP(T_Voluntarios[[#This Row],[RUN]],BBDD[],22,FALSE)</calculatedColumnFormula>
    </tableColumn>
    <tableColumn id="16" xr3:uid="{1C667094-9EE7-4776-A04E-61B910FF0F2B}" name="EMERGENCIA" dataDxfId="152">
      <calculatedColumnFormula>VLOOKUP(T_Voluntarios[[#This Row],[RUN]],BBDD[],23,FALSE)</calculatedColumnFormula>
    </tableColumn>
    <tableColumn id="20" xr3:uid="{B15EADC7-75E7-4C89-8F61-472BA753C1F4}" name="EXTRA" dataDxfId="151">
      <calculatedColumnFormula>IF(VLOOKUP(T_Voluntarios[[#This Row],[RUN]],BBDD[],27,FALSE)=0,"",VLOOKUP(T_Voluntarios[[#This Row],[RUN]],BBDD[],27,FALSE))</calculatedColumnFormula>
    </tableColumn>
    <tableColumn id="21" xr3:uid="{FCFFAEC3-8B83-4C7C-B052-69C8B7DE92EE}" name="FICHA_MEDICA" dataDxfId="150">
      <calculatedColumnFormula>VLOOKUP(T_Voluntarios[[#This Row],[RUN]],BBDD[],36,FALSE)</calculatedColumnFormula>
    </tableColumn>
    <tableColumn id="22" xr3:uid="{086BC4D4-F024-4E55-BD9C-B0491DBA3415}" name="NIVEL" dataDxfId="149">
      <calculatedColumnFormula>VLOOKUP(T_Voluntarios[[#This Row],[RUN]],BBDD[],16,FALSE)</calculatedColumnFormula>
    </tableColumn>
    <tableColumn id="23" xr3:uid="{3BB4EAA3-4E31-4505-84C1-274465C84ABD}" name="NUMERO_MMAA" dataDxfId="148">
      <calculatedColumnFormula>VLOOKUP(T_Voluntarios[[#This Row],[RUN]],BBDD[],17,FALSE)</calculatedColumnFormula>
    </tableColumn>
    <tableColumn id="24" xr3:uid="{ED3301FC-32EE-423D-9D0E-156336A3BA33}" name="RAMA_NIVEL_MEDIO" dataDxfId="147">
      <calculatedColumnFormula>VLOOKUP(T_Voluntarios[[#This Row],[RUN]],BBDD[],18,FALSE)</calculatedColumnFormula>
    </tableColumn>
    <tableColumn id="25" xr3:uid="{FA378DA2-A963-430D-8CF8-5B1B32968791}" name="RAMA_NIVEL_AVANZADO" dataDxfId="146">
      <calculatedColumnFormula>VLOOKUP(T_Voluntarios[[#This Row],[RUN]],BBDD[],19,FALSE)</calculatedColumnFormula>
    </tableColumn>
    <tableColumn id="26" xr3:uid="{F1C2DE20-C60C-4476-BFBA-682DE3E95469}" name="FORMADOR" dataDxfId="145">
      <calculatedColumnFormula>IF(OR(T_Voluntarios[[#This Row],[ROL]]="Formador(a)"),"SI","NO")</calculatedColumnFormula>
    </tableColumn>
    <tableColumn id="27" xr3:uid="{1ED1B638-8CB9-44C0-8AB2-B9C5589757BC}" name="HABIL_I" dataDxfId="144">
      <calculatedColumnFormula>IF(ISERROR(VLOOKUP(T_Voluntarios[[#This Row],[RUN]],BBDD_Formadores[],15,FALSE)),"NO",VLOOKUP(T_Voluntarios[[#This Row],[RUN]],BBDD_Formadores[],15,FALSE))</calculatedColumnFormula>
    </tableColumn>
    <tableColumn id="28" xr3:uid="{35ED9CE7-B545-4394-96A0-4598376CCD39}" name="HABIL_II" dataDxfId="143">
      <calculatedColumnFormula>IF(ISERROR(VLOOKUP(T_Voluntarios[[#This Row],[RUN]],BBDD_Formadores[],16,FALSE)),"NO",VLOOKUP(T_Voluntarios[[#This Row],[RUN]],BBDD_Formadores[],16,FALSE))</calculatedColumnFormula>
    </tableColumn>
    <tableColumn id="29" xr3:uid="{04BF487A-B128-4603-BC3E-974B053AA888}" name="VERIFICADOR" dataDxfId="142">
      <calculatedColumnFormula>IF(ISERROR(VLOOKUP(T_Voluntarios[[#This Row],[RUN]],BBDD_Formadores[],17,FALSE)),"NO",VLOOKUP(T_Voluntarios[[#This Row],[RUN]],BBDD_Formadores[],17,FALSE))</calculatedColumnFormula>
    </tableColumn>
    <tableColumn id="30" xr3:uid="{22DA5146-8856-4EB8-8DDB-47E989C298A0}" name="INSTITUCIONAL" dataDxfId="141">
      <calculatedColumnFormula>IF(ISERROR(VLOOKUP(T_Voluntarios[[#This Row],[RUN]],BBDD_Formadores[],18,FALSE)),"NO",VLOOKUP(T_Voluntarios[[#This Row],[RUN]],BBDD_Formadores[],18,FALSE))</calculatedColumnFormula>
    </tableColumn>
    <tableColumn id="31" xr3:uid="{E7E3D866-73B3-4822-9C5C-441B3A59DEE1}" name="CUENTA" dataDxfId="140"/>
    <tableColumn id="32" xr3:uid="{D06A29A0-208D-4A73-BD4F-AF0FA665494C}" name="AVISADO" dataDxfId="139"/>
    <tableColumn id="33" xr3:uid="{2DBFC60D-75B8-43A6-8F07-55608FA27E36}" name="ESTADO" dataDxfId="138"/>
    <tableColumn id="34" xr3:uid="{B6835F85-3C8A-4252-BA2E-DDFA5C7F0463}" name="TRANSPORTE" dataDxfId="137"/>
    <tableColumn id="35" xr3:uid="{AD80F693-1DDE-47F1-88CD-F8E70D0AE984}" name="MARCA_VEHICULO" dataDxfId="136">
      <calculatedColumnFormula>IF(VLOOKUP(T_Voluntarios[[#This Row],[RUN]],BBDD[],25,FALSE)=0,"",VLOOKUP(T_Voluntarios[[#This Row],[RUN]],BBDD[],25,FALSE))</calculatedColumnFormula>
    </tableColumn>
    <tableColumn id="36" xr3:uid="{EA5BEE4B-DDCD-4E09-BA16-78282C4EF493}" name="MODELO_VEHICULO" dataDxfId="135">
      <calculatedColumnFormula>IF(VLOOKUP(T_Voluntarios[[#This Row],[RUN]],BBDD[],26,FALSE)=0,"",VLOOKUP(T_Voluntarios[[#This Row],[RUN]],BBDD[],26,FALSE))</calculatedColumnFormula>
    </tableColumn>
    <tableColumn id="37" xr3:uid="{79F400C6-B525-4F05-B22C-C0CDDDC167E0}" name="PATENTE_VEHICULO" dataDxfId="134">
      <calculatedColumnFormula>IF(VLOOKUP(T_Voluntarios[[#This Row],[RUN]],BBDD[],24,FALSE)=0,"",VLOOKUP(T_Voluntarios[[#This Row],[RUN]],BBDD[],24,FALSE))</calculatedColumnFormula>
    </tableColumn>
    <tableColumn id="38" xr3:uid="{C9A808BD-645F-4E31-8B84-DA485BBDB3E9}" name="NECESITA_CAMA" dataDxfId="133">
      <calculatedColumnFormula>VLOOKUP(T_Voluntarios[[#This Row],[RUN]],BBDD[],28,FALSE)</calculatedColumnFormula>
    </tableColumn>
    <tableColumn id="39" xr3:uid="{59726858-8A91-4239-87BE-7018EDFAAFE6}" name="CONFIRMA_CAMA" dataDxfId="132">
      <calculatedColumnFormula>VLOOKUP(T_Voluntarios[[#This Row],[RUN]],BBDD[],28,FALSE)</calculatedColumnFormula>
    </tableColumn>
    <tableColumn id="40" xr3:uid="{58F25204-81E7-42DD-B80C-53A36F8CE475}" name="PAGA_CUOTA" dataDxfId="131">
      <calculatedColumnFormula>IF(T_Voluntarios[[#This Row],[ROL]]="Participante",SUMIFS(T_Cuotas[[#All],[Total]],T_Cuotas[[#All],[RUN]],T_Voluntarios[[#This Row],[RUN]]),-1)</calculatedColumnFormula>
    </tableColumn>
    <tableColumn id="41" xr3:uid="{F4A1F7BC-2285-4155-8F90-B0FE5A36BF51}" name="REGISTRO" dataDxfId="130"/>
    <tableColumn id="42" xr3:uid="{5C797350-4429-4929-A484-A7A29A8511EA}" name="ACREDITADO" dataDxfId="129"/>
    <tableColumn id="43" xr3:uid="{0D054B9A-4A23-4101-8957-AE5E16B3F469}" name="OBSERVACION" dataDxfId="128"/>
    <tableColumn id="44" xr3:uid="{74E8F22E-2C56-40A7-BC77-D859F30AD50C}" name="CARGO_VIGENTE" dataDxfId="127"/>
    <tableColumn id="45" xr3:uid="{CB27C238-4BD9-479E-99B3-6B61EE895270}" name="DOMINIO" dataDxfId="126">
      <calculatedColumnFormula>MID(T_Voluntarios[[#This Row],[E_MAIL]],SEARCH("@",T_Voluntarios[[#This Row],[E_MAIL]],1),LEN(T_Voluntarios[[#This Row],[E_MAIL]]))</calculatedColumnFormula>
    </tableColumn>
    <tableColumn id="46" xr3:uid="{EF9EACEC-C421-4964-ABDE-6E9CAF09B292}" name="EDAD" dataDxfId="125">
      <calculatedColumnFormula>VLOOKUP(T_Voluntarios[[#This Row],[RUN]],BBDD[],37,FALSE)</calculatedColumnFormula>
    </tableColumn>
    <tableColumn id="47" xr3:uid="{8D8C3E5A-ECC9-4E83-87E9-EAF06564D7FD}" name="PROFESION" dataDxfId="124">
      <calculatedColumnFormula>VLOOKUP(T_Voluntarios[[#This Row],[RUN]],BBDD[],29,FALSE)</calculatedColumnFormula>
    </tableColumn>
    <tableColumn id="48" xr3:uid="{054C7113-D75A-459E-8E34-775018AC81DE}" name="TIEMPO_NNAJ" dataDxfId="123">
      <calculatedColumnFormula>VLOOKUP(T_Voluntarios[[#This Row],[RUN]],BBDD[],30,FALSE)</calculatedColumnFormula>
    </tableColumn>
    <tableColumn id="49" xr3:uid="{0820DEA1-3C82-47AD-85F5-491DEE458A9E}" name="TIEMPO_ADULTO" dataDxfId="122">
      <calculatedColumnFormula>VLOOKUP(T_Voluntarios[[#This Row],[RUN]],BBDD[],31,FALSE)</calculatedColumnFormula>
    </tableColumn>
    <tableColumn id="50" xr3:uid="{5C03804E-0943-405F-B367-DE01FE70D160}" name="ESTADO_CIVIL" dataDxfId="121">
      <calculatedColumnFormula>VLOOKUP(T_Voluntarios[[#This Row],[RUN]],BBDD[],32,FALSE)</calculatedColumnFormula>
    </tableColumn>
    <tableColumn id="51" xr3:uid="{97B1D974-96C2-455D-B05E-8C83B16A3DA9}" name="RELIGION" dataDxfId="120">
      <calculatedColumnFormula>VLOOKUP(T_Voluntarios[[#This Row],[RUN]],BBDD[],33,FALSE)</calculatedColumnFormula>
    </tableColumn>
    <tableColumn id="52" xr3:uid="{6B09099A-26C9-45E2-8165-1128F34751BC}" name="APODO" dataDxfId="119">
      <calculatedColumnFormula>VLOOKUP(T_Voluntarios[[#This Row],[RUN]],BBDD[],34,FALSE)</calculatedColumnFormula>
    </tableColumn>
    <tableColumn id="53" xr3:uid="{9409132A-A639-4A25-B5CE-20680A07D33B}" name="MANUAL" dataDxfId="118"/>
    <tableColumn id="17" xr3:uid="{3503FD00-7F4B-4A26-8773-40612026B287}" name="FECHA_HORA_INSCRITO" dataDxfId="117">
      <calculatedColumnFormula>VLOOKUP(T_Voluntarios[[#This Row],[RUN]],BBDD[],2,FALSE)</calculatedColumnFormula>
    </tableColumn>
    <tableColumn id="18" xr3:uid="{359BD873-6F95-4929-A945-C60144A30F2E}" name="CURSO_INSTITUCIONAL" dataDxfId="1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D046E50-85C5-4CB8-ADC1-7E1C0047D738}" name="T_Cuotas" displayName="T_Cuotas" ref="A4:M174" totalsRowShown="0" headerRowDxfId="114">
  <autoFilter ref="A4:M174" xr:uid="{8D046E50-85C5-4CB8-ADC1-7E1C0047D738}">
    <filterColumn colId="11">
      <filters>
        <filter val="Vigente"/>
      </filters>
    </filterColumn>
  </autoFilter>
  <tableColumns count="13">
    <tableColumn id="1" xr3:uid="{33B5BC3D-FFCA-48FD-9516-93EDCEBF78AC}" name="RUN" dataDxfId="113"/>
    <tableColumn id="2" xr3:uid="{4F2D685F-BC7F-4C30-B15A-AE2BCD39241D}" name="Nombre" dataDxfId="112">
      <calculatedColumnFormula>IF(ISERROR(VLOOKUP(T_Cuotas[[#This Row],[RUN]],T_Voluntarios[],3,FALSE)),"No Existe",VLOOKUP(T_Cuotas[[#This Row],[RUN]],T_Voluntarios[],3,FALSE))</calculatedColumnFormula>
    </tableColumn>
    <tableColumn id="4" xr3:uid="{56444B02-032E-4EDC-9B85-4242DFDB165F}" name="Cuota_1" dataDxfId="111">
      <calculatedColumnFormula>IF(ISERROR(VLOOKUP(T_Cuotas[[#This Row],[RUN]],Tabla_Pagos[],7,FALSE)),0,VLOOKUP(T_Cuotas[[#This Row],[RUN]],Tabla_Pagos[],7,FALSE))</calculatedColumnFormula>
    </tableColumn>
    <tableColumn id="5" xr3:uid="{64499797-6CF2-45AB-8C0D-DA6AE114F077}" name="Cuota_2" dataDxfId="110">
      <calculatedColumnFormula>IF(ISERROR(VLOOKUP(T_Cuotas[[#This Row],[RUN]],Tabla_Pagos[],8,FALSE)),0,VLOOKUP(T_Cuotas[[#This Row],[RUN]],Tabla_Pagos[],8,FALSE))</calculatedColumnFormula>
    </tableColumn>
    <tableColumn id="6" xr3:uid="{AAFA0614-3F8F-4B26-A92E-7A19EC11AA79}" name="Cuota_3" dataDxfId="109">
      <calculatedColumnFormula>IF(ISERROR(VLOOKUP(T_Cuotas[[#This Row],[RUN]],Tabla_Pagos[],9,FALSE)),0,VLOOKUP(T_Cuotas[[#This Row],[RUN]],Tabla_Pagos[],9,FALSE))</calculatedColumnFormula>
    </tableColumn>
    <tableColumn id="7" xr3:uid="{AAE7D4B4-3526-4377-8601-1E1DE8CD0592}" name="Total" dataDxfId="108">
      <calculatedColumnFormula>T_Cuotas[[#This Row],[Cuota_1]]+T_Cuotas[[#This Row],[Cuota_2]]+T_Cuotas[[#This Row],[Cuota_3]]</calculatedColumnFormula>
    </tableColumn>
    <tableColumn id="3" xr3:uid="{8F6577EC-9DC0-400C-9657-8ECECB25F1A4}" name="Cuenta" dataDxfId="107">
      <calculatedColumnFormula>COUNTIF(T_Cuotas[RUN],T_Cuotas[[#This Row],[RUN]])</calculatedColumnFormula>
    </tableColumn>
    <tableColumn id="8" xr3:uid="{F49EEA2C-DBB4-4223-B4C3-097A0272AA3A}" name="Correo" dataDxfId="106">
      <calculatedColumnFormula>IF(ISERROR(VLOOKUP(T_Cuotas[[#This Row],[RUN]],T_Voluntarios[],2,FALSE)),"No Existe",VLOOKUP(T_Cuotas[[#This Row],[RUN]],T_Voluntarios[],2,FALSE))</calculatedColumnFormula>
    </tableColumn>
    <tableColumn id="9" xr3:uid="{177A3EB0-5895-4489-9DA7-36189599E43F}" name="Observación" dataDxfId="105"/>
    <tableColumn id="10" xr3:uid="{38774B88-6BCF-468C-A20B-66C79BA76F5D}" name="Teléfono" dataDxfId="104">
      <calculatedColumnFormula>IF(ISERROR(VLOOKUP(T_Cuotas[[#This Row],[RUN]],T_Voluntarios[],8,FALSE)),"No Existe",VLOOKUP(T_Cuotas[[#This Row],[RUN]],T_Voluntarios[],8,FALSE))</calculatedColumnFormula>
    </tableColumn>
    <tableColumn id="11" xr3:uid="{B3DD3540-0829-41B9-8E27-22CC16AE9705}" name="Grupo" dataDxfId="103">
      <calculatedColumnFormula>IF(ISERROR(VLOOKUP(T_Cuotas[[#This Row],[RUN]],T_Voluntarios[],10,FALSE)),"No Existe",VLOOKUP(T_Cuotas[[#This Row],[RUN]],T_Voluntarios[],10,FALSE))</calculatedColumnFormula>
    </tableColumn>
    <tableColumn id="12" xr3:uid="{83C0EA72-AC08-4903-B6C1-B882E34488F9}" name="Estado" dataDxfId="102">
      <calculatedColumnFormula>IF(ISERROR(VLOOKUP(T_Cuotas[[#This Row],[RUN]],T_Voluntarios[],30,FALSE)),"No Existe",VLOOKUP(T_Cuotas[[#This Row],[RUN]],T_Voluntarios[],30,FALSE))</calculatedColumnFormula>
    </tableColumn>
    <tableColumn id="13" xr3:uid="{CE223046-6014-421B-B5EB-F19A60B5A6DA}" name="Alimentacion" dataDxfId="101">
      <calculatedColumnFormula>IF(ISERROR(VLOOKUP(T_Cuotas[[#This Row],[RUN]],T_Voluntarios[],13,FALSE)),"No Existe",VLOOKUP(T_Cuotas[[#This Row],[RUN]],T_Voluntarios[],13,FALSE))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D73B88-D31E-42A9-99C7-EB037797F3F7}" name="T_Pasajes" displayName="T_Pasajes" ref="A2:N34" totalsRowShown="0" headerRowDxfId="100">
  <autoFilter ref="A2:N34" xr:uid="{7FD73B88-D31E-42A9-99C7-EB037797F3F7}"/>
  <sortState xmlns:xlrd2="http://schemas.microsoft.com/office/spreadsheetml/2017/richdata2" ref="A3:K3">
    <sortCondition ref="B2:B3"/>
  </sortState>
  <tableColumns count="14">
    <tableColumn id="1" xr3:uid="{ED935DB5-D367-49FD-94A3-4FEF58D143F2}" name="RUN" dataDxfId="99"/>
    <tableColumn id="2" xr3:uid="{C3B59BC6-A1C5-4853-9DF7-33191DEAF94C}" name="NOMBRE">
      <calculatedColumnFormula>IF(ISERROR(VLOOKUP(T_Pasajes[[#This Row],[RUN]],T_Voluntarios[],3,FALSE)),"No Existe",VLOOKUP(T_Pasajes[[#This Row],[RUN]],T_Voluntarios[],3,FALSE))</calculatedColumnFormula>
    </tableColumn>
    <tableColumn id="11" xr3:uid="{163E46F4-C42E-464C-A2E1-33107802D21F}" name="EMAIL" dataDxfId="98">
      <calculatedColumnFormula>IF(ISERROR(VLOOKUP(T_Pasajes[[#This Row],[RUN]],T_Voluntarios[],2,FALSE)),"No Existe",VLOOKUP(T_Pasajes[[#This Row],[RUN]],T_Voluntarios[],2,FALSE))</calculatedColumnFormula>
    </tableColumn>
    <tableColumn id="3" xr3:uid="{A6D5E9C1-F648-4C4F-9877-B70D3B9EDCAA}" name="COMUNA" dataDxfId="97">
      <calculatedColumnFormula>IF(ISERROR(VLOOKUP(T_Pasajes[[#This Row],[RUN]],T_Voluntarios[],6,FALSE)),"No Existe",VLOOKUP(T_Pasajes[[#This Row],[RUN]],T_Voluntarios[],6,FALSE))</calculatedColumnFormula>
    </tableColumn>
    <tableColumn id="10" xr3:uid="{C3C9C2C1-BB92-4599-A54E-BAF3074F5C74}" name="RAMA" dataDxfId="96">
      <calculatedColumnFormula>IF(ISERROR(VLOOKUP(T_Pasajes[[#This Row],[RUN]],T_Voluntarios[],11,FALSE)),"No Existe",VLOOKUP(T_Pasajes[[#This Row],[RUN]],T_Voluntarios[],11,FALSE))</calculatedColumnFormula>
    </tableColumn>
    <tableColumn id="4" xr3:uid="{35F4F174-C94E-4990-A803-BF43C2A29A35}" name="VIERNES" dataCellStyle="Moneda [0]"/>
    <tableColumn id="5" xr3:uid="{AE433628-3207-4CDB-8893-148734E69FB3}" name="SABADO" dataCellStyle="Moneda [0]"/>
    <tableColumn id="6" xr3:uid="{29128CBC-2D02-4FD3-93CF-191C1E6206A7}" name="DOMINGO" dataCellStyle="Moneda [0]"/>
    <tableColumn id="7" xr3:uid="{B7667B6A-A1BD-4138-89ED-E8211688F57A}" name="LUNES" dataCellStyle="Moneda [0]"/>
    <tableColumn id="9" xr3:uid="{14CC6123-BD64-456D-9EE2-39A666D9DB0C}" name="BONO" dataDxfId="95" dataCellStyle="Moneda [0]"/>
    <tableColumn id="8" xr3:uid="{7619A81A-B4F1-4D76-A32F-5E75F07ED346}" name="TOTAL" dataDxfId="94" dataCellStyle="Moneda [0]">
      <calculatedColumnFormula>SUM(T_Pasajes[[#This Row],[VIERNES]:[BONO]])</calculatedColumnFormula>
    </tableColumn>
    <tableColumn id="12" xr3:uid="{D4511DD7-6F72-48EF-9FDD-F2614565A79E}" name="Pagado_Pasaje_Largo" dataDxfId="93" dataCellStyle="Moneda [0]"/>
    <tableColumn id="13" xr3:uid="{4D8856DD-F575-4B51-8A2C-B9598E105AEE}" name="Pagado_Pasaje_Comuna" dataDxfId="92" dataCellStyle="Moneda [0]"/>
    <tableColumn id="14" xr3:uid="{3A5B69EB-63AE-42A8-97CB-68D6C372DED9}" name="CAMA" dataDxfId="91">
      <calculatedColumnFormula>IF(ISERROR(VLOOKUP(T_Pasajes[[#This Row],[RUN]],T_Voluntarios[],35,FALSE)),"No Existe",VLOOKUP(T_Pasajes[[#This Row],[RUN]],T_Voluntarios[],35,FALSE))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D2E657D-BDAE-4BC8-91C6-348D2AF57B3D}" name="T_ComprobanteIngreso" displayName="T_ComprobanteIngreso" ref="A1:H143" totalsRowShown="0">
  <autoFilter ref="A1:H143" xr:uid="{CD2E657D-BDAE-4BC8-91C6-348D2AF57B3D}"/>
  <tableColumns count="8">
    <tableColumn id="1" xr3:uid="{4E01619C-85D6-4A49-A369-2B1ED3867E87}" name="RUN"/>
    <tableColumn id="2" xr3:uid="{68986038-6CF5-4127-B7DA-D893103AA938}" name="NOMBRE" dataDxfId="90">
      <calculatedColumnFormula>IF(ISERROR(VLOOKUP(T_ComprobanteIngreso[[#This Row],[RUN]],T_Voluntarios[],3,FALSE)),"No Existe",VLOOKUP(T_ComprobanteIngreso[[#This Row],[RUN]],T_Voluntarios[],3,FALSE))</calculatedColumnFormula>
    </tableColumn>
    <tableColumn id="3" xr3:uid="{DEE83850-FAB0-4CDF-8210-66B8EC0497E9}" name="FOLIO"/>
    <tableColumn id="4" xr3:uid="{A664767A-221D-4E02-A300-DF3EF63494D7}" name="ROL" dataDxfId="89">
      <calculatedColumnFormula>IF(ISERROR(VLOOKUP(T_ComprobanteIngreso[[#This Row],[RUN]],T_Voluntarios[],9,FALSE)),"No Existe",VLOOKUP(T_ComprobanteIngreso[[#This Row],[RUN]],T_Voluntarios[],9,FALSE))</calculatedColumnFormula>
    </tableColumn>
    <tableColumn id="5" xr3:uid="{BBABA9DC-6D64-430E-B43C-5408A640D110}" name="GRUPO" dataDxfId="88">
      <calculatedColumnFormula>IF(ISERROR(VLOOKUP(T_ComprobanteIngreso[[#This Row],[RUN]],T_Voluntarios[],10,FALSE)),"No Existe",VLOOKUP(T_ComprobanteIngreso[[#This Row],[RUN]],T_Voluntarios[],10,FALSE))</calculatedColumnFormula>
    </tableColumn>
    <tableColumn id="8" xr3:uid="{45F9CDB3-7D13-43EC-9441-7B4FCB46E08D}" name="RAMA" dataDxfId="87">
      <calculatedColumnFormula>IF(ISERROR(VLOOKUP(T_ComprobanteIngreso[[#This Row],[RUN]],T_Voluntarios[],11,FALSE)),"No Existe",VLOOKUP(T_ComprobanteIngreso[[#This Row],[RUN]],T_Voluntarios[],11,FALSE))</calculatedColumnFormula>
    </tableColumn>
    <tableColumn id="6" xr3:uid="{68E870A5-5758-43F6-9346-B144E440B1FC}" name="CUOTA" dataCellStyle="Moneda [0]">
      <calculatedColumnFormula>IF(ISERROR(VLOOKUP(T_ComprobanteIngreso[[#This Row],[RUN]],T_Voluntarios[],37,FALSE)),"No Existe",VLOOKUP(T_ComprobanteIngreso[[#This Row],[RUN]],T_Voluntarios[],37,FALSE))</calculatedColumnFormula>
    </tableColumn>
    <tableColumn id="7" xr3:uid="{3280A954-F11F-4589-8AC8-7DBB154B7C50}" name="TEXTO_CUOTA" dataDxfId="86">
      <calculatedColumnFormula array="1">PROPER(NUMEROSALETRAS(T_ComprobanteIngreso[[#This Row],[CUOTA]]))&amp;" pesos"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F57ECF0-B025-4714-87E4-C1D2DB5625A8}" name="T_ComprobanteEgreso" displayName="T_ComprobanteEgreso" ref="A1:I7" totalsRowShown="0">
  <autoFilter ref="A1:I7" xr:uid="{0F57ECF0-B025-4714-87E4-C1D2DB5625A8}"/>
  <tableColumns count="9">
    <tableColumn id="1" xr3:uid="{F9499979-C137-4ABB-B711-42735C241DED}" name="RUN"/>
    <tableColumn id="2" xr3:uid="{085EF005-ABDC-4029-8FE3-65807259513F}" name="NOMBRE" dataDxfId="85">
      <calculatedColumnFormula>IF(ISERROR(VLOOKUP(T_ComprobanteEgreso[[#This Row],[RUN]],T_Voluntarios[],3,FALSE)),"No Existe",VLOOKUP(T_ComprobanteEgreso[[#This Row],[RUN]],T_Voluntarios[],3,FALSE))</calculatedColumnFormula>
    </tableColumn>
    <tableColumn id="3" xr3:uid="{CDC82B36-5EFE-49EC-85AA-F2EB15AAF716}" name="FOLIO"/>
    <tableColumn id="4" xr3:uid="{16360A3F-98EB-485E-9D78-50A77E21ECF5}" name="ROL" dataDxfId="84">
      <calculatedColumnFormula>IF(ISERROR(VLOOKUP(T_ComprobanteEgreso[[#This Row],[RUN]],T_Voluntarios[],9,FALSE)),"No Existe",VLOOKUP(T_ComprobanteEgreso[[#This Row],[RUN]],T_Voluntarios[],9,FALSE))</calculatedColumnFormula>
    </tableColumn>
    <tableColumn id="5" xr3:uid="{0D423DEF-14D8-4E2A-951D-BAD30B0182B6}" name="RAMA" dataDxfId="83">
      <calculatedColumnFormula>IF(ISERROR(VLOOKUP(T_ComprobanteEgreso[[#This Row],[RUN]],T_Voluntarios[],11,FALSE)),"No Existe",VLOOKUP(T_ComprobanteEgreso[[#This Row],[RUN]],T_Voluntarios[],11,FALSE))</calculatedColumnFormula>
    </tableColumn>
    <tableColumn id="6" xr3:uid="{8A9EF93E-5575-4E08-A7AC-80836762A85C}" name="CUOTA" dataCellStyle="Moneda [0]">
      <calculatedColumnFormula>IF(ISERROR(VLOOKUP(T_ComprobanteEgreso[[#This Row],[RUN]],T_Voluntarios[],37,FALSE)),"No Existe",VLOOKUP(T_ComprobanteEgreso[[#This Row],[RUN]],T_Voluntarios[],37,FALSE))</calculatedColumnFormula>
    </tableColumn>
    <tableColumn id="7" xr3:uid="{BE208472-E628-4FA6-A442-7D6D60FD4AB1}" name="TEXTO_CUOTA" dataDxfId="82">
      <calculatedColumnFormula array="1">PROPER(NUMEROSALETRAS(T_ComprobanteEgreso[[#This Row],[CUOTA]]))&amp;" pesos"</calculatedColumnFormula>
    </tableColumn>
    <tableColumn id="8" xr3:uid="{D3ECDB63-CB9E-4050-8990-17E36B5CEE2A}" name="CONCEPTO" dataDxfId="81"/>
    <tableColumn id="9" xr3:uid="{EA5A783E-3233-4413-9428-0269DF5FA3BA}" name="FECHA" dataDxfId="8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9ADD0-E8ED-47AE-A228-FD850EB2836F}" name="T_Menu" displayName="T_Menu" ref="A1:H21" totalsRowShown="0">
  <autoFilter ref="A1:H21" xr:uid="{1BC9ADD0-E8ED-47AE-A228-FD850EB2836F}"/>
  <sortState xmlns:xlrd2="http://schemas.microsoft.com/office/spreadsheetml/2017/richdata2" ref="A2:G21">
    <sortCondition ref="B1:B21"/>
  </sortState>
  <tableColumns count="8">
    <tableColumn id="2" xr3:uid="{9287E1BF-9D32-49C3-896D-BF3A7EA93CE1}" name="FECHA" dataDxfId="79"/>
    <tableColumn id="3" xr3:uid="{4FB41691-B90B-4F2B-9EDD-FDB86D2F90BA}" name="DIA"/>
    <tableColumn id="1" xr3:uid="{50411BC5-7760-41C0-B83E-C534A0E30C7B}" name="TIEMPO"/>
    <tableColumn id="7" xr3:uid="{A15B2B6A-2A74-4705-812F-0CB683FDE254}" name="TIPO"/>
    <tableColumn id="4" xr3:uid="{3955C002-CD31-49E5-80C9-ACDFF8F35678}" name="DESCRIPCION"/>
    <tableColumn id="5" xr3:uid="{00ACC2FB-83A1-4FED-84E3-5814D9CED50D}" name="CANTIDAD" dataDxfId="78">
      <calculatedColumnFormula>SUMIFS(T_Voluntarios[CUENTA],T_Voluntarios[ALIMENTACION],T_Menu[[#This Row],[TIPO]],T_Voluntarios[ESTADO],"Vigente")</calculatedColumnFormula>
    </tableColumn>
    <tableColumn id="6" xr3:uid="{6F6C3577-A238-49E3-B305-F72CB921004B}" name="CANTIDAD_EXTRA"/>
    <tableColumn id="8" xr3:uid="{D8DFBC43-D7EA-4CA6-BB84-FF70284BFAFD}" name="TOTAL_CANTIDAD" dataDxfId="77">
      <calculatedColumnFormula>T_Menu[[#This Row],[CANTIDAD]]+T_Menu[[#This Row],[CANTIDAD_EXTRA]]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5C77CF-EC5D-46E6-957F-1C7D0ECD34B4}" name="T_Materiales" displayName="T_Materiales" ref="A2:H130" totalsRowShown="0">
  <autoFilter ref="A2:H130" xr:uid="{875C77CF-EC5D-46E6-957F-1C7D0ECD34B4}"/>
  <tableColumns count="8">
    <tableColumn id="1" xr3:uid="{56EC4145-B32B-44C4-9A8A-4A830F081EC6}" name="Rama"/>
    <tableColumn id="2" xr3:uid="{F45D7A96-68C1-40AB-A66E-A5BFA530F55B}" name="Tipo"/>
    <tableColumn id="3" xr3:uid="{EC19018E-E4AB-4BCA-B21A-710250CDA150}" name="Descripción"/>
    <tableColumn id="4" xr3:uid="{768E302E-3CEB-4E99-AC16-E68C2F1615B9}" name="Cantidad"/>
    <tableColumn id="6" xr3:uid="{AF1233FD-1239-4A62-80C7-596E05D525A2}" name="Valor" dataDxfId="4"/>
    <tableColumn id="7" xr3:uid="{B6E4BCD7-3F0A-46DC-8E16-070EEE307ACC}" name="Total" dataDxfId="3">
      <calculatedColumnFormula>T_Materiales[[#This Row],[Valor]]*T_Materiales[[#This Row],[Cantidad]]</calculatedColumnFormula>
    </tableColumn>
    <tableColumn id="8" xr3:uid="{6BCB1611-0D72-4836-B3C2-918D71D7C26E}" name="Entregado" dataDxfId="2"/>
    <tableColumn id="5" xr3:uid="{3B90D2E0-7D2F-4495-BAFE-C733362CB10F}" name="Observ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1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ivotTable" Target="../pivotTables/pivot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88E2D-B970-4D0F-9E9F-5F493E9E8A4E}">
  <sheetPr codeName="Hoja1">
    <tabColor rgb="FFC00000"/>
  </sheetPr>
  <dimension ref="A1:R26"/>
  <sheetViews>
    <sheetView workbookViewId="0">
      <selection activeCell="P10" sqref="P10"/>
    </sheetView>
  </sheetViews>
  <sheetFormatPr baseColWidth="10" defaultRowHeight="14.4" x14ac:dyDescent="0.3"/>
  <cols>
    <col min="1" max="1" width="11.88671875" bestFit="1" customWidth="1"/>
    <col min="2" max="2" width="2.88671875" customWidth="1"/>
    <col min="3" max="3" width="17.88671875" bestFit="1" customWidth="1"/>
    <col min="4" max="4" width="3.33203125" customWidth="1"/>
    <col min="5" max="5" width="16.88671875" customWidth="1"/>
    <col min="6" max="6" width="3.33203125" customWidth="1"/>
    <col min="7" max="7" width="13.109375" customWidth="1"/>
    <col min="8" max="8" width="3.33203125" customWidth="1"/>
    <col min="9" max="9" width="28.44140625" bestFit="1" customWidth="1"/>
    <col min="10" max="10" width="11.44140625" style="1"/>
    <col min="11" max="11" width="4.33203125" customWidth="1"/>
    <col min="12" max="12" width="12.44140625" bestFit="1" customWidth="1"/>
    <col min="13" max="13" width="5.33203125" customWidth="1"/>
    <col min="15" max="15" width="5.109375" customWidth="1"/>
    <col min="16" max="16" width="16.109375" customWidth="1"/>
    <col min="17" max="17" width="5.88671875" customWidth="1"/>
    <col min="18" max="18" width="12" customWidth="1"/>
  </cols>
  <sheetData>
    <row r="1" spans="1:18" x14ac:dyDescent="0.3">
      <c r="A1" t="s">
        <v>0</v>
      </c>
      <c r="C1" t="s">
        <v>3</v>
      </c>
      <c r="E1" t="s">
        <v>7</v>
      </c>
      <c r="G1" t="s">
        <v>13</v>
      </c>
      <c r="I1" t="s">
        <v>17</v>
      </c>
      <c r="J1" s="1" t="s">
        <v>18</v>
      </c>
      <c r="L1" t="s">
        <v>76</v>
      </c>
      <c r="N1" s="1" t="s">
        <v>269</v>
      </c>
      <c r="P1" t="s">
        <v>700</v>
      </c>
      <c r="R1" t="s">
        <v>701</v>
      </c>
    </row>
    <row r="2" spans="1:18" x14ac:dyDescent="0.3">
      <c r="A2" t="s">
        <v>2</v>
      </c>
      <c r="C2" t="s">
        <v>4</v>
      </c>
      <c r="E2" t="s">
        <v>8</v>
      </c>
      <c r="G2" t="s">
        <v>14</v>
      </c>
      <c r="I2" t="s">
        <v>19</v>
      </c>
      <c r="J2" s="1">
        <v>1</v>
      </c>
      <c r="L2" t="s">
        <v>2394</v>
      </c>
      <c r="N2" s="1">
        <v>0</v>
      </c>
      <c r="P2" t="s">
        <v>1</v>
      </c>
      <c r="R2" t="s">
        <v>702</v>
      </c>
    </row>
    <row r="3" spans="1:18" x14ac:dyDescent="0.3">
      <c r="A3" t="s">
        <v>1</v>
      </c>
      <c r="C3" t="s">
        <v>5</v>
      </c>
      <c r="E3" t="s">
        <v>9</v>
      </c>
      <c r="G3" t="s">
        <v>15</v>
      </c>
      <c r="I3" t="s">
        <v>20</v>
      </c>
      <c r="J3" s="1">
        <f>J2+1</f>
        <v>2</v>
      </c>
      <c r="L3" t="s">
        <v>2927</v>
      </c>
      <c r="N3" s="1">
        <v>1</v>
      </c>
      <c r="P3" t="s">
        <v>2</v>
      </c>
      <c r="R3" t="s">
        <v>703</v>
      </c>
    </row>
    <row r="4" spans="1:18" x14ac:dyDescent="0.3">
      <c r="A4" t="s">
        <v>1597</v>
      </c>
      <c r="C4" t="s">
        <v>6</v>
      </c>
      <c r="E4" t="s">
        <v>10</v>
      </c>
      <c r="G4" t="s">
        <v>10</v>
      </c>
      <c r="I4" t="s">
        <v>28</v>
      </c>
      <c r="J4" s="1">
        <f t="shared" ref="J4:J26" si="0">J3+1</f>
        <v>3</v>
      </c>
      <c r="L4" t="s">
        <v>78</v>
      </c>
    </row>
    <row r="5" spans="1:18" x14ac:dyDescent="0.3">
      <c r="A5" t="s">
        <v>1598</v>
      </c>
      <c r="E5" t="s">
        <v>11</v>
      </c>
      <c r="G5" t="s">
        <v>16</v>
      </c>
      <c r="I5" t="s">
        <v>262</v>
      </c>
      <c r="J5" s="1">
        <f t="shared" si="0"/>
        <v>4</v>
      </c>
      <c r="L5" t="s">
        <v>77</v>
      </c>
    </row>
    <row r="6" spans="1:18" x14ac:dyDescent="0.3">
      <c r="E6" t="s">
        <v>12</v>
      </c>
      <c r="I6" t="s">
        <v>81</v>
      </c>
      <c r="J6" s="1">
        <f t="shared" si="0"/>
        <v>5</v>
      </c>
      <c r="L6" t="s">
        <v>2933</v>
      </c>
      <c r="N6" t="s">
        <v>248</v>
      </c>
      <c r="P6" t="s">
        <v>61</v>
      </c>
    </row>
    <row r="7" spans="1:18" x14ac:dyDescent="0.3">
      <c r="I7" t="s">
        <v>29</v>
      </c>
      <c r="J7" s="1">
        <f t="shared" si="0"/>
        <v>6</v>
      </c>
      <c r="N7" t="s">
        <v>1</v>
      </c>
      <c r="P7" t="s">
        <v>2</v>
      </c>
    </row>
    <row r="8" spans="1:18" x14ac:dyDescent="0.3">
      <c r="I8" t="s">
        <v>30</v>
      </c>
      <c r="J8" s="1">
        <f t="shared" si="0"/>
        <v>7</v>
      </c>
      <c r="N8" t="s">
        <v>2</v>
      </c>
      <c r="P8" t="s">
        <v>3402</v>
      </c>
    </row>
    <row r="9" spans="1:18" x14ac:dyDescent="0.3">
      <c r="I9" t="s">
        <v>31</v>
      </c>
      <c r="J9" s="1">
        <f t="shared" si="0"/>
        <v>8</v>
      </c>
      <c r="N9" t="s">
        <v>2027</v>
      </c>
      <c r="P9" t="s">
        <v>3403</v>
      </c>
    </row>
    <row r="10" spans="1:18" x14ac:dyDescent="0.3">
      <c r="I10" t="s">
        <v>32</v>
      </c>
      <c r="J10" s="1">
        <f t="shared" si="0"/>
        <v>9</v>
      </c>
      <c r="L10" t="s">
        <v>704</v>
      </c>
      <c r="N10" t="s">
        <v>78</v>
      </c>
    </row>
    <row r="11" spans="1:18" x14ac:dyDescent="0.3">
      <c r="I11" t="s">
        <v>79</v>
      </c>
      <c r="J11" s="1">
        <f t="shared" si="0"/>
        <v>10</v>
      </c>
      <c r="L11" t="s">
        <v>2029</v>
      </c>
    </row>
    <row r="12" spans="1:18" x14ac:dyDescent="0.3">
      <c r="I12" t="s">
        <v>80</v>
      </c>
      <c r="J12" s="1">
        <f t="shared" si="0"/>
        <v>11</v>
      </c>
      <c r="L12" t="s">
        <v>733</v>
      </c>
    </row>
    <row r="13" spans="1:18" x14ac:dyDescent="0.3">
      <c r="I13" t="s">
        <v>34</v>
      </c>
      <c r="J13" s="1">
        <f t="shared" si="0"/>
        <v>12</v>
      </c>
      <c r="L13" t="s">
        <v>2028</v>
      </c>
    </row>
    <row r="14" spans="1:18" x14ac:dyDescent="0.3">
      <c r="I14" t="s">
        <v>35</v>
      </c>
      <c r="J14" s="1">
        <f t="shared" si="0"/>
        <v>13</v>
      </c>
    </row>
    <row r="15" spans="1:18" x14ac:dyDescent="0.3">
      <c r="I15" t="s">
        <v>21</v>
      </c>
      <c r="J15" s="1">
        <f t="shared" si="0"/>
        <v>14</v>
      </c>
    </row>
    <row r="16" spans="1:18" x14ac:dyDescent="0.3">
      <c r="I16" t="s">
        <v>22</v>
      </c>
      <c r="J16" s="1">
        <f t="shared" si="0"/>
        <v>15</v>
      </c>
    </row>
    <row r="17" spans="9:10" x14ac:dyDescent="0.3">
      <c r="I17" t="s">
        <v>5</v>
      </c>
      <c r="J17" s="1">
        <f t="shared" si="0"/>
        <v>16</v>
      </c>
    </row>
    <row r="18" spans="9:10" x14ac:dyDescent="0.3">
      <c r="I18" t="s">
        <v>4</v>
      </c>
      <c r="J18" s="1">
        <f t="shared" si="0"/>
        <v>17</v>
      </c>
    </row>
    <row r="19" spans="9:10" x14ac:dyDescent="0.3">
      <c r="I19" t="s">
        <v>23</v>
      </c>
      <c r="J19" s="1">
        <f t="shared" si="0"/>
        <v>18</v>
      </c>
    </row>
    <row r="20" spans="9:10" x14ac:dyDescent="0.3">
      <c r="I20" t="s">
        <v>24</v>
      </c>
      <c r="J20" s="1">
        <f t="shared" si="0"/>
        <v>19</v>
      </c>
    </row>
    <row r="21" spans="9:10" x14ac:dyDescent="0.3">
      <c r="I21" t="s">
        <v>82</v>
      </c>
      <c r="J21" s="1">
        <f t="shared" si="0"/>
        <v>20</v>
      </c>
    </row>
    <row r="22" spans="9:10" x14ac:dyDescent="0.3">
      <c r="I22" t="s">
        <v>25</v>
      </c>
      <c r="J22" s="1">
        <f t="shared" si="0"/>
        <v>21</v>
      </c>
    </row>
    <row r="23" spans="9:10" x14ac:dyDescent="0.3">
      <c r="I23" t="s">
        <v>26</v>
      </c>
      <c r="J23" s="1">
        <f t="shared" si="0"/>
        <v>22</v>
      </c>
    </row>
    <row r="24" spans="9:10" x14ac:dyDescent="0.3">
      <c r="I24" t="s">
        <v>27</v>
      </c>
      <c r="J24" s="1">
        <f t="shared" si="0"/>
        <v>23</v>
      </c>
    </row>
    <row r="25" spans="9:10" x14ac:dyDescent="0.3">
      <c r="I25" t="s">
        <v>33</v>
      </c>
      <c r="J25" s="1">
        <f t="shared" si="0"/>
        <v>24</v>
      </c>
    </row>
    <row r="26" spans="9:10" x14ac:dyDescent="0.3">
      <c r="I26" t="s">
        <v>36</v>
      </c>
      <c r="J26" s="1">
        <f t="shared" si="0"/>
        <v>25</v>
      </c>
    </row>
  </sheetData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0C109-3F51-4062-9F12-6B9F91B3BB1F}">
  <sheetPr codeName="Hoja6">
    <tabColor rgb="FFC00000"/>
  </sheetPr>
  <dimension ref="A1:S65"/>
  <sheetViews>
    <sheetView workbookViewId="0">
      <selection activeCell="C7" sqref="C7"/>
    </sheetView>
  </sheetViews>
  <sheetFormatPr baseColWidth="10" defaultRowHeight="14.4" x14ac:dyDescent="0.3"/>
  <cols>
    <col min="1" max="1" width="10.6640625" bestFit="1" customWidth="1"/>
    <col min="2" max="2" width="32.21875" bestFit="1" customWidth="1"/>
    <col min="3" max="3" width="31.6640625" bestFit="1" customWidth="1"/>
    <col min="4" max="4" width="13.33203125" bestFit="1" customWidth="1"/>
    <col min="5" max="5" width="54.33203125" bestFit="1" customWidth="1"/>
    <col min="6" max="6" width="16.77734375" bestFit="1" customWidth="1"/>
    <col min="7" max="7" width="13.109375" bestFit="1" customWidth="1"/>
    <col min="8" max="8" width="13" bestFit="1" customWidth="1"/>
    <col min="9" max="9" width="45" bestFit="1" customWidth="1"/>
    <col min="10" max="10" width="12.77734375" bestFit="1" customWidth="1"/>
    <col min="11" max="11" width="8.88671875" bestFit="1" customWidth="1"/>
    <col min="12" max="12" width="18.109375" bestFit="1" customWidth="1"/>
    <col min="13" max="13" width="21.44140625" bestFit="1" customWidth="1"/>
    <col min="14" max="14" width="19.44140625" bestFit="1" customWidth="1"/>
    <col min="15" max="15" width="9.77734375" bestFit="1" customWidth="1"/>
    <col min="16" max="16" width="18.5546875" bestFit="1" customWidth="1"/>
    <col min="17" max="17" width="16.88671875" bestFit="1" customWidth="1"/>
    <col min="18" max="18" width="16.44140625" bestFit="1" customWidth="1"/>
    <col min="19" max="19" width="10.21875" bestFit="1" customWidth="1"/>
  </cols>
  <sheetData>
    <row r="1" spans="1:19" s="8" customFormat="1" x14ac:dyDescent="0.3">
      <c r="A1" s="9">
        <v>1</v>
      </c>
      <c r="B1" s="9">
        <f>A1+1</f>
        <v>2</v>
      </c>
      <c r="C1" s="9">
        <f t="shared" ref="C1: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</row>
    <row r="2" spans="1:19" x14ac:dyDescent="0.3">
      <c r="A2" t="s">
        <v>37</v>
      </c>
      <c r="B2" t="s">
        <v>294</v>
      </c>
      <c r="C2" t="s">
        <v>39</v>
      </c>
      <c r="D2" t="s">
        <v>170</v>
      </c>
      <c r="E2" t="s">
        <v>41</v>
      </c>
      <c r="F2" t="s">
        <v>42</v>
      </c>
      <c r="G2" t="s">
        <v>43</v>
      </c>
      <c r="H2" t="s">
        <v>44</v>
      </c>
      <c r="I2" t="s">
        <v>46</v>
      </c>
      <c r="J2" t="s">
        <v>47</v>
      </c>
      <c r="K2" t="s">
        <v>53</v>
      </c>
      <c r="L2" t="s">
        <v>54</v>
      </c>
      <c r="M2" t="s">
        <v>295</v>
      </c>
      <c r="N2" t="s">
        <v>296</v>
      </c>
      <c r="O2" t="s">
        <v>58</v>
      </c>
      <c r="P2" t="s">
        <v>59</v>
      </c>
      <c r="Q2" t="s">
        <v>60</v>
      </c>
      <c r="R2" t="s">
        <v>61</v>
      </c>
      <c r="S2" t="s">
        <v>62</v>
      </c>
    </row>
    <row r="3" spans="1:19" x14ac:dyDescent="0.3">
      <c r="A3" t="s">
        <v>298</v>
      </c>
      <c r="B3" t="s">
        <v>299</v>
      </c>
      <c r="C3" t="s">
        <v>300</v>
      </c>
      <c r="D3" t="s">
        <v>575</v>
      </c>
      <c r="E3" t="s">
        <v>224</v>
      </c>
      <c r="F3" t="s">
        <v>301</v>
      </c>
      <c r="G3" t="s">
        <v>102</v>
      </c>
      <c r="H3" t="s">
        <v>428</v>
      </c>
      <c r="I3" t="s">
        <v>226</v>
      </c>
      <c r="J3" t="s">
        <v>111</v>
      </c>
      <c r="K3" t="s">
        <v>141</v>
      </c>
      <c r="L3" t="s">
        <v>302</v>
      </c>
      <c r="M3" t="s">
        <v>117</v>
      </c>
      <c r="N3" t="s">
        <v>117</v>
      </c>
      <c r="O3" t="s">
        <v>1</v>
      </c>
      <c r="P3" t="s">
        <v>117</v>
      </c>
      <c r="Q3" t="s">
        <v>117</v>
      </c>
      <c r="R3" t="s">
        <v>1</v>
      </c>
      <c r="S3">
        <v>1</v>
      </c>
    </row>
    <row r="4" spans="1:19" x14ac:dyDescent="0.3">
      <c r="A4" t="s">
        <v>303</v>
      </c>
      <c r="B4" t="s">
        <v>304</v>
      </c>
      <c r="C4" t="s">
        <v>305</v>
      </c>
      <c r="D4" t="s">
        <v>576</v>
      </c>
      <c r="E4" t="s">
        <v>107</v>
      </c>
      <c r="F4" t="s">
        <v>108</v>
      </c>
      <c r="G4" t="s">
        <v>102</v>
      </c>
      <c r="H4" t="s">
        <v>439</v>
      </c>
      <c r="I4" t="s">
        <v>109</v>
      </c>
      <c r="J4" t="s">
        <v>111</v>
      </c>
      <c r="K4" t="s">
        <v>119</v>
      </c>
      <c r="L4" t="s">
        <v>306</v>
      </c>
      <c r="M4" t="s">
        <v>110</v>
      </c>
      <c r="N4" t="s">
        <v>106</v>
      </c>
      <c r="O4" t="s">
        <v>1</v>
      </c>
      <c r="P4" t="s">
        <v>110</v>
      </c>
      <c r="Q4" t="s">
        <v>106</v>
      </c>
      <c r="R4" t="s">
        <v>1</v>
      </c>
      <c r="S4">
        <v>1</v>
      </c>
    </row>
    <row r="5" spans="1:19" x14ac:dyDescent="0.3">
      <c r="A5" t="s">
        <v>203</v>
      </c>
      <c r="B5" t="s">
        <v>204</v>
      </c>
      <c r="C5" t="s">
        <v>205</v>
      </c>
      <c r="D5" t="s">
        <v>577</v>
      </c>
      <c r="E5" t="s">
        <v>307</v>
      </c>
      <c r="F5" t="s">
        <v>108</v>
      </c>
      <c r="G5" t="s">
        <v>102</v>
      </c>
      <c r="H5" t="s">
        <v>206</v>
      </c>
      <c r="I5" t="s">
        <v>109</v>
      </c>
      <c r="J5" t="s">
        <v>111</v>
      </c>
      <c r="K5" t="s">
        <v>141</v>
      </c>
      <c r="L5" t="s">
        <v>207</v>
      </c>
      <c r="M5" t="s">
        <v>115</v>
      </c>
      <c r="N5" t="s">
        <v>115</v>
      </c>
      <c r="O5" t="s">
        <v>1</v>
      </c>
      <c r="P5" t="s">
        <v>115</v>
      </c>
      <c r="Q5" t="s">
        <v>115</v>
      </c>
      <c r="R5" t="s">
        <v>1</v>
      </c>
      <c r="S5">
        <v>1</v>
      </c>
    </row>
    <row r="6" spans="1:19" x14ac:dyDescent="0.3">
      <c r="A6" t="s">
        <v>308</v>
      </c>
      <c r="B6" t="s">
        <v>477</v>
      </c>
      <c r="C6" t="s">
        <v>309</v>
      </c>
      <c r="D6" t="s">
        <v>578</v>
      </c>
      <c r="E6" t="s">
        <v>310</v>
      </c>
      <c r="F6" t="s">
        <v>118</v>
      </c>
      <c r="G6" t="s">
        <v>102</v>
      </c>
      <c r="H6" t="s">
        <v>426</v>
      </c>
      <c r="I6" t="s">
        <v>311</v>
      </c>
      <c r="J6" t="s">
        <v>105</v>
      </c>
      <c r="K6" t="s">
        <v>119</v>
      </c>
      <c r="L6" t="s">
        <v>312</v>
      </c>
      <c r="M6" t="s">
        <v>313</v>
      </c>
      <c r="N6" t="s">
        <v>106</v>
      </c>
      <c r="O6" t="s">
        <v>1</v>
      </c>
      <c r="P6" t="s">
        <v>314</v>
      </c>
      <c r="Q6" t="s">
        <v>110</v>
      </c>
      <c r="R6" t="s">
        <v>1</v>
      </c>
      <c r="S6">
        <v>1</v>
      </c>
    </row>
    <row r="7" spans="1:19" x14ac:dyDescent="0.3">
      <c r="A7" t="s">
        <v>315</v>
      </c>
      <c r="B7" t="s">
        <v>316</v>
      </c>
      <c r="C7" t="s">
        <v>317</v>
      </c>
      <c r="D7" t="s">
        <v>579</v>
      </c>
      <c r="E7" t="s">
        <v>318</v>
      </c>
      <c r="F7" t="s">
        <v>301</v>
      </c>
      <c r="G7" t="s">
        <v>102</v>
      </c>
      <c r="H7" t="s">
        <v>580</v>
      </c>
      <c r="I7" t="s">
        <v>226</v>
      </c>
      <c r="J7" t="s">
        <v>111</v>
      </c>
      <c r="K7" t="s">
        <v>119</v>
      </c>
      <c r="L7" t="s">
        <v>319</v>
      </c>
      <c r="M7" t="s">
        <v>110</v>
      </c>
      <c r="N7" t="s">
        <v>110</v>
      </c>
      <c r="O7" t="s">
        <v>1</v>
      </c>
      <c r="P7" t="s">
        <v>110</v>
      </c>
      <c r="Q7" t="s">
        <v>110</v>
      </c>
      <c r="R7" t="s">
        <v>1</v>
      </c>
      <c r="S7">
        <v>1</v>
      </c>
    </row>
    <row r="8" spans="1:19" x14ac:dyDescent="0.3">
      <c r="A8" t="s">
        <v>155</v>
      </c>
      <c r="B8" t="s">
        <v>153</v>
      </c>
      <c r="C8" t="s">
        <v>154</v>
      </c>
      <c r="D8" t="s">
        <v>581</v>
      </c>
      <c r="E8" t="s">
        <v>156</v>
      </c>
      <c r="F8" t="s">
        <v>234</v>
      </c>
      <c r="G8" t="s">
        <v>102</v>
      </c>
      <c r="H8" t="s">
        <v>157</v>
      </c>
      <c r="I8" t="s">
        <v>158</v>
      </c>
      <c r="J8" t="s">
        <v>116</v>
      </c>
      <c r="K8" t="s">
        <v>141</v>
      </c>
      <c r="L8" t="s">
        <v>159</v>
      </c>
      <c r="M8" t="s">
        <v>323</v>
      </c>
      <c r="N8" t="s">
        <v>104</v>
      </c>
      <c r="O8" t="s">
        <v>1</v>
      </c>
      <c r="P8" t="s">
        <v>104</v>
      </c>
      <c r="Q8" t="s">
        <v>104</v>
      </c>
      <c r="R8" t="s">
        <v>1</v>
      </c>
      <c r="S8">
        <v>1</v>
      </c>
    </row>
    <row r="9" spans="1:19" x14ac:dyDescent="0.3">
      <c r="A9" t="s">
        <v>324</v>
      </c>
      <c r="B9" t="s">
        <v>325</v>
      </c>
      <c r="C9" t="s">
        <v>326</v>
      </c>
      <c r="D9" t="s">
        <v>582</v>
      </c>
      <c r="E9" t="s">
        <v>327</v>
      </c>
      <c r="F9" t="s">
        <v>328</v>
      </c>
      <c r="G9" t="s">
        <v>102</v>
      </c>
      <c r="H9" t="s">
        <v>583</v>
      </c>
      <c r="I9" t="s">
        <v>140</v>
      </c>
      <c r="J9" t="s">
        <v>111</v>
      </c>
      <c r="K9" t="s">
        <v>119</v>
      </c>
      <c r="L9" t="s">
        <v>329</v>
      </c>
      <c r="M9" t="s">
        <v>104</v>
      </c>
      <c r="N9" t="s">
        <v>104</v>
      </c>
      <c r="O9" t="s">
        <v>1</v>
      </c>
      <c r="P9" t="s">
        <v>104</v>
      </c>
      <c r="Q9" t="s">
        <v>104</v>
      </c>
      <c r="R9" t="s">
        <v>1</v>
      </c>
      <c r="S9">
        <v>1</v>
      </c>
    </row>
    <row r="10" spans="1:19" x14ac:dyDescent="0.3">
      <c r="A10" t="s">
        <v>330</v>
      </c>
      <c r="B10" t="s">
        <v>478</v>
      </c>
      <c r="C10" t="s">
        <v>331</v>
      </c>
      <c r="D10" t="s">
        <v>584</v>
      </c>
      <c r="E10" t="s">
        <v>332</v>
      </c>
      <c r="F10" t="s">
        <v>118</v>
      </c>
      <c r="G10" t="s">
        <v>102</v>
      </c>
      <c r="H10" t="s">
        <v>429</v>
      </c>
      <c r="I10" t="s">
        <v>226</v>
      </c>
      <c r="J10" t="s">
        <v>111</v>
      </c>
      <c r="K10" t="s">
        <v>119</v>
      </c>
      <c r="L10" t="s">
        <v>333</v>
      </c>
      <c r="M10" t="s">
        <v>122</v>
      </c>
      <c r="N10" t="s">
        <v>106</v>
      </c>
      <c r="O10" t="s">
        <v>1</v>
      </c>
      <c r="P10" t="s">
        <v>122</v>
      </c>
      <c r="Q10" t="s">
        <v>122</v>
      </c>
      <c r="R10" t="s">
        <v>2</v>
      </c>
      <c r="S10">
        <v>1</v>
      </c>
    </row>
    <row r="11" spans="1:19" x14ac:dyDescent="0.3">
      <c r="A11" t="s">
        <v>334</v>
      </c>
      <c r="B11" t="s">
        <v>335</v>
      </c>
      <c r="C11" t="s">
        <v>336</v>
      </c>
      <c r="D11" t="s">
        <v>585</v>
      </c>
      <c r="E11" t="s">
        <v>337</v>
      </c>
      <c r="F11" t="s">
        <v>338</v>
      </c>
      <c r="G11" t="s">
        <v>102</v>
      </c>
      <c r="H11" t="s">
        <v>586</v>
      </c>
      <c r="I11" t="s">
        <v>109</v>
      </c>
      <c r="J11" t="s">
        <v>111</v>
      </c>
      <c r="K11" t="s">
        <v>141</v>
      </c>
      <c r="L11" t="s">
        <v>339</v>
      </c>
      <c r="M11" t="s">
        <v>115</v>
      </c>
      <c r="N11" t="s">
        <v>115</v>
      </c>
      <c r="O11" t="s">
        <v>1</v>
      </c>
      <c r="P11" t="s">
        <v>115</v>
      </c>
      <c r="Q11" t="s">
        <v>115</v>
      </c>
      <c r="R11" t="s">
        <v>2</v>
      </c>
      <c r="S11">
        <v>1</v>
      </c>
    </row>
    <row r="12" spans="1:19" x14ac:dyDescent="0.3">
      <c r="A12" t="s">
        <v>138</v>
      </c>
      <c r="B12" t="s">
        <v>340</v>
      </c>
      <c r="C12" t="s">
        <v>137</v>
      </c>
      <c r="D12" t="s">
        <v>587</v>
      </c>
      <c r="E12" t="s">
        <v>341</v>
      </c>
      <c r="F12" t="s">
        <v>118</v>
      </c>
      <c r="G12" t="s">
        <v>102</v>
      </c>
      <c r="H12" t="s">
        <v>139</v>
      </c>
      <c r="I12" t="s">
        <v>109</v>
      </c>
      <c r="J12" t="s">
        <v>111</v>
      </c>
      <c r="K12" t="s">
        <v>119</v>
      </c>
      <c r="L12" t="s">
        <v>142</v>
      </c>
      <c r="M12" t="s">
        <v>115</v>
      </c>
      <c r="N12" t="s">
        <v>115</v>
      </c>
      <c r="O12" t="s">
        <v>1</v>
      </c>
      <c r="P12" t="s">
        <v>115</v>
      </c>
      <c r="Q12" t="s">
        <v>115</v>
      </c>
      <c r="R12" t="s">
        <v>342</v>
      </c>
      <c r="S12">
        <v>1</v>
      </c>
    </row>
    <row r="13" spans="1:19" x14ac:dyDescent="0.3">
      <c r="A13" t="s">
        <v>160</v>
      </c>
      <c r="B13" t="s">
        <v>479</v>
      </c>
      <c r="C13" t="s">
        <v>193</v>
      </c>
      <c r="D13" t="s">
        <v>588</v>
      </c>
      <c r="E13" t="s">
        <v>343</v>
      </c>
      <c r="F13" t="s">
        <v>118</v>
      </c>
      <c r="G13" t="s">
        <v>102</v>
      </c>
      <c r="H13" t="s">
        <v>161</v>
      </c>
      <c r="I13" t="s">
        <v>162</v>
      </c>
      <c r="J13" t="s">
        <v>118</v>
      </c>
      <c r="K13" t="s">
        <v>141</v>
      </c>
      <c r="L13" t="s">
        <v>163</v>
      </c>
      <c r="M13" t="s">
        <v>121</v>
      </c>
      <c r="N13" t="s">
        <v>121</v>
      </c>
      <c r="O13" t="s">
        <v>1</v>
      </c>
      <c r="P13" t="s">
        <v>121</v>
      </c>
      <c r="Q13" t="s">
        <v>121</v>
      </c>
      <c r="R13" t="s">
        <v>1</v>
      </c>
      <c r="S13">
        <v>1</v>
      </c>
    </row>
    <row r="14" spans="1:19" x14ac:dyDescent="0.3">
      <c r="A14" t="s">
        <v>208</v>
      </c>
      <c r="B14" t="s">
        <v>345</v>
      </c>
      <c r="C14" t="s">
        <v>209</v>
      </c>
      <c r="D14" t="s">
        <v>589</v>
      </c>
      <c r="E14" t="s">
        <v>346</v>
      </c>
      <c r="F14" t="s">
        <v>118</v>
      </c>
      <c r="G14" t="s">
        <v>102</v>
      </c>
      <c r="H14" t="s">
        <v>210</v>
      </c>
      <c r="I14" t="s">
        <v>135</v>
      </c>
      <c r="J14" t="s">
        <v>118</v>
      </c>
      <c r="K14" t="s">
        <v>119</v>
      </c>
      <c r="L14" t="s">
        <v>211</v>
      </c>
      <c r="M14" t="s">
        <v>121</v>
      </c>
      <c r="N14" t="s">
        <v>106</v>
      </c>
      <c r="O14" t="s">
        <v>1</v>
      </c>
      <c r="P14" t="s">
        <v>121</v>
      </c>
      <c r="Q14" t="s">
        <v>121</v>
      </c>
      <c r="R14" t="s">
        <v>342</v>
      </c>
      <c r="S14">
        <v>1</v>
      </c>
    </row>
    <row r="15" spans="1:19" x14ac:dyDescent="0.3">
      <c r="A15" t="s">
        <v>347</v>
      </c>
      <c r="B15" t="s">
        <v>348</v>
      </c>
      <c r="C15" t="s">
        <v>349</v>
      </c>
      <c r="D15" t="s">
        <v>590</v>
      </c>
      <c r="E15" t="s">
        <v>350</v>
      </c>
      <c r="F15" t="s">
        <v>234</v>
      </c>
      <c r="G15" t="s">
        <v>102</v>
      </c>
      <c r="H15" t="s">
        <v>591</v>
      </c>
      <c r="I15" t="s">
        <v>114</v>
      </c>
      <c r="J15" t="s">
        <v>116</v>
      </c>
      <c r="K15" t="s">
        <v>119</v>
      </c>
      <c r="L15" t="s">
        <v>351</v>
      </c>
      <c r="M15" t="s">
        <v>121</v>
      </c>
      <c r="N15" t="s">
        <v>106</v>
      </c>
      <c r="O15" t="s">
        <v>1</v>
      </c>
      <c r="P15" t="s">
        <v>121</v>
      </c>
      <c r="Q15" t="s">
        <v>121</v>
      </c>
      <c r="R15" t="s">
        <v>1</v>
      </c>
      <c r="S15">
        <v>1</v>
      </c>
    </row>
    <row r="16" spans="1:19" x14ac:dyDescent="0.3">
      <c r="A16" t="s">
        <v>352</v>
      </c>
      <c r="B16" t="s">
        <v>353</v>
      </c>
      <c r="C16" t="s">
        <v>354</v>
      </c>
      <c r="D16" t="s">
        <v>592</v>
      </c>
      <c r="E16" t="s">
        <v>355</v>
      </c>
      <c r="F16" t="s">
        <v>124</v>
      </c>
      <c r="G16" t="s">
        <v>102</v>
      </c>
      <c r="H16" t="s">
        <v>593</v>
      </c>
      <c r="I16" t="s">
        <v>192</v>
      </c>
      <c r="J16" t="s">
        <v>125</v>
      </c>
      <c r="K16" t="s">
        <v>141</v>
      </c>
      <c r="L16" t="s">
        <v>356</v>
      </c>
      <c r="M16" t="s">
        <v>121</v>
      </c>
      <c r="N16" t="s">
        <v>121</v>
      </c>
      <c r="O16" t="s">
        <v>1</v>
      </c>
      <c r="P16" t="s">
        <v>121</v>
      </c>
      <c r="Q16" t="s">
        <v>121</v>
      </c>
      <c r="R16" t="s">
        <v>1</v>
      </c>
      <c r="S16">
        <v>1</v>
      </c>
    </row>
    <row r="17" spans="1:19" x14ac:dyDescent="0.3">
      <c r="A17" t="s">
        <v>199</v>
      </c>
      <c r="B17" t="s">
        <v>200</v>
      </c>
      <c r="C17" t="s">
        <v>357</v>
      </c>
      <c r="D17" t="s">
        <v>594</v>
      </c>
      <c r="E17" t="s">
        <v>358</v>
      </c>
      <c r="F17" t="s">
        <v>359</v>
      </c>
      <c r="G17" t="s">
        <v>102</v>
      </c>
      <c r="H17" t="s">
        <v>201</v>
      </c>
      <c r="I17" t="s">
        <v>140</v>
      </c>
      <c r="J17" t="s">
        <v>125</v>
      </c>
      <c r="K17" t="s">
        <v>119</v>
      </c>
      <c r="L17" t="s">
        <v>202</v>
      </c>
      <c r="M17" t="s">
        <v>115</v>
      </c>
      <c r="N17" t="s">
        <v>106</v>
      </c>
      <c r="O17" t="s">
        <v>1</v>
      </c>
      <c r="P17" t="s">
        <v>115</v>
      </c>
      <c r="Q17" t="s">
        <v>115</v>
      </c>
      <c r="R17" t="s">
        <v>2</v>
      </c>
      <c r="S17">
        <v>1</v>
      </c>
    </row>
    <row r="18" spans="1:19" x14ac:dyDescent="0.3">
      <c r="A18" t="s">
        <v>360</v>
      </c>
      <c r="B18" t="s">
        <v>361</v>
      </c>
      <c r="C18" t="s">
        <v>362</v>
      </c>
      <c r="D18" t="s">
        <v>595</v>
      </c>
      <c r="E18" t="s">
        <v>363</v>
      </c>
      <c r="F18" t="s">
        <v>234</v>
      </c>
      <c r="G18" t="s">
        <v>102</v>
      </c>
      <c r="H18" t="s">
        <v>596</v>
      </c>
      <c r="I18" t="s">
        <v>136</v>
      </c>
      <c r="J18" t="s">
        <v>116</v>
      </c>
      <c r="K18" t="s">
        <v>141</v>
      </c>
      <c r="L18" t="s">
        <v>364</v>
      </c>
      <c r="M18" t="s">
        <v>115</v>
      </c>
      <c r="N18" t="s">
        <v>115</v>
      </c>
      <c r="O18" t="s">
        <v>1</v>
      </c>
      <c r="P18" t="s">
        <v>115</v>
      </c>
      <c r="Q18" t="s">
        <v>115</v>
      </c>
      <c r="R18" t="s">
        <v>342</v>
      </c>
      <c r="S18">
        <v>1</v>
      </c>
    </row>
    <row r="19" spans="1:19" x14ac:dyDescent="0.3">
      <c r="A19" t="s">
        <v>368</v>
      </c>
      <c r="B19" t="s">
        <v>369</v>
      </c>
      <c r="C19" t="s">
        <v>370</v>
      </c>
      <c r="D19" t="s">
        <v>597</v>
      </c>
      <c r="E19" t="s">
        <v>371</v>
      </c>
      <c r="F19" t="s">
        <v>108</v>
      </c>
      <c r="G19" t="s">
        <v>102</v>
      </c>
      <c r="H19" t="s">
        <v>598</v>
      </c>
      <c r="I19" t="s">
        <v>109</v>
      </c>
      <c r="J19" t="s">
        <v>111</v>
      </c>
      <c r="K19" t="s">
        <v>119</v>
      </c>
      <c r="L19" t="s">
        <v>372</v>
      </c>
      <c r="M19" t="s">
        <v>110</v>
      </c>
      <c r="N19" t="s">
        <v>106</v>
      </c>
      <c r="O19" t="s">
        <v>1</v>
      </c>
      <c r="P19" t="s">
        <v>110</v>
      </c>
      <c r="Q19" t="s">
        <v>110</v>
      </c>
      <c r="R19" t="s">
        <v>2</v>
      </c>
      <c r="S19">
        <v>1</v>
      </c>
    </row>
    <row r="20" spans="1:19" x14ac:dyDescent="0.3">
      <c r="A20" t="s">
        <v>373</v>
      </c>
      <c r="B20" t="s">
        <v>374</v>
      </c>
      <c r="C20" t="s">
        <v>375</v>
      </c>
      <c r="D20" t="s">
        <v>599</v>
      </c>
      <c r="E20" t="s">
        <v>376</v>
      </c>
      <c r="F20" t="s">
        <v>148</v>
      </c>
      <c r="G20" t="s">
        <v>102</v>
      </c>
      <c r="H20" t="s">
        <v>600</v>
      </c>
      <c r="I20" t="s">
        <v>245</v>
      </c>
      <c r="J20" t="s">
        <v>111</v>
      </c>
      <c r="K20" t="s">
        <v>119</v>
      </c>
      <c r="L20" t="s">
        <v>377</v>
      </c>
      <c r="M20" t="s">
        <v>117</v>
      </c>
      <c r="N20" t="s">
        <v>106</v>
      </c>
      <c r="O20" t="s">
        <v>1</v>
      </c>
      <c r="P20" t="s">
        <v>117</v>
      </c>
      <c r="Q20" t="s">
        <v>117</v>
      </c>
      <c r="R20" t="s">
        <v>1</v>
      </c>
      <c r="S20">
        <v>1</v>
      </c>
    </row>
    <row r="21" spans="1:19" x14ac:dyDescent="0.3">
      <c r="A21" t="s">
        <v>378</v>
      </c>
      <c r="B21" t="s">
        <v>379</v>
      </c>
      <c r="C21" t="s">
        <v>380</v>
      </c>
      <c r="D21" t="s">
        <v>601</v>
      </c>
      <c r="E21" t="s">
        <v>381</v>
      </c>
      <c r="F21" t="s">
        <v>118</v>
      </c>
      <c r="G21" t="s">
        <v>102</v>
      </c>
      <c r="H21" t="s">
        <v>450</v>
      </c>
      <c r="I21" t="s">
        <v>103</v>
      </c>
      <c r="J21" t="s">
        <v>105</v>
      </c>
      <c r="K21" t="s">
        <v>119</v>
      </c>
      <c r="L21" t="s">
        <v>382</v>
      </c>
      <c r="M21" t="s">
        <v>115</v>
      </c>
      <c r="N21" t="s">
        <v>106</v>
      </c>
      <c r="O21" t="s">
        <v>1</v>
      </c>
      <c r="P21" t="s">
        <v>115</v>
      </c>
      <c r="Q21" t="s">
        <v>115</v>
      </c>
      <c r="R21" t="s">
        <v>342</v>
      </c>
      <c r="S21">
        <v>1</v>
      </c>
    </row>
    <row r="22" spans="1:19" x14ac:dyDescent="0.3">
      <c r="A22" t="s">
        <v>388</v>
      </c>
      <c r="B22" t="s">
        <v>389</v>
      </c>
      <c r="C22" t="s">
        <v>390</v>
      </c>
      <c r="D22" t="s">
        <v>602</v>
      </c>
      <c r="E22" t="s">
        <v>391</v>
      </c>
      <c r="F22" t="s">
        <v>112</v>
      </c>
      <c r="G22" t="s">
        <v>102</v>
      </c>
      <c r="H22" t="s">
        <v>469</v>
      </c>
      <c r="I22" t="s">
        <v>140</v>
      </c>
      <c r="J22" t="s">
        <v>480</v>
      </c>
      <c r="K22" t="s">
        <v>119</v>
      </c>
      <c r="L22" t="s">
        <v>392</v>
      </c>
      <c r="M22" t="s">
        <v>110</v>
      </c>
      <c r="N22" t="s">
        <v>106</v>
      </c>
      <c r="O22" t="s">
        <v>1</v>
      </c>
      <c r="P22" t="s">
        <v>110</v>
      </c>
      <c r="Q22" t="s">
        <v>110</v>
      </c>
      <c r="R22" t="s">
        <v>342</v>
      </c>
      <c r="S22">
        <v>1</v>
      </c>
    </row>
    <row r="23" spans="1:19" x14ac:dyDescent="0.3">
      <c r="A23" t="s">
        <v>251</v>
      </c>
      <c r="B23" t="s">
        <v>252</v>
      </c>
      <c r="C23" t="s">
        <v>253</v>
      </c>
      <c r="D23" t="s">
        <v>603</v>
      </c>
      <c r="E23" t="s">
        <v>393</v>
      </c>
      <c r="F23" t="s">
        <v>118</v>
      </c>
      <c r="G23" t="s">
        <v>102</v>
      </c>
      <c r="H23" t="s">
        <v>254</v>
      </c>
      <c r="I23" t="s">
        <v>135</v>
      </c>
      <c r="J23" t="s">
        <v>118</v>
      </c>
      <c r="K23" t="s">
        <v>119</v>
      </c>
      <c r="L23" t="s">
        <v>255</v>
      </c>
      <c r="M23" t="s">
        <v>104</v>
      </c>
      <c r="N23" t="s">
        <v>106</v>
      </c>
      <c r="O23" t="s">
        <v>1</v>
      </c>
      <c r="P23" t="s">
        <v>104</v>
      </c>
      <c r="Q23" t="s">
        <v>104</v>
      </c>
      <c r="R23" t="s">
        <v>2</v>
      </c>
      <c r="S23">
        <v>1</v>
      </c>
    </row>
    <row r="24" spans="1:19" x14ac:dyDescent="0.3">
      <c r="A24" t="s">
        <v>394</v>
      </c>
      <c r="B24" t="s">
        <v>395</v>
      </c>
      <c r="C24" t="s">
        <v>396</v>
      </c>
      <c r="D24" t="s">
        <v>604</v>
      </c>
      <c r="E24" t="s">
        <v>397</v>
      </c>
      <c r="F24" t="s">
        <v>118</v>
      </c>
      <c r="G24" t="s">
        <v>102</v>
      </c>
      <c r="H24" t="s">
        <v>605</v>
      </c>
      <c r="I24" t="s">
        <v>398</v>
      </c>
      <c r="J24" t="s">
        <v>105</v>
      </c>
      <c r="K24" t="s">
        <v>119</v>
      </c>
      <c r="L24" t="s">
        <v>399</v>
      </c>
      <c r="M24" t="s">
        <v>104</v>
      </c>
      <c r="N24" t="s">
        <v>106</v>
      </c>
      <c r="O24" t="s">
        <v>1</v>
      </c>
      <c r="P24" t="s">
        <v>104</v>
      </c>
      <c r="Q24" t="s">
        <v>104</v>
      </c>
      <c r="R24" t="s">
        <v>2</v>
      </c>
      <c r="S24">
        <v>1</v>
      </c>
    </row>
    <row r="25" spans="1:19" x14ac:dyDescent="0.3">
      <c r="A25" t="s">
        <v>406</v>
      </c>
      <c r="B25" t="s">
        <v>407</v>
      </c>
      <c r="C25" t="s">
        <v>408</v>
      </c>
      <c r="D25" t="s">
        <v>606</v>
      </c>
      <c r="E25" t="s">
        <v>481</v>
      </c>
      <c r="F25" t="s">
        <v>409</v>
      </c>
      <c r="G25" t="s">
        <v>102</v>
      </c>
      <c r="H25" t="s">
        <v>416</v>
      </c>
      <c r="I25" t="s">
        <v>135</v>
      </c>
      <c r="J25" t="s">
        <v>118</v>
      </c>
      <c r="K25" t="s">
        <v>119</v>
      </c>
      <c r="L25" t="s">
        <v>410</v>
      </c>
      <c r="M25" t="s">
        <v>117</v>
      </c>
      <c r="N25" t="s">
        <v>106</v>
      </c>
      <c r="O25" t="s">
        <v>1</v>
      </c>
      <c r="P25" t="s">
        <v>117</v>
      </c>
      <c r="Q25" t="s">
        <v>117</v>
      </c>
      <c r="R25" t="s">
        <v>1</v>
      </c>
      <c r="S25">
        <v>1</v>
      </c>
    </row>
    <row r="26" spans="1:19" x14ac:dyDescent="0.3">
      <c r="A26" t="s">
        <v>264</v>
      </c>
      <c r="B26" t="s">
        <v>265</v>
      </c>
      <c r="C26" t="s">
        <v>266</v>
      </c>
      <c r="D26" t="s">
        <v>607</v>
      </c>
      <c r="E26" t="s">
        <v>404</v>
      </c>
      <c r="F26" t="s">
        <v>118</v>
      </c>
      <c r="G26" t="s">
        <v>102</v>
      </c>
      <c r="H26" t="s">
        <v>267</v>
      </c>
      <c r="I26" t="s">
        <v>123</v>
      </c>
      <c r="J26" t="s">
        <v>118</v>
      </c>
      <c r="K26" t="s">
        <v>119</v>
      </c>
      <c r="L26" t="s">
        <v>268</v>
      </c>
      <c r="M26" t="s">
        <v>117</v>
      </c>
      <c r="N26" t="s">
        <v>106</v>
      </c>
      <c r="O26" t="s">
        <v>1</v>
      </c>
      <c r="P26" t="s">
        <v>117</v>
      </c>
      <c r="Q26" t="s">
        <v>117</v>
      </c>
      <c r="R26" t="s">
        <v>2</v>
      </c>
      <c r="S26">
        <v>1</v>
      </c>
    </row>
    <row r="27" spans="1:19" x14ac:dyDescent="0.3">
      <c r="A27" t="s">
        <v>282</v>
      </c>
      <c r="B27" t="s">
        <v>283</v>
      </c>
      <c r="C27" t="s">
        <v>405</v>
      </c>
      <c r="D27" t="s">
        <v>608</v>
      </c>
      <c r="E27" t="s">
        <v>284</v>
      </c>
      <c r="F27" t="s">
        <v>108</v>
      </c>
      <c r="G27" t="s">
        <v>102</v>
      </c>
      <c r="H27" t="s">
        <v>285</v>
      </c>
      <c r="I27" t="s">
        <v>109</v>
      </c>
      <c r="J27" t="s">
        <v>111</v>
      </c>
      <c r="K27" t="s">
        <v>141</v>
      </c>
      <c r="L27" t="s">
        <v>286</v>
      </c>
      <c r="M27" t="s">
        <v>104</v>
      </c>
      <c r="N27" t="s">
        <v>104</v>
      </c>
      <c r="O27" t="s">
        <v>1</v>
      </c>
      <c r="P27" t="s">
        <v>104</v>
      </c>
      <c r="Q27" t="s">
        <v>104</v>
      </c>
      <c r="R27" t="s">
        <v>2</v>
      </c>
      <c r="S27">
        <v>1</v>
      </c>
    </row>
    <row r="28" spans="1:19" x14ac:dyDescent="0.3">
      <c r="A28" t="s">
        <v>165</v>
      </c>
      <c r="B28" t="s">
        <v>411</v>
      </c>
      <c r="C28" t="s">
        <v>164</v>
      </c>
      <c r="D28" t="s">
        <v>609</v>
      </c>
      <c r="E28" t="s">
        <v>412</v>
      </c>
      <c r="F28" t="s">
        <v>301</v>
      </c>
      <c r="G28" t="s">
        <v>102</v>
      </c>
      <c r="H28" t="s">
        <v>166</v>
      </c>
      <c r="I28" t="s">
        <v>167</v>
      </c>
      <c r="J28" t="s">
        <v>167</v>
      </c>
      <c r="K28" t="s">
        <v>119</v>
      </c>
      <c r="L28" t="s">
        <v>168</v>
      </c>
      <c r="M28" t="s">
        <v>104</v>
      </c>
      <c r="N28" t="s">
        <v>106</v>
      </c>
      <c r="O28" t="s">
        <v>1</v>
      </c>
      <c r="P28" t="s">
        <v>104</v>
      </c>
      <c r="Q28" t="s">
        <v>104</v>
      </c>
      <c r="R28" t="s">
        <v>1</v>
      </c>
      <c r="S28">
        <v>1</v>
      </c>
    </row>
    <row r="29" spans="1:19" x14ac:dyDescent="0.3">
      <c r="A29" t="s">
        <v>434</v>
      </c>
      <c r="B29" t="s">
        <v>430</v>
      </c>
      <c r="C29" t="s">
        <v>431</v>
      </c>
      <c r="D29" t="s">
        <v>610</v>
      </c>
      <c r="E29" t="s">
        <v>482</v>
      </c>
      <c r="F29" t="s">
        <v>432</v>
      </c>
      <c r="G29" t="s">
        <v>102</v>
      </c>
      <c r="H29" t="s">
        <v>611</v>
      </c>
      <c r="I29" t="s">
        <v>566</v>
      </c>
      <c r="J29" t="s">
        <v>567</v>
      </c>
      <c r="K29" t="s">
        <v>141</v>
      </c>
      <c r="L29" t="s">
        <v>433</v>
      </c>
      <c r="M29" t="s">
        <v>122</v>
      </c>
      <c r="N29" t="s">
        <v>122</v>
      </c>
      <c r="O29" t="s">
        <v>1</v>
      </c>
      <c r="P29" t="s">
        <v>122</v>
      </c>
      <c r="Q29" t="s">
        <v>122</v>
      </c>
      <c r="R29" t="s">
        <v>1</v>
      </c>
      <c r="S29">
        <v>1</v>
      </c>
    </row>
    <row r="30" spans="1:19" x14ac:dyDescent="0.3">
      <c r="A30" t="s">
        <v>383</v>
      </c>
      <c r="B30" t="s">
        <v>384</v>
      </c>
      <c r="C30" t="s">
        <v>385</v>
      </c>
      <c r="D30" t="s">
        <v>612</v>
      </c>
      <c r="E30" t="s">
        <v>483</v>
      </c>
      <c r="F30" t="s">
        <v>301</v>
      </c>
      <c r="G30" t="s">
        <v>102</v>
      </c>
      <c r="H30" t="s">
        <v>613</v>
      </c>
      <c r="I30" t="s">
        <v>386</v>
      </c>
      <c r="J30" t="s">
        <v>112</v>
      </c>
      <c r="K30" t="s">
        <v>119</v>
      </c>
      <c r="L30" t="s">
        <v>387</v>
      </c>
      <c r="M30" t="s">
        <v>110</v>
      </c>
      <c r="N30" t="s">
        <v>106</v>
      </c>
      <c r="O30" t="s">
        <v>1</v>
      </c>
      <c r="P30" t="s">
        <v>110</v>
      </c>
      <c r="Q30" t="s">
        <v>110</v>
      </c>
      <c r="R30" t="s">
        <v>2</v>
      </c>
      <c r="S30">
        <v>1</v>
      </c>
    </row>
    <row r="31" spans="1:19" x14ac:dyDescent="0.3">
      <c r="A31" t="s">
        <v>147</v>
      </c>
      <c r="B31" t="s">
        <v>146</v>
      </c>
      <c r="C31" t="s">
        <v>484</v>
      </c>
      <c r="D31" t="s">
        <v>614</v>
      </c>
      <c r="E31" t="s">
        <v>366</v>
      </c>
      <c r="F31" t="s">
        <v>148</v>
      </c>
      <c r="G31" t="s">
        <v>102</v>
      </c>
      <c r="H31" t="s">
        <v>149</v>
      </c>
      <c r="I31" t="s">
        <v>150</v>
      </c>
      <c r="J31" t="s">
        <v>112</v>
      </c>
      <c r="K31" t="s">
        <v>119</v>
      </c>
      <c r="L31" t="s">
        <v>151</v>
      </c>
      <c r="M31" t="s">
        <v>152</v>
      </c>
      <c r="N31" t="s">
        <v>106</v>
      </c>
      <c r="O31" t="s">
        <v>1</v>
      </c>
      <c r="P31" t="s">
        <v>152</v>
      </c>
      <c r="Q31" t="s">
        <v>152</v>
      </c>
      <c r="R31" t="s">
        <v>2</v>
      </c>
      <c r="S31">
        <v>1</v>
      </c>
    </row>
    <row r="32" spans="1:19" x14ac:dyDescent="0.3">
      <c r="A32" t="s">
        <v>287</v>
      </c>
      <c r="B32" t="s">
        <v>288</v>
      </c>
      <c r="C32" t="s">
        <v>289</v>
      </c>
      <c r="D32" t="s">
        <v>615</v>
      </c>
      <c r="E32" t="s">
        <v>290</v>
      </c>
      <c r="F32" t="s">
        <v>409</v>
      </c>
      <c r="G32" t="s">
        <v>102</v>
      </c>
      <c r="H32" t="s">
        <v>291</v>
      </c>
      <c r="I32" t="s">
        <v>292</v>
      </c>
      <c r="J32" t="s">
        <v>427</v>
      </c>
      <c r="K32" t="s">
        <v>119</v>
      </c>
      <c r="L32" t="s">
        <v>293</v>
      </c>
      <c r="M32" t="s">
        <v>122</v>
      </c>
      <c r="N32" t="s">
        <v>106</v>
      </c>
      <c r="O32" t="s">
        <v>1</v>
      </c>
      <c r="P32" t="s">
        <v>122</v>
      </c>
      <c r="Q32" t="s">
        <v>122</v>
      </c>
      <c r="R32" t="s">
        <v>2</v>
      </c>
      <c r="S32">
        <v>1</v>
      </c>
    </row>
    <row r="33" spans="1:19" x14ac:dyDescent="0.3">
      <c r="A33" t="s">
        <v>217</v>
      </c>
      <c r="B33" t="s">
        <v>218</v>
      </c>
      <c r="C33" t="s">
        <v>219</v>
      </c>
      <c r="D33" t="s">
        <v>616</v>
      </c>
      <c r="E33" t="s">
        <v>485</v>
      </c>
      <c r="F33" t="s">
        <v>118</v>
      </c>
      <c r="G33" t="s">
        <v>102</v>
      </c>
      <c r="H33" t="s">
        <v>220</v>
      </c>
      <c r="I33" t="s">
        <v>132</v>
      </c>
      <c r="J33" t="s">
        <v>112</v>
      </c>
      <c r="K33" t="s">
        <v>119</v>
      </c>
      <c r="L33" t="s">
        <v>365</v>
      </c>
      <c r="M33" t="s">
        <v>122</v>
      </c>
      <c r="N33" t="s">
        <v>106</v>
      </c>
      <c r="O33" t="s">
        <v>1</v>
      </c>
      <c r="P33" t="s">
        <v>122</v>
      </c>
      <c r="Q33" t="s">
        <v>122</v>
      </c>
      <c r="R33" t="s">
        <v>2</v>
      </c>
      <c r="S33">
        <v>1</v>
      </c>
    </row>
    <row r="34" spans="1:19" x14ac:dyDescent="0.3">
      <c r="A34" t="s">
        <v>221</v>
      </c>
      <c r="B34" t="s">
        <v>222</v>
      </c>
      <c r="C34" t="s">
        <v>223</v>
      </c>
      <c r="D34" t="s">
        <v>617</v>
      </c>
      <c r="E34" t="s">
        <v>224</v>
      </c>
      <c r="F34" t="s">
        <v>301</v>
      </c>
      <c r="G34" t="s">
        <v>102</v>
      </c>
      <c r="H34" t="s">
        <v>225</v>
      </c>
      <c r="I34" t="s">
        <v>226</v>
      </c>
      <c r="J34" t="s">
        <v>111</v>
      </c>
      <c r="K34" t="s">
        <v>119</v>
      </c>
      <c r="L34" t="s">
        <v>227</v>
      </c>
      <c r="M34" t="s">
        <v>122</v>
      </c>
      <c r="N34" t="s">
        <v>106</v>
      </c>
      <c r="O34" t="s">
        <v>1</v>
      </c>
      <c r="P34" t="s">
        <v>122</v>
      </c>
      <c r="Q34" t="s">
        <v>122</v>
      </c>
      <c r="R34" t="s">
        <v>1</v>
      </c>
      <c r="S34">
        <v>1</v>
      </c>
    </row>
    <row r="35" spans="1:19" x14ac:dyDescent="0.3">
      <c r="A35" t="s">
        <v>212</v>
      </c>
      <c r="B35" t="s">
        <v>213</v>
      </c>
      <c r="C35" t="s">
        <v>568</v>
      </c>
      <c r="D35" t="s">
        <v>618</v>
      </c>
      <c r="E35" t="s">
        <v>214</v>
      </c>
      <c r="F35" t="s">
        <v>112</v>
      </c>
      <c r="G35" t="s">
        <v>102</v>
      </c>
      <c r="H35" t="s">
        <v>215</v>
      </c>
      <c r="I35" t="s">
        <v>150</v>
      </c>
      <c r="J35" t="s">
        <v>112</v>
      </c>
      <c r="K35" t="s">
        <v>119</v>
      </c>
      <c r="L35" t="s">
        <v>216</v>
      </c>
      <c r="M35" t="s">
        <v>115</v>
      </c>
      <c r="N35" t="s">
        <v>106</v>
      </c>
      <c r="O35" t="s">
        <v>1</v>
      </c>
      <c r="P35" t="s">
        <v>115</v>
      </c>
      <c r="Q35" t="s">
        <v>115</v>
      </c>
      <c r="R35" t="s">
        <v>2</v>
      </c>
      <c r="S35">
        <v>1</v>
      </c>
    </row>
    <row r="36" spans="1:19" x14ac:dyDescent="0.3">
      <c r="A36" t="s">
        <v>175</v>
      </c>
      <c r="B36" t="s">
        <v>176</v>
      </c>
      <c r="C36" t="s">
        <v>263</v>
      </c>
      <c r="D36" t="s">
        <v>619</v>
      </c>
      <c r="E36" t="s">
        <v>177</v>
      </c>
      <c r="F36" t="s">
        <v>297</v>
      </c>
      <c r="G36" t="s">
        <v>102</v>
      </c>
      <c r="H36" t="s">
        <v>178</v>
      </c>
      <c r="I36" t="s">
        <v>167</v>
      </c>
      <c r="J36" t="s">
        <v>167</v>
      </c>
      <c r="K36" t="s">
        <v>141</v>
      </c>
      <c r="L36" t="s">
        <v>179</v>
      </c>
      <c r="M36" t="s">
        <v>110</v>
      </c>
      <c r="N36" t="s">
        <v>110</v>
      </c>
      <c r="O36" t="s">
        <v>1</v>
      </c>
      <c r="P36" t="s">
        <v>110</v>
      </c>
      <c r="Q36" t="s">
        <v>110</v>
      </c>
      <c r="R36" t="s">
        <v>2</v>
      </c>
      <c r="S36">
        <v>1</v>
      </c>
    </row>
    <row r="37" spans="1:19" x14ac:dyDescent="0.3">
      <c r="A37" t="s">
        <v>320</v>
      </c>
      <c r="B37" t="s">
        <v>321</v>
      </c>
      <c r="C37" t="s">
        <v>322</v>
      </c>
      <c r="D37" t="s">
        <v>620</v>
      </c>
      <c r="E37" t="s">
        <v>486</v>
      </c>
      <c r="F37" t="s">
        <v>118</v>
      </c>
      <c r="G37" t="s">
        <v>102</v>
      </c>
      <c r="H37" t="s">
        <v>424</v>
      </c>
      <c r="I37" t="s">
        <v>113</v>
      </c>
      <c r="J37" t="s">
        <v>112</v>
      </c>
      <c r="K37" t="s">
        <v>119</v>
      </c>
      <c r="L37" t="s">
        <v>425</v>
      </c>
      <c r="M37" t="s">
        <v>117</v>
      </c>
      <c r="N37" t="s">
        <v>106</v>
      </c>
      <c r="O37" t="s">
        <v>1</v>
      </c>
      <c r="P37" t="s">
        <v>117</v>
      </c>
      <c r="Q37" t="s">
        <v>117</v>
      </c>
      <c r="R37" t="s">
        <v>1</v>
      </c>
      <c r="S37">
        <v>1</v>
      </c>
    </row>
    <row r="38" spans="1:19" x14ac:dyDescent="0.3">
      <c r="A38" t="s">
        <v>228</v>
      </c>
      <c r="B38" t="s">
        <v>229</v>
      </c>
      <c r="C38" t="s">
        <v>230</v>
      </c>
      <c r="D38" t="s">
        <v>621</v>
      </c>
      <c r="E38" t="s">
        <v>569</v>
      </c>
      <c r="F38" t="s">
        <v>231</v>
      </c>
      <c r="G38" t="s">
        <v>102</v>
      </c>
      <c r="H38" t="s">
        <v>232</v>
      </c>
      <c r="I38" t="s">
        <v>235</v>
      </c>
      <c r="J38" t="s">
        <v>125</v>
      </c>
      <c r="K38" t="s">
        <v>119</v>
      </c>
      <c r="L38" t="s">
        <v>233</v>
      </c>
      <c r="M38" t="s">
        <v>117</v>
      </c>
      <c r="N38" t="s">
        <v>106</v>
      </c>
      <c r="O38" t="s">
        <v>1</v>
      </c>
      <c r="P38" t="s">
        <v>117</v>
      </c>
      <c r="Q38" t="s">
        <v>117</v>
      </c>
      <c r="R38" t="s">
        <v>1</v>
      </c>
      <c r="S38">
        <v>1</v>
      </c>
    </row>
    <row r="39" spans="1:19" x14ac:dyDescent="0.3">
      <c r="A39" t="s">
        <v>400</v>
      </c>
      <c r="B39" t="s">
        <v>401</v>
      </c>
      <c r="C39" t="s">
        <v>402</v>
      </c>
      <c r="D39" t="s">
        <v>622</v>
      </c>
      <c r="E39" t="s">
        <v>414</v>
      </c>
      <c r="F39" t="s">
        <v>359</v>
      </c>
      <c r="G39" t="s">
        <v>102</v>
      </c>
      <c r="H39" t="s">
        <v>415</v>
      </c>
      <c r="I39" t="s">
        <v>192</v>
      </c>
      <c r="J39" t="s">
        <v>125</v>
      </c>
      <c r="K39" t="s">
        <v>141</v>
      </c>
      <c r="L39" t="s">
        <v>403</v>
      </c>
      <c r="M39" t="s">
        <v>117</v>
      </c>
      <c r="N39" t="s">
        <v>117</v>
      </c>
      <c r="O39" t="s">
        <v>1</v>
      </c>
      <c r="P39" t="s">
        <v>117</v>
      </c>
      <c r="Q39" t="s">
        <v>117</v>
      </c>
      <c r="R39" t="s">
        <v>1</v>
      </c>
      <c r="S39">
        <v>1</v>
      </c>
    </row>
    <row r="40" spans="1:19" x14ac:dyDescent="0.3">
      <c r="A40" t="s">
        <v>174</v>
      </c>
      <c r="B40" t="s">
        <v>143</v>
      </c>
      <c r="C40" t="s">
        <v>250</v>
      </c>
      <c r="D40" t="s">
        <v>623</v>
      </c>
      <c r="E40" t="s">
        <v>570</v>
      </c>
      <c r="F40" t="s">
        <v>112</v>
      </c>
      <c r="G40" t="s">
        <v>102</v>
      </c>
      <c r="H40" t="s">
        <v>144</v>
      </c>
      <c r="I40" t="s">
        <v>134</v>
      </c>
      <c r="J40" t="s">
        <v>112</v>
      </c>
      <c r="K40" t="s">
        <v>119</v>
      </c>
      <c r="L40" t="s">
        <v>145</v>
      </c>
      <c r="M40" t="s">
        <v>110</v>
      </c>
      <c r="N40" t="s">
        <v>106</v>
      </c>
      <c r="O40" t="s">
        <v>1</v>
      </c>
      <c r="P40" t="s">
        <v>110</v>
      </c>
      <c r="Q40" t="s">
        <v>110</v>
      </c>
      <c r="R40" t="s">
        <v>342</v>
      </c>
      <c r="S40">
        <v>1</v>
      </c>
    </row>
    <row r="41" spans="1:19" x14ac:dyDescent="0.3">
      <c r="A41" t="s">
        <v>1709</v>
      </c>
      <c r="B41" t="s">
        <v>194</v>
      </c>
      <c r="C41" t="s">
        <v>195</v>
      </c>
      <c r="D41" t="s">
        <v>624</v>
      </c>
      <c r="E41" t="s">
        <v>196</v>
      </c>
      <c r="F41" t="s">
        <v>367</v>
      </c>
      <c r="G41" t="s">
        <v>102</v>
      </c>
      <c r="H41" t="s">
        <v>197</v>
      </c>
      <c r="I41" t="s">
        <v>126</v>
      </c>
      <c r="J41" t="s">
        <v>116</v>
      </c>
      <c r="K41" t="s">
        <v>119</v>
      </c>
      <c r="L41" t="s">
        <v>198</v>
      </c>
      <c r="M41" t="s">
        <v>115</v>
      </c>
      <c r="N41" t="s">
        <v>106</v>
      </c>
      <c r="O41" t="s">
        <v>1</v>
      </c>
      <c r="P41" t="s">
        <v>115</v>
      </c>
      <c r="Q41" t="s">
        <v>115</v>
      </c>
      <c r="R41" t="s">
        <v>2</v>
      </c>
      <c r="S41">
        <v>1</v>
      </c>
    </row>
    <row r="42" spans="1:19" x14ac:dyDescent="0.3">
      <c r="A42" t="s">
        <v>488</v>
      </c>
      <c r="B42" t="s">
        <v>487</v>
      </c>
      <c r="C42" t="s">
        <v>489</v>
      </c>
      <c r="D42" t="s">
        <v>625</v>
      </c>
      <c r="E42" t="s">
        <v>490</v>
      </c>
      <c r="F42" t="s">
        <v>118</v>
      </c>
      <c r="G42" t="s">
        <v>102</v>
      </c>
      <c r="H42" t="s">
        <v>626</v>
      </c>
      <c r="I42" t="s">
        <v>571</v>
      </c>
      <c r="J42" t="s">
        <v>572</v>
      </c>
      <c r="K42" t="s">
        <v>141</v>
      </c>
      <c r="L42" t="s">
        <v>627</v>
      </c>
      <c r="M42" t="s">
        <v>491</v>
      </c>
      <c r="N42" t="s">
        <v>117</v>
      </c>
      <c r="O42" t="s">
        <v>1</v>
      </c>
      <c r="P42" t="s">
        <v>491</v>
      </c>
      <c r="Q42" t="s">
        <v>491</v>
      </c>
      <c r="R42" t="s">
        <v>1</v>
      </c>
      <c r="S42">
        <v>1</v>
      </c>
    </row>
    <row r="43" spans="1:19" x14ac:dyDescent="0.3">
      <c r="A43" t="s">
        <v>493</v>
      </c>
      <c r="B43" t="s">
        <v>492</v>
      </c>
      <c r="C43" t="s">
        <v>628</v>
      </c>
      <c r="D43" t="s">
        <v>629</v>
      </c>
      <c r="E43" t="s">
        <v>494</v>
      </c>
      <c r="F43" t="s">
        <v>367</v>
      </c>
      <c r="G43" t="s">
        <v>102</v>
      </c>
      <c r="H43" t="s">
        <v>630</v>
      </c>
      <c r="I43" t="s">
        <v>495</v>
      </c>
      <c r="J43" t="s">
        <v>116</v>
      </c>
      <c r="K43" t="s">
        <v>119</v>
      </c>
      <c r="L43" t="s">
        <v>631</v>
      </c>
      <c r="M43" t="s">
        <v>117</v>
      </c>
      <c r="N43" t="s">
        <v>106</v>
      </c>
      <c r="O43" t="s">
        <v>1</v>
      </c>
      <c r="P43" t="s">
        <v>117</v>
      </c>
      <c r="Q43" t="s">
        <v>117</v>
      </c>
      <c r="R43" t="s">
        <v>2</v>
      </c>
      <c r="S43">
        <v>1</v>
      </c>
    </row>
    <row r="44" spans="1:19" x14ac:dyDescent="0.3">
      <c r="A44" t="s">
        <v>497</v>
      </c>
      <c r="B44" t="s">
        <v>496</v>
      </c>
      <c r="C44" t="s">
        <v>498</v>
      </c>
      <c r="D44" t="s">
        <v>632</v>
      </c>
      <c r="E44" t="s">
        <v>499</v>
      </c>
      <c r="F44" t="s">
        <v>234</v>
      </c>
      <c r="G44" t="s">
        <v>102</v>
      </c>
      <c r="H44" t="s">
        <v>633</v>
      </c>
      <c r="I44" t="s">
        <v>136</v>
      </c>
      <c r="J44" t="s">
        <v>116</v>
      </c>
      <c r="K44" t="s">
        <v>119</v>
      </c>
      <c r="L44" t="s">
        <v>634</v>
      </c>
      <c r="M44" t="s">
        <v>117</v>
      </c>
      <c r="N44" t="s">
        <v>106</v>
      </c>
      <c r="O44" t="s">
        <v>1</v>
      </c>
      <c r="P44" t="s">
        <v>106</v>
      </c>
      <c r="Q44" t="s">
        <v>117</v>
      </c>
      <c r="R44" t="s">
        <v>1</v>
      </c>
      <c r="S44">
        <v>1</v>
      </c>
    </row>
    <row r="45" spans="1:19" x14ac:dyDescent="0.3">
      <c r="A45" t="s">
        <v>501</v>
      </c>
      <c r="B45" t="s">
        <v>500</v>
      </c>
      <c r="C45" t="s">
        <v>573</v>
      </c>
      <c r="D45" t="s">
        <v>635</v>
      </c>
      <c r="E45" t="s">
        <v>574</v>
      </c>
      <c r="F45" t="s">
        <v>297</v>
      </c>
      <c r="G45" t="s">
        <v>102</v>
      </c>
      <c r="H45" t="s">
        <v>636</v>
      </c>
      <c r="I45" t="s">
        <v>398</v>
      </c>
      <c r="J45" t="s">
        <v>105</v>
      </c>
      <c r="K45" t="s">
        <v>119</v>
      </c>
      <c r="L45" t="s">
        <v>637</v>
      </c>
      <c r="M45" t="s">
        <v>104</v>
      </c>
      <c r="N45" t="s">
        <v>106</v>
      </c>
      <c r="O45" t="s">
        <v>1</v>
      </c>
      <c r="P45" t="s">
        <v>104</v>
      </c>
      <c r="Q45" t="s">
        <v>104</v>
      </c>
      <c r="R45" t="s">
        <v>1</v>
      </c>
      <c r="S45">
        <v>1</v>
      </c>
    </row>
    <row r="46" spans="1:19" x14ac:dyDescent="0.3">
      <c r="A46" t="s">
        <v>503</v>
      </c>
      <c r="B46" t="s">
        <v>502</v>
      </c>
      <c r="C46" t="s">
        <v>504</v>
      </c>
      <c r="D46" t="s">
        <v>638</v>
      </c>
      <c r="E46" t="s">
        <v>505</v>
      </c>
      <c r="F46" t="s">
        <v>118</v>
      </c>
      <c r="G46" t="s">
        <v>102</v>
      </c>
      <c r="H46" t="s">
        <v>639</v>
      </c>
      <c r="I46" t="s">
        <v>311</v>
      </c>
      <c r="J46" t="s">
        <v>105</v>
      </c>
      <c r="K46" t="s">
        <v>119</v>
      </c>
      <c r="L46" t="s">
        <v>640</v>
      </c>
      <c r="M46" t="s">
        <v>117</v>
      </c>
      <c r="N46" t="s">
        <v>106</v>
      </c>
      <c r="O46" t="s">
        <v>1</v>
      </c>
      <c r="P46" t="s">
        <v>117</v>
      </c>
      <c r="Q46" t="s">
        <v>117</v>
      </c>
      <c r="R46" t="s">
        <v>1</v>
      </c>
      <c r="S46">
        <v>1</v>
      </c>
    </row>
    <row r="47" spans="1:19" x14ac:dyDescent="0.3">
      <c r="A47" t="s">
        <v>641</v>
      </c>
      <c r="B47" t="s">
        <v>506</v>
      </c>
      <c r="C47" t="s">
        <v>507</v>
      </c>
      <c r="D47" t="s">
        <v>642</v>
      </c>
      <c r="E47" t="s">
        <v>508</v>
      </c>
      <c r="F47" t="s">
        <v>112</v>
      </c>
      <c r="G47" t="s">
        <v>102</v>
      </c>
      <c r="H47" t="s">
        <v>643</v>
      </c>
      <c r="I47" t="s">
        <v>386</v>
      </c>
      <c r="J47" t="s">
        <v>112</v>
      </c>
      <c r="K47" t="s">
        <v>119</v>
      </c>
      <c r="L47" t="s">
        <v>644</v>
      </c>
      <c r="M47" t="s">
        <v>122</v>
      </c>
      <c r="N47" t="s">
        <v>106</v>
      </c>
      <c r="O47" t="s">
        <v>1</v>
      </c>
      <c r="P47" t="s">
        <v>122</v>
      </c>
      <c r="Q47" t="s">
        <v>122</v>
      </c>
      <c r="R47" t="s">
        <v>2</v>
      </c>
      <c r="S47">
        <v>1</v>
      </c>
    </row>
    <row r="48" spans="1:19" x14ac:dyDescent="0.3">
      <c r="A48" t="s">
        <v>510</v>
      </c>
      <c r="B48" t="s">
        <v>509</v>
      </c>
      <c r="C48" t="s">
        <v>511</v>
      </c>
      <c r="D48" t="s">
        <v>645</v>
      </c>
      <c r="E48" t="s">
        <v>512</v>
      </c>
      <c r="F48" t="s">
        <v>367</v>
      </c>
      <c r="G48" t="s">
        <v>102</v>
      </c>
      <c r="H48" t="s">
        <v>646</v>
      </c>
      <c r="I48" t="s">
        <v>513</v>
      </c>
      <c r="J48" t="s">
        <v>116</v>
      </c>
      <c r="K48" t="s">
        <v>119</v>
      </c>
      <c r="L48" t="s">
        <v>647</v>
      </c>
      <c r="M48" t="s">
        <v>115</v>
      </c>
      <c r="N48" t="s">
        <v>106</v>
      </c>
      <c r="O48" t="s">
        <v>1</v>
      </c>
      <c r="P48" t="s">
        <v>115</v>
      </c>
      <c r="Q48" t="s">
        <v>115</v>
      </c>
      <c r="R48" t="s">
        <v>2</v>
      </c>
      <c r="S48">
        <v>1</v>
      </c>
    </row>
    <row r="49" spans="1:19" x14ac:dyDescent="0.3">
      <c r="A49" t="s">
        <v>515</v>
      </c>
      <c r="B49" t="s">
        <v>514</v>
      </c>
      <c r="C49" t="s">
        <v>516</v>
      </c>
      <c r="D49" t="s">
        <v>648</v>
      </c>
      <c r="E49" t="s">
        <v>517</v>
      </c>
      <c r="F49" t="s">
        <v>108</v>
      </c>
      <c r="G49" t="s">
        <v>102</v>
      </c>
      <c r="H49" t="s">
        <v>649</v>
      </c>
      <c r="I49" t="s">
        <v>109</v>
      </c>
      <c r="J49" t="s">
        <v>111</v>
      </c>
      <c r="K49" t="s">
        <v>119</v>
      </c>
      <c r="L49" t="s">
        <v>650</v>
      </c>
      <c r="M49" t="s">
        <v>122</v>
      </c>
      <c r="N49" t="s">
        <v>106</v>
      </c>
      <c r="O49" t="s">
        <v>1</v>
      </c>
      <c r="P49" t="s">
        <v>122</v>
      </c>
      <c r="Q49" t="s">
        <v>122</v>
      </c>
      <c r="R49" t="s">
        <v>2</v>
      </c>
      <c r="S49">
        <v>1</v>
      </c>
    </row>
    <row r="50" spans="1:19" x14ac:dyDescent="0.3">
      <c r="A50" t="s">
        <v>519</v>
      </c>
      <c r="B50" t="s">
        <v>518</v>
      </c>
      <c r="C50" t="s">
        <v>520</v>
      </c>
      <c r="D50" t="s">
        <v>651</v>
      </c>
      <c r="E50" t="s">
        <v>521</v>
      </c>
      <c r="F50" t="s">
        <v>522</v>
      </c>
      <c r="G50" t="s">
        <v>102</v>
      </c>
      <c r="H50" t="s">
        <v>652</v>
      </c>
      <c r="I50" t="s">
        <v>523</v>
      </c>
      <c r="J50" t="s">
        <v>344</v>
      </c>
      <c r="K50" t="s">
        <v>119</v>
      </c>
      <c r="L50" t="s">
        <v>653</v>
      </c>
      <c r="M50" t="s">
        <v>121</v>
      </c>
      <c r="N50" t="s">
        <v>106</v>
      </c>
      <c r="O50" t="s">
        <v>1</v>
      </c>
      <c r="P50" t="s">
        <v>121</v>
      </c>
      <c r="Q50" t="s">
        <v>121</v>
      </c>
      <c r="R50" t="s">
        <v>2</v>
      </c>
      <c r="S50">
        <v>1</v>
      </c>
    </row>
    <row r="51" spans="1:19" x14ac:dyDescent="0.3">
      <c r="A51" t="s">
        <v>525</v>
      </c>
      <c r="B51" t="s">
        <v>524</v>
      </c>
      <c r="C51" t="s">
        <v>526</v>
      </c>
      <c r="D51" t="s">
        <v>654</v>
      </c>
      <c r="E51" t="s">
        <v>527</v>
      </c>
      <c r="F51" t="s">
        <v>367</v>
      </c>
      <c r="G51" t="s">
        <v>102</v>
      </c>
      <c r="H51" t="s">
        <v>655</v>
      </c>
      <c r="I51" t="s">
        <v>528</v>
      </c>
      <c r="J51" t="s">
        <v>116</v>
      </c>
      <c r="K51" t="s">
        <v>119</v>
      </c>
      <c r="L51" t="s">
        <v>656</v>
      </c>
      <c r="M51" t="s">
        <v>121</v>
      </c>
      <c r="N51" t="s">
        <v>106</v>
      </c>
      <c r="O51" t="s">
        <v>1</v>
      </c>
      <c r="P51" t="s">
        <v>121</v>
      </c>
      <c r="Q51" t="s">
        <v>121</v>
      </c>
      <c r="R51" t="s">
        <v>2</v>
      </c>
      <c r="S51">
        <v>1</v>
      </c>
    </row>
    <row r="52" spans="1:19" x14ac:dyDescent="0.3">
      <c r="A52" t="s">
        <v>530</v>
      </c>
      <c r="B52" t="s">
        <v>529</v>
      </c>
      <c r="C52" t="s">
        <v>657</v>
      </c>
      <c r="D52" t="s">
        <v>658</v>
      </c>
      <c r="E52" t="s">
        <v>531</v>
      </c>
      <c r="F52" t="s">
        <v>108</v>
      </c>
      <c r="G52" t="s">
        <v>102</v>
      </c>
      <c r="H52" t="s">
        <v>659</v>
      </c>
      <c r="I52" t="s">
        <v>109</v>
      </c>
      <c r="J52" t="s">
        <v>111</v>
      </c>
      <c r="K52" t="s">
        <v>119</v>
      </c>
      <c r="L52" t="s">
        <v>660</v>
      </c>
      <c r="M52" t="s">
        <v>117</v>
      </c>
      <c r="N52" t="s">
        <v>106</v>
      </c>
      <c r="O52" t="s">
        <v>1</v>
      </c>
      <c r="P52" t="s">
        <v>117</v>
      </c>
      <c r="Q52" t="s">
        <v>117</v>
      </c>
      <c r="R52" t="s">
        <v>1</v>
      </c>
      <c r="S52">
        <v>1</v>
      </c>
    </row>
    <row r="53" spans="1:19" x14ac:dyDescent="0.3">
      <c r="A53" t="s">
        <v>661</v>
      </c>
      <c r="B53" t="s">
        <v>464</v>
      </c>
      <c r="C53" t="s">
        <v>465</v>
      </c>
      <c r="D53" t="s">
        <v>662</v>
      </c>
      <c r="E53" t="s">
        <v>532</v>
      </c>
      <c r="F53" t="s">
        <v>466</v>
      </c>
      <c r="G53" t="s">
        <v>102</v>
      </c>
      <c r="H53" t="s">
        <v>467</v>
      </c>
      <c r="I53" t="s">
        <v>126</v>
      </c>
      <c r="J53" t="s">
        <v>116</v>
      </c>
      <c r="K53" t="s">
        <v>119</v>
      </c>
      <c r="L53" t="s">
        <v>468</v>
      </c>
      <c r="M53" t="s">
        <v>117</v>
      </c>
      <c r="N53" t="s">
        <v>106</v>
      </c>
      <c r="O53" t="s">
        <v>1</v>
      </c>
      <c r="P53" t="s">
        <v>117</v>
      </c>
      <c r="Q53" t="s">
        <v>117</v>
      </c>
      <c r="R53" t="s">
        <v>2</v>
      </c>
      <c r="S53">
        <v>1</v>
      </c>
    </row>
    <row r="54" spans="1:19" x14ac:dyDescent="0.3">
      <c r="A54" t="s">
        <v>129</v>
      </c>
      <c r="B54" t="s">
        <v>127</v>
      </c>
      <c r="C54" t="s">
        <v>128</v>
      </c>
      <c r="D54" t="s">
        <v>663</v>
      </c>
      <c r="E54" t="s">
        <v>130</v>
      </c>
      <c r="F54" t="s">
        <v>533</v>
      </c>
      <c r="G54" t="s">
        <v>102</v>
      </c>
      <c r="H54" t="s">
        <v>131</v>
      </c>
      <c r="I54" t="s">
        <v>123</v>
      </c>
      <c r="J54" t="s">
        <v>118</v>
      </c>
      <c r="K54" t="s">
        <v>119</v>
      </c>
      <c r="L54" t="s">
        <v>664</v>
      </c>
      <c r="M54" t="s">
        <v>121</v>
      </c>
      <c r="N54" t="s">
        <v>106</v>
      </c>
      <c r="O54" t="s">
        <v>1</v>
      </c>
      <c r="P54" t="s">
        <v>106</v>
      </c>
      <c r="Q54" t="s">
        <v>106</v>
      </c>
      <c r="R54" t="s">
        <v>2</v>
      </c>
      <c r="S54">
        <v>1</v>
      </c>
    </row>
    <row r="55" spans="1:19" x14ac:dyDescent="0.3">
      <c r="A55" t="s">
        <v>535</v>
      </c>
      <c r="B55" t="s">
        <v>534</v>
      </c>
      <c r="C55" t="s">
        <v>536</v>
      </c>
      <c r="D55" t="s">
        <v>665</v>
      </c>
      <c r="E55" t="s">
        <v>537</v>
      </c>
      <c r="F55" t="s">
        <v>118</v>
      </c>
      <c r="G55" t="s">
        <v>102</v>
      </c>
      <c r="H55" t="s">
        <v>666</v>
      </c>
      <c r="I55" t="s">
        <v>311</v>
      </c>
      <c r="J55" t="s">
        <v>105</v>
      </c>
      <c r="K55" t="s">
        <v>119</v>
      </c>
      <c r="L55" t="s">
        <v>667</v>
      </c>
      <c r="M55" t="s">
        <v>115</v>
      </c>
      <c r="N55" t="s">
        <v>106</v>
      </c>
      <c r="O55" t="s">
        <v>1</v>
      </c>
      <c r="P55" t="s">
        <v>115</v>
      </c>
      <c r="Q55" t="s">
        <v>115</v>
      </c>
      <c r="R55" t="s">
        <v>2</v>
      </c>
      <c r="S55">
        <v>1</v>
      </c>
    </row>
    <row r="56" spans="1:19" x14ac:dyDescent="0.3">
      <c r="A56" t="s">
        <v>553</v>
      </c>
      <c r="B56" t="s">
        <v>552</v>
      </c>
      <c r="C56" t="s">
        <v>554</v>
      </c>
      <c r="D56" t="s">
        <v>668</v>
      </c>
      <c r="E56" t="s">
        <v>555</v>
      </c>
      <c r="F56" t="s">
        <v>556</v>
      </c>
      <c r="G56" t="s">
        <v>102</v>
      </c>
      <c r="H56" t="s">
        <v>669</v>
      </c>
      <c r="I56" t="s">
        <v>557</v>
      </c>
      <c r="J56" t="s">
        <v>116</v>
      </c>
      <c r="K56" t="s">
        <v>119</v>
      </c>
      <c r="L56" t="s">
        <v>670</v>
      </c>
      <c r="M56" t="s">
        <v>115</v>
      </c>
      <c r="N56" t="s">
        <v>106</v>
      </c>
      <c r="O56" t="s">
        <v>1</v>
      </c>
      <c r="P56" t="s">
        <v>106</v>
      </c>
      <c r="Q56" t="s">
        <v>106</v>
      </c>
      <c r="R56" t="s">
        <v>2</v>
      </c>
      <c r="S56">
        <v>1</v>
      </c>
    </row>
    <row r="57" spans="1:19" x14ac:dyDescent="0.3">
      <c r="A57" t="s">
        <v>559</v>
      </c>
      <c r="B57" t="s">
        <v>558</v>
      </c>
      <c r="C57" t="s">
        <v>560</v>
      </c>
      <c r="D57" t="s">
        <v>671</v>
      </c>
      <c r="E57" t="s">
        <v>561</v>
      </c>
      <c r="F57" t="s">
        <v>466</v>
      </c>
      <c r="G57" t="s">
        <v>102</v>
      </c>
      <c r="H57" t="s">
        <v>672</v>
      </c>
      <c r="I57" t="s">
        <v>413</v>
      </c>
      <c r="J57" t="s">
        <v>105</v>
      </c>
      <c r="K57" t="s">
        <v>119</v>
      </c>
      <c r="L57" t="s">
        <v>673</v>
      </c>
      <c r="M57" t="s">
        <v>117</v>
      </c>
      <c r="N57" t="s">
        <v>106</v>
      </c>
      <c r="O57" t="s">
        <v>1</v>
      </c>
      <c r="P57" t="s">
        <v>117</v>
      </c>
      <c r="Q57" t="s">
        <v>117</v>
      </c>
      <c r="R57" t="s">
        <v>2</v>
      </c>
      <c r="S57">
        <v>1</v>
      </c>
    </row>
    <row r="58" spans="1:19" x14ac:dyDescent="0.3">
      <c r="A58" t="s">
        <v>563</v>
      </c>
      <c r="B58" t="s">
        <v>562</v>
      </c>
      <c r="C58" t="s">
        <v>564</v>
      </c>
      <c r="D58" t="s">
        <v>674</v>
      </c>
      <c r="E58" t="s">
        <v>565</v>
      </c>
      <c r="F58" t="s">
        <v>112</v>
      </c>
      <c r="G58" t="s">
        <v>102</v>
      </c>
      <c r="H58" t="s">
        <v>675</v>
      </c>
      <c r="I58" t="s">
        <v>123</v>
      </c>
      <c r="J58" t="s">
        <v>118</v>
      </c>
      <c r="K58" t="s">
        <v>119</v>
      </c>
      <c r="L58" t="s">
        <v>676</v>
      </c>
      <c r="M58" t="s">
        <v>122</v>
      </c>
      <c r="N58" t="s">
        <v>106</v>
      </c>
      <c r="O58" t="s">
        <v>1</v>
      </c>
      <c r="P58" t="s">
        <v>122</v>
      </c>
      <c r="Q58" t="s">
        <v>122</v>
      </c>
      <c r="R58" t="s">
        <v>2</v>
      </c>
      <c r="S58">
        <v>1</v>
      </c>
    </row>
    <row r="59" spans="1:19" x14ac:dyDescent="0.3">
      <c r="A59" t="s">
        <v>546</v>
      </c>
      <c r="B59" t="s">
        <v>545</v>
      </c>
      <c r="C59" t="s">
        <v>547</v>
      </c>
      <c r="D59" t="s">
        <v>677</v>
      </c>
      <c r="E59" t="s">
        <v>548</v>
      </c>
      <c r="F59" t="s">
        <v>367</v>
      </c>
      <c r="G59" t="s">
        <v>102</v>
      </c>
      <c r="H59" t="s">
        <v>678</v>
      </c>
      <c r="I59" t="s">
        <v>549</v>
      </c>
      <c r="J59" t="s">
        <v>116</v>
      </c>
      <c r="K59" t="s">
        <v>119</v>
      </c>
      <c r="L59" t="s">
        <v>679</v>
      </c>
      <c r="M59" t="s">
        <v>110</v>
      </c>
      <c r="N59" t="s">
        <v>106</v>
      </c>
      <c r="O59" t="s">
        <v>1</v>
      </c>
      <c r="P59" t="s">
        <v>110</v>
      </c>
      <c r="Q59" t="s">
        <v>110</v>
      </c>
      <c r="R59" t="s">
        <v>342</v>
      </c>
      <c r="S59">
        <v>1</v>
      </c>
    </row>
    <row r="60" spans="1:19" x14ac:dyDescent="0.3">
      <c r="A60" t="s">
        <v>550</v>
      </c>
      <c r="B60" t="s">
        <v>680</v>
      </c>
      <c r="C60" t="s">
        <v>551</v>
      </c>
      <c r="D60" t="s">
        <v>681</v>
      </c>
      <c r="E60" t="s">
        <v>682</v>
      </c>
      <c r="F60" t="s">
        <v>683</v>
      </c>
      <c r="G60" t="s">
        <v>102</v>
      </c>
      <c r="H60" t="s">
        <v>684</v>
      </c>
      <c r="I60" t="s">
        <v>226</v>
      </c>
      <c r="J60" t="s">
        <v>111</v>
      </c>
      <c r="K60" t="s">
        <v>119</v>
      </c>
      <c r="L60" t="s">
        <v>685</v>
      </c>
      <c r="M60" t="s">
        <v>117</v>
      </c>
      <c r="N60" t="s">
        <v>106</v>
      </c>
      <c r="O60" t="s">
        <v>1</v>
      </c>
      <c r="P60" t="s">
        <v>117</v>
      </c>
      <c r="Q60" t="s">
        <v>117</v>
      </c>
      <c r="R60" t="s">
        <v>1</v>
      </c>
      <c r="S60">
        <v>1</v>
      </c>
    </row>
    <row r="61" spans="1:19" x14ac:dyDescent="0.3">
      <c r="A61" t="s">
        <v>686</v>
      </c>
      <c r="B61" t="s">
        <v>687</v>
      </c>
      <c r="C61" t="s">
        <v>688</v>
      </c>
      <c r="D61" t="s">
        <v>689</v>
      </c>
      <c r="E61" t="s">
        <v>690</v>
      </c>
      <c r="F61" t="s">
        <v>359</v>
      </c>
      <c r="G61" t="s">
        <v>102</v>
      </c>
      <c r="H61" t="s">
        <v>691</v>
      </c>
      <c r="I61" t="s">
        <v>692</v>
      </c>
      <c r="J61" t="s">
        <v>125</v>
      </c>
      <c r="K61" t="s">
        <v>119</v>
      </c>
      <c r="L61" t="s">
        <v>693</v>
      </c>
      <c r="M61" t="s">
        <v>110</v>
      </c>
      <c r="N61" t="s">
        <v>106</v>
      </c>
      <c r="O61" t="s">
        <v>1</v>
      </c>
      <c r="P61" t="s">
        <v>110</v>
      </c>
      <c r="Q61" t="s">
        <v>110</v>
      </c>
      <c r="R61" t="s">
        <v>2</v>
      </c>
      <c r="S61">
        <v>1</v>
      </c>
    </row>
    <row r="62" spans="1:19" x14ac:dyDescent="0.3">
      <c r="A62" t="s">
        <v>544</v>
      </c>
      <c r="B62" t="s">
        <v>543</v>
      </c>
      <c r="C62" t="s">
        <v>694</v>
      </c>
      <c r="D62" t="s">
        <v>695</v>
      </c>
      <c r="E62" t="s">
        <v>696</v>
      </c>
      <c r="F62" t="s">
        <v>112</v>
      </c>
      <c r="G62" t="s">
        <v>102</v>
      </c>
      <c r="H62" t="s">
        <v>697</v>
      </c>
      <c r="I62" t="s">
        <v>134</v>
      </c>
      <c r="J62" t="s">
        <v>112</v>
      </c>
      <c r="K62" t="s">
        <v>119</v>
      </c>
      <c r="L62" t="s">
        <v>106</v>
      </c>
      <c r="M62" t="s">
        <v>117</v>
      </c>
      <c r="N62" t="s">
        <v>106</v>
      </c>
      <c r="O62" t="s">
        <v>1</v>
      </c>
      <c r="P62" t="s">
        <v>117</v>
      </c>
      <c r="Q62" t="s">
        <v>117</v>
      </c>
      <c r="R62" t="s">
        <v>2</v>
      </c>
      <c r="S62">
        <v>1</v>
      </c>
    </row>
    <row r="63" spans="1:19" x14ac:dyDescent="0.3">
      <c r="A63" t="s">
        <v>1990</v>
      </c>
      <c r="B63" t="s">
        <v>1991</v>
      </c>
      <c r="C63" t="s">
        <v>1992</v>
      </c>
      <c r="D63" t="s">
        <v>2017</v>
      </c>
      <c r="E63" t="s">
        <v>1993</v>
      </c>
      <c r="F63" t="s">
        <v>124</v>
      </c>
      <c r="G63" t="s">
        <v>102</v>
      </c>
      <c r="H63" t="s">
        <v>1994</v>
      </c>
      <c r="I63" t="s">
        <v>1476</v>
      </c>
      <c r="J63" t="s">
        <v>125</v>
      </c>
      <c r="K63" t="s">
        <v>119</v>
      </c>
      <c r="L63" t="s">
        <v>1997</v>
      </c>
      <c r="M63" t="s">
        <v>117</v>
      </c>
      <c r="N63" t="s">
        <v>106</v>
      </c>
      <c r="O63" t="s">
        <v>1</v>
      </c>
      <c r="P63" t="s">
        <v>117</v>
      </c>
      <c r="Q63" t="s">
        <v>117</v>
      </c>
      <c r="R63" t="s">
        <v>2</v>
      </c>
      <c r="S63">
        <v>1</v>
      </c>
    </row>
    <row r="64" spans="1:19" x14ac:dyDescent="0.3">
      <c r="A64" t="s">
        <v>2152</v>
      </c>
      <c r="B64" t="s">
        <v>2153</v>
      </c>
      <c r="C64" t="s">
        <v>2154</v>
      </c>
      <c r="D64" t="s">
        <v>2171</v>
      </c>
      <c r="E64" t="s">
        <v>2155</v>
      </c>
      <c r="F64" t="s">
        <v>124</v>
      </c>
      <c r="G64" t="s">
        <v>102</v>
      </c>
      <c r="H64" t="s">
        <v>2156</v>
      </c>
      <c r="I64" t="s">
        <v>1476</v>
      </c>
      <c r="J64" t="s">
        <v>2172</v>
      </c>
      <c r="K64" t="s">
        <v>119</v>
      </c>
      <c r="L64" t="s">
        <v>2158</v>
      </c>
      <c r="M64" t="s">
        <v>117</v>
      </c>
      <c r="N64" t="s">
        <v>106</v>
      </c>
      <c r="O64" t="s">
        <v>1</v>
      </c>
      <c r="P64" t="s">
        <v>117</v>
      </c>
      <c r="Q64" t="s">
        <v>117</v>
      </c>
      <c r="R64" t="s">
        <v>2</v>
      </c>
      <c r="S64">
        <v>1</v>
      </c>
    </row>
    <row r="65" spans="1:19" x14ac:dyDescent="0.3">
      <c r="A65" t="s">
        <v>445</v>
      </c>
      <c r="B65" t="s">
        <v>538</v>
      </c>
      <c r="C65" t="s">
        <v>539</v>
      </c>
      <c r="D65" t="s">
        <v>698</v>
      </c>
      <c r="E65" t="s">
        <v>540</v>
      </c>
      <c r="F65" t="s">
        <v>118</v>
      </c>
      <c r="G65" t="s">
        <v>102</v>
      </c>
      <c r="H65" t="s">
        <v>446</v>
      </c>
      <c r="I65" t="s">
        <v>541</v>
      </c>
      <c r="J65" t="s">
        <v>105</v>
      </c>
      <c r="K65" t="s">
        <v>141</v>
      </c>
      <c r="L65" t="s">
        <v>699</v>
      </c>
      <c r="M65" t="s">
        <v>542</v>
      </c>
      <c r="N65" t="s">
        <v>542</v>
      </c>
      <c r="O65" t="s">
        <v>1</v>
      </c>
      <c r="P65" t="s">
        <v>542</v>
      </c>
      <c r="Q65" t="s">
        <v>542</v>
      </c>
      <c r="R65" t="s">
        <v>342</v>
      </c>
      <c r="S65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0B313-7E33-4916-89CB-3CF6EC997C44}">
  <sheetPr codeName="Hoja8">
    <tabColor rgb="FFC00000"/>
  </sheetPr>
  <dimension ref="A1:AK209"/>
  <sheetViews>
    <sheetView topLeftCell="S1" workbookViewId="0">
      <selection activeCell="T210" sqref="T210"/>
    </sheetView>
  </sheetViews>
  <sheetFormatPr baseColWidth="10" defaultRowHeight="14.4" x14ac:dyDescent="0.3"/>
  <cols>
    <col min="1" max="1" width="10.6640625" bestFit="1" customWidth="1"/>
    <col min="2" max="2" width="15.33203125" bestFit="1" customWidth="1"/>
    <col min="3" max="3" width="36.6640625" bestFit="1" customWidth="1"/>
    <col min="4" max="4" width="40.88671875" bestFit="1" customWidth="1"/>
    <col min="5" max="5" width="13.33203125" bestFit="1" customWidth="1"/>
    <col min="6" max="6" width="80" bestFit="1" customWidth="1"/>
    <col min="7" max="7" width="17.44140625" bestFit="1" customWidth="1"/>
    <col min="8" max="8" width="13.109375" bestFit="1" customWidth="1"/>
    <col min="9" max="9" width="13" bestFit="1" customWidth="1"/>
    <col min="10" max="10" width="18" bestFit="1" customWidth="1"/>
    <col min="11" max="11" width="33.21875" bestFit="1" customWidth="1"/>
    <col min="12" max="12" width="17" bestFit="1" customWidth="1"/>
    <col min="13" max="13" width="80.88671875" bestFit="1" customWidth="1"/>
    <col min="14" max="14" width="52.44140625" bestFit="1" customWidth="1"/>
    <col min="15" max="15" width="18.77734375" bestFit="1" customWidth="1"/>
    <col min="16" max="16" width="8.88671875" bestFit="1" customWidth="1"/>
    <col min="17" max="17" width="14.6640625" bestFit="1" customWidth="1"/>
    <col min="18" max="18" width="21.5546875" bestFit="1" customWidth="1"/>
    <col min="19" max="19" width="25.5546875" bestFit="1" customWidth="1"/>
    <col min="20" max="20" width="23.88671875" bestFit="1" customWidth="1"/>
    <col min="21" max="21" width="80.88671875" bestFit="1" customWidth="1"/>
    <col min="22" max="22" width="55.109375" bestFit="1" customWidth="1"/>
    <col min="23" max="23" width="58.21875" bestFit="1" customWidth="1"/>
    <col min="24" max="24" width="20.6640625" bestFit="1" customWidth="1"/>
    <col min="25" max="25" width="19.44140625" bestFit="1" customWidth="1"/>
    <col min="26" max="26" width="20.5546875" bestFit="1" customWidth="1"/>
    <col min="27" max="27" width="80.88671875" bestFit="1" customWidth="1"/>
    <col min="28" max="28" width="15.5546875" bestFit="1" customWidth="1"/>
    <col min="29" max="29" width="75.5546875" bestFit="1" customWidth="1"/>
    <col min="30" max="30" width="43.44140625" bestFit="1" customWidth="1"/>
    <col min="31" max="31" width="80.88671875" bestFit="1" customWidth="1"/>
    <col min="32" max="32" width="15.33203125" bestFit="1" customWidth="1"/>
    <col min="33" max="33" width="17.21875" bestFit="1" customWidth="1"/>
    <col min="34" max="34" width="18.88671875" bestFit="1" customWidth="1"/>
    <col min="35" max="35" width="9.21875" bestFit="1" customWidth="1"/>
    <col min="36" max="36" width="77" bestFit="1" customWidth="1"/>
    <col min="37" max="37" width="7.88671875" bestFit="1" customWidth="1"/>
    <col min="38" max="38" width="16.6640625" bestFit="1" customWidth="1"/>
    <col min="39" max="39" width="29.5546875" bestFit="1" customWidth="1"/>
    <col min="40" max="40" width="27.109375" bestFit="1" customWidth="1"/>
    <col min="41" max="41" width="38.77734375" bestFit="1" customWidth="1"/>
    <col min="42" max="42" width="31" bestFit="1" customWidth="1"/>
    <col min="43" max="43" width="18.77734375" bestFit="1" customWidth="1"/>
    <col min="44" max="44" width="26.44140625" bestFit="1" customWidth="1"/>
    <col min="45" max="45" width="27.109375" bestFit="1" customWidth="1"/>
    <col min="46" max="46" width="30.6640625" bestFit="1" customWidth="1"/>
    <col min="47" max="47" width="26.5546875" bestFit="1" customWidth="1"/>
    <col min="48" max="48" width="25.21875" bestFit="1" customWidth="1"/>
    <col min="49" max="49" width="47.33203125" bestFit="1" customWidth="1"/>
    <col min="50" max="50" width="55.88671875" bestFit="1" customWidth="1"/>
    <col min="51" max="51" width="34.109375" bestFit="1" customWidth="1"/>
    <col min="52" max="52" width="26.21875" bestFit="1" customWidth="1"/>
    <col min="53" max="53" width="18.44140625" bestFit="1" customWidth="1"/>
    <col min="54" max="54" width="29.5546875" bestFit="1" customWidth="1"/>
    <col min="55" max="55" width="46.77734375" bestFit="1" customWidth="1"/>
    <col min="56" max="56" width="49.77734375" bestFit="1" customWidth="1"/>
    <col min="57" max="57" width="47" bestFit="1" customWidth="1"/>
    <col min="58" max="58" width="40.44140625" bestFit="1" customWidth="1"/>
    <col min="59" max="59" width="71.44140625" bestFit="1" customWidth="1"/>
    <col min="60" max="60" width="38.109375" bestFit="1" customWidth="1"/>
    <col min="61" max="61" width="17.5546875" bestFit="1" customWidth="1"/>
    <col min="62" max="62" width="16.33203125" bestFit="1" customWidth="1"/>
    <col min="63" max="63" width="17.5546875" bestFit="1" customWidth="1"/>
    <col min="64" max="64" width="80.88671875" bestFit="1" customWidth="1"/>
    <col min="65" max="65" width="43" bestFit="1" customWidth="1"/>
    <col min="66" max="66" width="21.6640625" bestFit="1" customWidth="1"/>
    <col min="67" max="67" width="44" bestFit="1" customWidth="1"/>
    <col min="68" max="68" width="73.88671875" bestFit="1" customWidth="1"/>
    <col min="69" max="69" width="23" bestFit="1" customWidth="1"/>
    <col min="70" max="70" width="28.21875" bestFit="1" customWidth="1"/>
    <col min="71" max="71" width="43.33203125" bestFit="1" customWidth="1"/>
    <col min="72" max="72" width="30.88671875" bestFit="1" customWidth="1"/>
    <col min="73" max="73" width="34.88671875" bestFit="1" customWidth="1"/>
    <col min="74" max="74" width="29.77734375" bestFit="1" customWidth="1"/>
  </cols>
  <sheetData>
    <row r="1" spans="1:37" s="8" customFormat="1" x14ac:dyDescent="0.3">
      <c r="A1" s="9">
        <v>1</v>
      </c>
      <c r="B1" s="9">
        <f>A1+1</f>
        <v>2</v>
      </c>
      <c r="C1" s="9">
        <f t="shared" ref="C1:AD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ref="AE1:AK1" si="1">AD1+1</f>
        <v>31</v>
      </c>
      <c r="AF1" s="9">
        <f t="shared" si="1"/>
        <v>32</v>
      </c>
      <c r="AG1" s="9">
        <f t="shared" si="1"/>
        <v>33</v>
      </c>
      <c r="AH1" s="9">
        <f t="shared" si="1"/>
        <v>34</v>
      </c>
      <c r="AI1" s="9">
        <f t="shared" si="1"/>
        <v>35</v>
      </c>
      <c r="AJ1" s="9">
        <f t="shared" si="1"/>
        <v>36</v>
      </c>
      <c r="AK1" s="9">
        <f t="shared" si="1"/>
        <v>37</v>
      </c>
    </row>
    <row r="2" spans="1:37" x14ac:dyDescent="0.3">
      <c r="A2" t="s">
        <v>37</v>
      </c>
      <c r="B2" t="s">
        <v>169</v>
      </c>
      <c r="C2" t="s">
        <v>90</v>
      </c>
      <c r="D2" t="s">
        <v>39</v>
      </c>
      <c r="E2" t="s">
        <v>170</v>
      </c>
      <c r="F2" t="s">
        <v>41</v>
      </c>
      <c r="G2" t="s">
        <v>42</v>
      </c>
      <c r="H2" t="s">
        <v>43</v>
      </c>
      <c r="I2" t="s">
        <v>44</v>
      </c>
      <c r="J2" t="s">
        <v>45</v>
      </c>
      <c r="K2" t="s">
        <v>46</v>
      </c>
      <c r="L2" t="s">
        <v>87</v>
      </c>
      <c r="M2" t="s">
        <v>471</v>
      </c>
      <c r="N2" t="s">
        <v>472</v>
      </c>
      <c r="O2" t="s">
        <v>47</v>
      </c>
      <c r="P2" t="s">
        <v>53</v>
      </c>
      <c r="Q2" t="s">
        <v>171</v>
      </c>
      <c r="R2" t="s">
        <v>55</v>
      </c>
      <c r="S2" t="s">
        <v>56</v>
      </c>
      <c r="T2" t="s">
        <v>48</v>
      </c>
      <c r="U2" t="s">
        <v>172</v>
      </c>
      <c r="V2" t="s">
        <v>50</v>
      </c>
      <c r="W2" t="s">
        <v>51</v>
      </c>
      <c r="X2" t="s">
        <v>72</v>
      </c>
      <c r="Y2" t="s">
        <v>70</v>
      </c>
      <c r="Z2" t="s">
        <v>71</v>
      </c>
      <c r="AA2" t="s">
        <v>173</v>
      </c>
      <c r="AB2" t="s">
        <v>473</v>
      </c>
      <c r="AC2" t="s">
        <v>440</v>
      </c>
      <c r="AD2" t="s">
        <v>474</v>
      </c>
      <c r="AE2" t="s">
        <v>475</v>
      </c>
      <c r="AF2" t="s">
        <v>443</v>
      </c>
      <c r="AG2" t="s">
        <v>444</v>
      </c>
      <c r="AH2" t="s">
        <v>441</v>
      </c>
      <c r="AI2" t="s">
        <v>476</v>
      </c>
      <c r="AJ2" t="s">
        <v>74</v>
      </c>
      <c r="AK2" t="s">
        <v>436</v>
      </c>
    </row>
    <row r="3" spans="1:37" hidden="1" x14ac:dyDescent="0.3">
      <c r="A3" t="s">
        <v>2872</v>
      </c>
      <c r="B3" s="56">
        <v>45778</v>
      </c>
      <c r="C3" t="s">
        <v>2873</v>
      </c>
      <c r="D3" t="s">
        <v>2874</v>
      </c>
      <c r="E3" s="7">
        <v>36526</v>
      </c>
      <c r="F3" t="s">
        <v>2875</v>
      </c>
      <c r="G3" t="s">
        <v>2876</v>
      </c>
      <c r="H3" t="s">
        <v>102</v>
      </c>
      <c r="I3" t="s">
        <v>2877</v>
      </c>
      <c r="J3" t="s">
        <v>6</v>
      </c>
      <c r="K3" t="s">
        <v>2878</v>
      </c>
      <c r="L3" t="s">
        <v>6</v>
      </c>
      <c r="M3" t="s">
        <v>2875</v>
      </c>
      <c r="N3" t="s">
        <v>2875</v>
      </c>
      <c r="O3" t="s">
        <v>105</v>
      </c>
      <c r="P3" t="s">
        <v>119</v>
      </c>
      <c r="Q3" t="s">
        <v>2875</v>
      </c>
      <c r="R3" t="s">
        <v>2875</v>
      </c>
      <c r="S3" t="s">
        <v>2875</v>
      </c>
      <c r="T3" t="s">
        <v>713</v>
      </c>
      <c r="U3" t="s">
        <v>731</v>
      </c>
      <c r="V3" t="s">
        <v>731</v>
      </c>
      <c r="W3" t="s">
        <v>2875</v>
      </c>
      <c r="AB3" t="s">
        <v>733</v>
      </c>
      <c r="AC3" t="s">
        <v>2875</v>
      </c>
      <c r="AD3" t="s">
        <v>2875</v>
      </c>
      <c r="AE3" t="s">
        <v>2875</v>
      </c>
      <c r="AF3" t="s">
        <v>2875</v>
      </c>
      <c r="AG3" t="s">
        <v>2875</v>
      </c>
      <c r="AH3" t="s">
        <v>2875</v>
      </c>
      <c r="AI3" t="s">
        <v>2</v>
      </c>
      <c r="AJ3" t="s">
        <v>731</v>
      </c>
      <c r="AK3" t="s">
        <v>1657</v>
      </c>
    </row>
    <row r="4" spans="1:37" hidden="1" x14ac:dyDescent="0.3">
      <c r="A4" t="s">
        <v>445</v>
      </c>
      <c r="B4" s="56">
        <v>45778</v>
      </c>
      <c r="C4" t="s">
        <v>2879</v>
      </c>
      <c r="D4" t="s">
        <v>2880</v>
      </c>
      <c r="E4" s="7">
        <v>36526</v>
      </c>
      <c r="F4" t="s">
        <v>2875</v>
      </c>
      <c r="G4" t="s">
        <v>2876</v>
      </c>
      <c r="H4" t="s">
        <v>102</v>
      </c>
      <c r="I4" t="s">
        <v>446</v>
      </c>
      <c r="J4" t="s">
        <v>6</v>
      </c>
      <c r="K4" t="s">
        <v>2878</v>
      </c>
      <c r="L4" t="s">
        <v>6</v>
      </c>
      <c r="M4" t="s">
        <v>2875</v>
      </c>
      <c r="N4" t="s">
        <v>2875</v>
      </c>
      <c r="O4" t="s">
        <v>105</v>
      </c>
      <c r="P4" t="s">
        <v>141</v>
      </c>
      <c r="Q4" t="s">
        <v>2875</v>
      </c>
      <c r="R4" t="s">
        <v>2875</v>
      </c>
      <c r="S4" t="s">
        <v>2875</v>
      </c>
      <c r="T4" t="s">
        <v>713</v>
      </c>
      <c r="U4" t="s">
        <v>731</v>
      </c>
      <c r="V4" t="s">
        <v>731</v>
      </c>
      <c r="W4" t="s">
        <v>2875</v>
      </c>
      <c r="AB4" t="s">
        <v>733</v>
      </c>
      <c r="AC4" t="s">
        <v>2875</v>
      </c>
      <c r="AD4" t="s">
        <v>2875</v>
      </c>
      <c r="AE4" t="s">
        <v>2875</v>
      </c>
      <c r="AF4" t="s">
        <v>2875</v>
      </c>
      <c r="AG4" t="s">
        <v>2875</v>
      </c>
      <c r="AH4" t="s">
        <v>2875</v>
      </c>
      <c r="AI4" t="s">
        <v>2</v>
      </c>
      <c r="AJ4" t="s">
        <v>731</v>
      </c>
      <c r="AK4" t="s">
        <v>1657</v>
      </c>
    </row>
    <row r="5" spans="1:37" hidden="1" x14ac:dyDescent="0.3">
      <c r="A5" t="s">
        <v>2881</v>
      </c>
      <c r="B5" s="56">
        <v>45778</v>
      </c>
      <c r="C5" t="s">
        <v>2882</v>
      </c>
      <c r="D5" t="s">
        <v>2883</v>
      </c>
      <c r="E5" s="7">
        <v>36526</v>
      </c>
      <c r="F5" t="s">
        <v>2875</v>
      </c>
      <c r="G5" t="s">
        <v>2876</v>
      </c>
      <c r="H5" t="s">
        <v>102</v>
      </c>
      <c r="I5" t="s">
        <v>2884</v>
      </c>
      <c r="J5" t="s">
        <v>6</v>
      </c>
      <c r="K5" t="s">
        <v>2657</v>
      </c>
      <c r="L5" t="s">
        <v>6</v>
      </c>
      <c r="M5" t="s">
        <v>2875</v>
      </c>
      <c r="N5" t="s">
        <v>2875</v>
      </c>
      <c r="O5" t="s">
        <v>111</v>
      </c>
      <c r="P5" t="s">
        <v>119</v>
      </c>
      <c r="Q5" t="s">
        <v>2875</v>
      </c>
      <c r="R5" t="s">
        <v>2875</v>
      </c>
      <c r="S5" t="s">
        <v>2875</v>
      </c>
      <c r="T5" t="s">
        <v>713</v>
      </c>
      <c r="U5" t="s">
        <v>731</v>
      </c>
      <c r="V5" t="s">
        <v>731</v>
      </c>
      <c r="W5" t="s">
        <v>2875</v>
      </c>
      <c r="AB5" t="s">
        <v>1</v>
      </c>
      <c r="AC5" t="s">
        <v>2875</v>
      </c>
      <c r="AD5" t="s">
        <v>2875</v>
      </c>
      <c r="AE5" t="s">
        <v>2875</v>
      </c>
      <c r="AF5" t="s">
        <v>2875</v>
      </c>
      <c r="AG5" t="s">
        <v>2875</v>
      </c>
      <c r="AH5" t="s">
        <v>2875</v>
      </c>
      <c r="AI5" t="s">
        <v>2</v>
      </c>
      <c r="AJ5" t="s">
        <v>731</v>
      </c>
      <c r="AK5" t="s">
        <v>1657</v>
      </c>
    </row>
    <row r="6" spans="1:37" hidden="1" x14ac:dyDescent="0.3">
      <c r="A6" t="s">
        <v>165</v>
      </c>
      <c r="B6" s="56">
        <v>45778</v>
      </c>
      <c r="C6" t="s">
        <v>2885</v>
      </c>
      <c r="D6" t="s">
        <v>164</v>
      </c>
      <c r="E6" s="7">
        <v>27585</v>
      </c>
      <c r="F6" t="s">
        <v>2875</v>
      </c>
      <c r="G6" t="s">
        <v>2876</v>
      </c>
      <c r="H6" t="s">
        <v>102</v>
      </c>
      <c r="I6" t="s">
        <v>166</v>
      </c>
      <c r="J6" t="s">
        <v>6</v>
      </c>
      <c r="K6" t="s">
        <v>167</v>
      </c>
      <c r="L6" t="s">
        <v>6</v>
      </c>
      <c r="M6" t="s">
        <v>2875</v>
      </c>
      <c r="N6" t="s">
        <v>2875</v>
      </c>
      <c r="O6" t="s">
        <v>167</v>
      </c>
      <c r="P6" t="s">
        <v>119</v>
      </c>
      <c r="Q6" t="s">
        <v>2875</v>
      </c>
      <c r="R6" t="s">
        <v>2875</v>
      </c>
      <c r="S6" t="s">
        <v>2875</v>
      </c>
      <c r="T6" t="s">
        <v>713</v>
      </c>
      <c r="U6" t="s">
        <v>731</v>
      </c>
      <c r="V6" t="s">
        <v>731</v>
      </c>
      <c r="W6" t="s">
        <v>2886</v>
      </c>
      <c r="AB6" t="s">
        <v>733</v>
      </c>
      <c r="AC6" t="s">
        <v>2875</v>
      </c>
      <c r="AD6" t="s">
        <v>2875</v>
      </c>
      <c r="AE6" t="s">
        <v>2875</v>
      </c>
      <c r="AF6" t="s">
        <v>2875</v>
      </c>
      <c r="AG6" t="s">
        <v>2875</v>
      </c>
      <c r="AH6" t="s">
        <v>2875</v>
      </c>
      <c r="AI6" t="s">
        <v>2</v>
      </c>
      <c r="AJ6" t="s">
        <v>731</v>
      </c>
      <c r="AK6" t="s">
        <v>2887</v>
      </c>
    </row>
    <row r="7" spans="1:37" hidden="1" x14ac:dyDescent="0.3">
      <c r="A7" t="s">
        <v>2888</v>
      </c>
      <c r="B7" s="56">
        <v>45778</v>
      </c>
      <c r="C7" t="s">
        <v>2889</v>
      </c>
      <c r="D7" t="s">
        <v>2890</v>
      </c>
      <c r="E7" s="7">
        <v>32715</v>
      </c>
      <c r="F7" t="s">
        <v>2875</v>
      </c>
      <c r="G7" t="s">
        <v>2876</v>
      </c>
      <c r="H7" t="s">
        <v>102</v>
      </c>
      <c r="I7" t="s">
        <v>2891</v>
      </c>
      <c r="J7" t="s">
        <v>6</v>
      </c>
      <c r="K7" t="s">
        <v>167</v>
      </c>
      <c r="L7" t="s">
        <v>6</v>
      </c>
      <c r="M7" t="s">
        <v>2875</v>
      </c>
      <c r="N7" t="s">
        <v>2875</v>
      </c>
      <c r="O7" t="s">
        <v>105</v>
      </c>
      <c r="P7" t="s">
        <v>119</v>
      </c>
      <c r="Q7" t="s">
        <v>2875</v>
      </c>
      <c r="R7" t="s">
        <v>2875</v>
      </c>
      <c r="S7" t="s">
        <v>2875</v>
      </c>
      <c r="T7" t="s">
        <v>713</v>
      </c>
      <c r="U7" t="s">
        <v>731</v>
      </c>
      <c r="V7" t="s">
        <v>731</v>
      </c>
      <c r="W7" t="s">
        <v>2892</v>
      </c>
      <c r="AB7" t="s">
        <v>733</v>
      </c>
      <c r="AC7" t="s">
        <v>2875</v>
      </c>
      <c r="AD7" t="s">
        <v>2875</v>
      </c>
      <c r="AE7" t="s">
        <v>2875</v>
      </c>
      <c r="AF7" t="s">
        <v>2875</v>
      </c>
      <c r="AG7" t="s">
        <v>2875</v>
      </c>
      <c r="AH7" t="s">
        <v>2875</v>
      </c>
      <c r="AI7" t="s">
        <v>2</v>
      </c>
      <c r="AJ7" t="s">
        <v>731</v>
      </c>
      <c r="AK7" t="s">
        <v>1658</v>
      </c>
    </row>
    <row r="8" spans="1:37" hidden="1" x14ac:dyDescent="0.3">
      <c r="A8" t="s">
        <v>722</v>
      </c>
      <c r="B8" s="56">
        <v>45779.66465343364</v>
      </c>
      <c r="C8" t="s">
        <v>723</v>
      </c>
      <c r="D8" t="s">
        <v>724</v>
      </c>
      <c r="E8" s="7">
        <v>34478</v>
      </c>
      <c r="F8" t="s">
        <v>725</v>
      </c>
      <c r="G8" t="s">
        <v>1553</v>
      </c>
      <c r="H8" t="s">
        <v>102</v>
      </c>
      <c r="I8" t="s">
        <v>726</v>
      </c>
      <c r="J8" t="s">
        <v>4</v>
      </c>
      <c r="K8" t="s">
        <v>226</v>
      </c>
      <c r="L8" t="s">
        <v>117</v>
      </c>
      <c r="M8" t="s">
        <v>727</v>
      </c>
      <c r="N8" t="s">
        <v>728</v>
      </c>
      <c r="O8" t="s">
        <v>111</v>
      </c>
      <c r="P8" t="s">
        <v>729</v>
      </c>
      <c r="Q8" t="s">
        <v>106</v>
      </c>
      <c r="R8" t="s">
        <v>106</v>
      </c>
      <c r="S8" t="s">
        <v>106</v>
      </c>
      <c r="T8" t="s">
        <v>713</v>
      </c>
      <c r="U8" t="s">
        <v>731</v>
      </c>
      <c r="V8" t="s">
        <v>731</v>
      </c>
      <c r="W8" t="s">
        <v>732</v>
      </c>
      <c r="AA8" t="s">
        <v>731</v>
      </c>
      <c r="AB8" t="s">
        <v>733</v>
      </c>
      <c r="AC8" t="s">
        <v>734</v>
      </c>
      <c r="AD8" t="s">
        <v>735</v>
      </c>
      <c r="AE8" t="s">
        <v>736</v>
      </c>
      <c r="AF8" t="s">
        <v>737</v>
      </c>
      <c r="AG8" t="s">
        <v>731</v>
      </c>
      <c r="AH8" t="s">
        <v>738</v>
      </c>
      <c r="AI8" t="s">
        <v>2</v>
      </c>
      <c r="AJ8" t="s">
        <v>739</v>
      </c>
      <c r="AK8" t="s">
        <v>1654</v>
      </c>
    </row>
    <row r="9" spans="1:37" hidden="1" x14ac:dyDescent="0.3">
      <c r="A9" t="s">
        <v>740</v>
      </c>
      <c r="B9" s="56">
        <v>45779.702818518519</v>
      </c>
      <c r="C9" t="s">
        <v>741</v>
      </c>
      <c r="D9" t="s">
        <v>742</v>
      </c>
      <c r="E9" s="7">
        <v>37008</v>
      </c>
      <c r="F9" t="s">
        <v>743</v>
      </c>
      <c r="G9" t="s">
        <v>367</v>
      </c>
      <c r="H9" t="s">
        <v>102</v>
      </c>
      <c r="I9" t="s">
        <v>744</v>
      </c>
      <c r="J9" t="s">
        <v>4</v>
      </c>
      <c r="K9" t="s">
        <v>745</v>
      </c>
      <c r="L9" t="s">
        <v>117</v>
      </c>
      <c r="M9" t="s">
        <v>746</v>
      </c>
      <c r="N9" t="s">
        <v>747</v>
      </c>
      <c r="O9" t="s">
        <v>116</v>
      </c>
      <c r="P9" t="s">
        <v>729</v>
      </c>
      <c r="Q9" t="s">
        <v>106</v>
      </c>
      <c r="R9" t="s">
        <v>106</v>
      </c>
      <c r="S9" t="s">
        <v>106</v>
      </c>
      <c r="T9" t="s">
        <v>713</v>
      </c>
      <c r="U9" t="s">
        <v>731</v>
      </c>
      <c r="V9" t="s">
        <v>731</v>
      </c>
      <c r="W9" t="s">
        <v>748</v>
      </c>
      <c r="AB9" t="s">
        <v>1</v>
      </c>
      <c r="AC9" t="s">
        <v>749</v>
      </c>
      <c r="AD9" t="s">
        <v>750</v>
      </c>
      <c r="AE9" t="s">
        <v>751</v>
      </c>
      <c r="AF9" t="s">
        <v>752</v>
      </c>
      <c r="AG9" t="s">
        <v>753</v>
      </c>
      <c r="AH9" t="s">
        <v>754</v>
      </c>
      <c r="AI9" t="s">
        <v>2</v>
      </c>
      <c r="AJ9" t="s">
        <v>755</v>
      </c>
      <c r="AK9" t="s">
        <v>1655</v>
      </c>
    </row>
    <row r="10" spans="1:37" hidden="1" x14ac:dyDescent="0.3">
      <c r="A10" t="s">
        <v>756</v>
      </c>
      <c r="B10" s="56">
        <v>45779.718532253086</v>
      </c>
      <c r="C10" t="s">
        <v>757</v>
      </c>
      <c r="D10" t="s">
        <v>758</v>
      </c>
      <c r="E10" s="7">
        <v>37272</v>
      </c>
      <c r="F10" t="s">
        <v>759</v>
      </c>
      <c r="G10" t="s">
        <v>1553</v>
      </c>
      <c r="H10" t="s">
        <v>102</v>
      </c>
      <c r="I10" t="s">
        <v>1560</v>
      </c>
      <c r="J10" t="s">
        <v>4</v>
      </c>
      <c r="K10" t="s">
        <v>162</v>
      </c>
      <c r="L10" t="s">
        <v>117</v>
      </c>
      <c r="M10" t="s">
        <v>760</v>
      </c>
      <c r="N10" t="s">
        <v>736</v>
      </c>
      <c r="O10" t="s">
        <v>118</v>
      </c>
      <c r="P10" t="s">
        <v>729</v>
      </c>
      <c r="Q10" t="s">
        <v>106</v>
      </c>
      <c r="R10" t="s">
        <v>106</v>
      </c>
      <c r="S10" t="s">
        <v>106</v>
      </c>
      <c r="T10" t="s">
        <v>713</v>
      </c>
      <c r="U10" t="s">
        <v>761</v>
      </c>
      <c r="V10" t="s">
        <v>731</v>
      </c>
      <c r="W10" t="s">
        <v>762</v>
      </c>
      <c r="AB10" t="s">
        <v>733</v>
      </c>
      <c r="AC10" t="s">
        <v>763</v>
      </c>
      <c r="AD10" t="s">
        <v>764</v>
      </c>
      <c r="AE10" t="s">
        <v>736</v>
      </c>
      <c r="AF10" t="s">
        <v>752</v>
      </c>
      <c r="AG10" t="s">
        <v>753</v>
      </c>
      <c r="AH10" t="s">
        <v>765</v>
      </c>
      <c r="AI10" t="s">
        <v>2</v>
      </c>
      <c r="AJ10" t="s">
        <v>766</v>
      </c>
      <c r="AK10" t="s">
        <v>1656</v>
      </c>
    </row>
    <row r="11" spans="1:37" hidden="1" x14ac:dyDescent="0.3">
      <c r="A11" t="s">
        <v>767</v>
      </c>
      <c r="B11" s="56">
        <v>45779.73304525463</v>
      </c>
      <c r="C11" t="s">
        <v>768</v>
      </c>
      <c r="D11" t="s">
        <v>769</v>
      </c>
      <c r="E11" s="7">
        <v>36595</v>
      </c>
      <c r="F11" t="s">
        <v>770</v>
      </c>
      <c r="G11" t="s">
        <v>771</v>
      </c>
      <c r="H11" t="s">
        <v>102</v>
      </c>
      <c r="I11" t="s">
        <v>772</v>
      </c>
      <c r="J11" t="s">
        <v>4</v>
      </c>
      <c r="K11" t="s">
        <v>162</v>
      </c>
      <c r="L11" t="s">
        <v>104</v>
      </c>
      <c r="M11" t="s">
        <v>773</v>
      </c>
      <c r="N11" t="s">
        <v>774</v>
      </c>
      <c r="O11" t="s">
        <v>118</v>
      </c>
      <c r="P11" t="s">
        <v>729</v>
      </c>
      <c r="Q11" t="s">
        <v>106</v>
      </c>
      <c r="R11" t="s">
        <v>106</v>
      </c>
      <c r="S11" t="s">
        <v>106</v>
      </c>
      <c r="T11" t="s">
        <v>713</v>
      </c>
      <c r="U11" t="s">
        <v>731</v>
      </c>
      <c r="V11" t="s">
        <v>731</v>
      </c>
      <c r="W11" t="s">
        <v>775</v>
      </c>
      <c r="AB11" t="s">
        <v>733</v>
      </c>
      <c r="AC11" t="s">
        <v>776</v>
      </c>
      <c r="AD11" t="s">
        <v>777</v>
      </c>
      <c r="AE11" t="s">
        <v>778</v>
      </c>
      <c r="AF11" t="s">
        <v>752</v>
      </c>
      <c r="AG11" t="s">
        <v>731</v>
      </c>
      <c r="AH11" t="s">
        <v>779</v>
      </c>
      <c r="AI11" t="s">
        <v>2</v>
      </c>
      <c r="AJ11" t="s">
        <v>780</v>
      </c>
      <c r="AK11" t="s">
        <v>1657</v>
      </c>
    </row>
    <row r="12" spans="1:37" hidden="1" x14ac:dyDescent="0.3">
      <c r="A12" t="s">
        <v>781</v>
      </c>
      <c r="B12" s="56">
        <v>45779.760022222225</v>
      </c>
      <c r="C12" t="s">
        <v>782</v>
      </c>
      <c r="D12" t="s">
        <v>783</v>
      </c>
      <c r="E12" s="7">
        <v>33020</v>
      </c>
      <c r="F12" t="s">
        <v>784</v>
      </c>
      <c r="G12" t="s">
        <v>148</v>
      </c>
      <c r="H12" t="s">
        <v>102</v>
      </c>
      <c r="I12" t="s">
        <v>785</v>
      </c>
      <c r="J12" t="s">
        <v>4</v>
      </c>
      <c r="K12" t="s">
        <v>113</v>
      </c>
      <c r="L12" t="s">
        <v>121</v>
      </c>
      <c r="M12" t="s">
        <v>760</v>
      </c>
      <c r="N12" t="s">
        <v>736</v>
      </c>
      <c r="O12" t="s">
        <v>1890</v>
      </c>
      <c r="P12" t="s">
        <v>729</v>
      </c>
      <c r="Q12" t="s">
        <v>106</v>
      </c>
      <c r="R12" t="s">
        <v>106</v>
      </c>
      <c r="S12" t="s">
        <v>106</v>
      </c>
      <c r="T12" t="s">
        <v>713</v>
      </c>
      <c r="U12" t="s">
        <v>786</v>
      </c>
      <c r="V12" t="s">
        <v>731</v>
      </c>
      <c r="W12" t="s">
        <v>787</v>
      </c>
      <c r="AB12" t="s">
        <v>1</v>
      </c>
      <c r="AC12" t="s">
        <v>788</v>
      </c>
      <c r="AD12" t="s">
        <v>789</v>
      </c>
      <c r="AE12" t="s">
        <v>778</v>
      </c>
      <c r="AF12" t="s">
        <v>790</v>
      </c>
      <c r="AG12" t="s">
        <v>753</v>
      </c>
      <c r="AH12" t="s">
        <v>791</v>
      </c>
      <c r="AI12" t="s">
        <v>2</v>
      </c>
      <c r="AJ12" t="s">
        <v>792</v>
      </c>
      <c r="AK12" t="s">
        <v>1658</v>
      </c>
    </row>
    <row r="13" spans="1:37" hidden="1" x14ac:dyDescent="0.3">
      <c r="A13" t="s">
        <v>793</v>
      </c>
      <c r="B13" s="56">
        <v>45779.79817820216</v>
      </c>
      <c r="C13" t="s">
        <v>794</v>
      </c>
      <c r="D13" t="s">
        <v>795</v>
      </c>
      <c r="E13" s="7">
        <v>37723</v>
      </c>
      <c r="F13" t="s">
        <v>796</v>
      </c>
      <c r="G13" t="s">
        <v>118</v>
      </c>
      <c r="H13" t="s">
        <v>102</v>
      </c>
      <c r="I13" t="s">
        <v>797</v>
      </c>
      <c r="J13" t="s">
        <v>4</v>
      </c>
      <c r="K13" t="s">
        <v>162</v>
      </c>
      <c r="L13" t="s">
        <v>117</v>
      </c>
      <c r="M13" t="s">
        <v>727</v>
      </c>
      <c r="N13" t="s">
        <v>736</v>
      </c>
      <c r="O13" t="s">
        <v>118</v>
      </c>
      <c r="P13" t="s">
        <v>729</v>
      </c>
      <c r="Q13" t="s">
        <v>106</v>
      </c>
      <c r="R13" t="s">
        <v>106</v>
      </c>
      <c r="S13" t="s">
        <v>106</v>
      </c>
      <c r="T13" t="s">
        <v>713</v>
      </c>
      <c r="U13" t="s">
        <v>731</v>
      </c>
      <c r="V13" t="s">
        <v>731</v>
      </c>
      <c r="W13" t="s">
        <v>798</v>
      </c>
      <c r="AB13" t="s">
        <v>1</v>
      </c>
      <c r="AC13" t="s">
        <v>799</v>
      </c>
      <c r="AD13" t="s">
        <v>800</v>
      </c>
      <c r="AE13" t="s">
        <v>736</v>
      </c>
      <c r="AF13" t="s">
        <v>752</v>
      </c>
      <c r="AG13" t="s">
        <v>801</v>
      </c>
      <c r="AH13" t="s">
        <v>779</v>
      </c>
      <c r="AI13" t="s">
        <v>2</v>
      </c>
      <c r="AJ13" t="s">
        <v>802</v>
      </c>
      <c r="AK13" t="s">
        <v>1659</v>
      </c>
    </row>
    <row r="14" spans="1:37" hidden="1" x14ac:dyDescent="0.3">
      <c r="A14" t="s">
        <v>803</v>
      </c>
      <c r="B14" s="56">
        <v>45779.8074966821</v>
      </c>
      <c r="C14" t="s">
        <v>804</v>
      </c>
      <c r="D14" t="s">
        <v>805</v>
      </c>
      <c r="E14" s="7">
        <v>36633</v>
      </c>
      <c r="F14" t="s">
        <v>806</v>
      </c>
      <c r="G14" t="s">
        <v>367</v>
      </c>
      <c r="H14" t="s">
        <v>102</v>
      </c>
      <c r="I14" t="s">
        <v>807</v>
      </c>
      <c r="J14" t="s">
        <v>4</v>
      </c>
      <c r="K14" t="s">
        <v>745</v>
      </c>
      <c r="L14" t="s">
        <v>121</v>
      </c>
      <c r="M14" t="s">
        <v>808</v>
      </c>
      <c r="N14" t="s">
        <v>809</v>
      </c>
      <c r="O14" t="s">
        <v>116</v>
      </c>
      <c r="P14" t="s">
        <v>729</v>
      </c>
      <c r="Q14" t="s">
        <v>106</v>
      </c>
      <c r="R14" t="s">
        <v>106</v>
      </c>
      <c r="S14" t="s">
        <v>106</v>
      </c>
      <c r="T14" t="s">
        <v>713</v>
      </c>
      <c r="U14" t="s">
        <v>731</v>
      </c>
      <c r="V14" t="s">
        <v>731</v>
      </c>
      <c r="W14" t="s">
        <v>810</v>
      </c>
      <c r="AB14" t="s">
        <v>1</v>
      </c>
      <c r="AC14" t="s">
        <v>811</v>
      </c>
      <c r="AD14" t="s">
        <v>800</v>
      </c>
      <c r="AE14" t="s">
        <v>812</v>
      </c>
      <c r="AF14" t="s">
        <v>752</v>
      </c>
      <c r="AG14" t="s">
        <v>731</v>
      </c>
      <c r="AH14" t="s">
        <v>813</v>
      </c>
      <c r="AI14" t="s">
        <v>2</v>
      </c>
      <c r="AJ14" t="s">
        <v>814</v>
      </c>
      <c r="AK14" t="s">
        <v>1657</v>
      </c>
    </row>
    <row r="15" spans="1:37" hidden="1" x14ac:dyDescent="0.3">
      <c r="A15" t="s">
        <v>815</v>
      </c>
      <c r="B15" s="56">
        <v>45779.845802199074</v>
      </c>
      <c r="C15" t="s">
        <v>816</v>
      </c>
      <c r="D15" t="s">
        <v>817</v>
      </c>
      <c r="E15" s="7">
        <v>37272</v>
      </c>
      <c r="F15" t="s">
        <v>818</v>
      </c>
      <c r="G15" t="s">
        <v>112</v>
      </c>
      <c r="H15" t="s">
        <v>102</v>
      </c>
      <c r="I15" t="s">
        <v>819</v>
      </c>
      <c r="J15" t="s">
        <v>4</v>
      </c>
      <c r="K15" t="s">
        <v>113</v>
      </c>
      <c r="L15" t="s">
        <v>122</v>
      </c>
      <c r="M15" t="s">
        <v>820</v>
      </c>
      <c r="N15" t="s">
        <v>821</v>
      </c>
      <c r="O15" t="s">
        <v>1890</v>
      </c>
      <c r="P15" t="s">
        <v>729</v>
      </c>
      <c r="Q15" t="s">
        <v>106</v>
      </c>
      <c r="R15" t="s">
        <v>106</v>
      </c>
      <c r="S15" t="s">
        <v>106</v>
      </c>
      <c r="T15" t="s">
        <v>713</v>
      </c>
      <c r="U15" t="s">
        <v>731</v>
      </c>
      <c r="V15" t="s">
        <v>822</v>
      </c>
      <c r="W15" t="s">
        <v>823</v>
      </c>
      <c r="AA15" t="s">
        <v>824</v>
      </c>
      <c r="AB15" t="s">
        <v>1</v>
      </c>
      <c r="AC15" t="s">
        <v>763</v>
      </c>
      <c r="AD15" t="s">
        <v>825</v>
      </c>
      <c r="AE15" t="s">
        <v>736</v>
      </c>
      <c r="AF15" t="s">
        <v>752</v>
      </c>
      <c r="AG15" t="s">
        <v>731</v>
      </c>
      <c r="AH15" t="s">
        <v>826</v>
      </c>
      <c r="AI15" t="s">
        <v>2</v>
      </c>
      <c r="AJ15" t="s">
        <v>827</v>
      </c>
      <c r="AK15" t="s">
        <v>1656</v>
      </c>
    </row>
    <row r="16" spans="1:37" hidden="1" x14ac:dyDescent="0.3">
      <c r="A16" t="s">
        <v>828</v>
      </c>
      <c r="B16" s="56">
        <v>45779.880184452159</v>
      </c>
      <c r="C16" t="s">
        <v>829</v>
      </c>
      <c r="D16" t="s">
        <v>830</v>
      </c>
      <c r="E16" s="7">
        <v>37295</v>
      </c>
      <c r="F16" t="s">
        <v>831</v>
      </c>
      <c r="G16" t="s">
        <v>118</v>
      </c>
      <c r="H16" t="s">
        <v>102</v>
      </c>
      <c r="I16" t="s">
        <v>1561</v>
      </c>
      <c r="J16" t="s">
        <v>4</v>
      </c>
      <c r="K16" t="s">
        <v>135</v>
      </c>
      <c r="L16" t="s">
        <v>115</v>
      </c>
      <c r="M16" t="s">
        <v>760</v>
      </c>
      <c r="N16" t="s">
        <v>736</v>
      </c>
      <c r="O16" t="s">
        <v>118</v>
      </c>
      <c r="P16" t="s">
        <v>729</v>
      </c>
      <c r="Q16" t="s">
        <v>106</v>
      </c>
      <c r="R16" t="s">
        <v>106</v>
      </c>
      <c r="S16" t="s">
        <v>106</v>
      </c>
      <c r="T16" t="s">
        <v>713</v>
      </c>
      <c r="U16" t="s">
        <v>832</v>
      </c>
      <c r="V16" t="s">
        <v>731</v>
      </c>
      <c r="W16" t="s">
        <v>833</v>
      </c>
      <c r="AB16" t="s">
        <v>1</v>
      </c>
      <c r="AC16" t="s">
        <v>834</v>
      </c>
      <c r="AD16" t="s">
        <v>800</v>
      </c>
      <c r="AE16" t="s">
        <v>835</v>
      </c>
      <c r="AF16" t="s">
        <v>752</v>
      </c>
      <c r="AG16" t="s">
        <v>753</v>
      </c>
      <c r="AH16" t="s">
        <v>836</v>
      </c>
      <c r="AI16" t="s">
        <v>2</v>
      </c>
      <c r="AJ16" t="s">
        <v>837</v>
      </c>
      <c r="AK16" t="s">
        <v>1656</v>
      </c>
    </row>
    <row r="17" spans="1:37" hidden="1" x14ac:dyDescent="0.3">
      <c r="A17" t="s">
        <v>838</v>
      </c>
      <c r="B17" s="56">
        <v>45779.922843749999</v>
      </c>
      <c r="C17" t="s">
        <v>839</v>
      </c>
      <c r="D17" t="s">
        <v>840</v>
      </c>
      <c r="E17" s="7">
        <v>38597</v>
      </c>
      <c r="F17" t="s">
        <v>841</v>
      </c>
      <c r="G17" t="s">
        <v>148</v>
      </c>
      <c r="H17" t="s">
        <v>102</v>
      </c>
      <c r="I17" t="s">
        <v>842</v>
      </c>
      <c r="J17" t="s">
        <v>4</v>
      </c>
      <c r="K17" t="s">
        <v>413</v>
      </c>
      <c r="L17" t="s">
        <v>122</v>
      </c>
      <c r="M17" t="s">
        <v>843</v>
      </c>
      <c r="N17" t="s">
        <v>844</v>
      </c>
      <c r="O17" t="s">
        <v>105</v>
      </c>
      <c r="P17" t="s">
        <v>106</v>
      </c>
      <c r="Q17" t="s">
        <v>106</v>
      </c>
      <c r="R17" t="s">
        <v>106</v>
      </c>
      <c r="S17" t="s">
        <v>106</v>
      </c>
      <c r="T17" t="s">
        <v>713</v>
      </c>
      <c r="U17" t="s">
        <v>845</v>
      </c>
      <c r="V17" t="s">
        <v>846</v>
      </c>
      <c r="W17" t="s">
        <v>847</v>
      </c>
      <c r="AB17" t="s">
        <v>1</v>
      </c>
      <c r="AC17" t="s">
        <v>763</v>
      </c>
      <c r="AD17" t="s">
        <v>764</v>
      </c>
      <c r="AE17" t="s">
        <v>848</v>
      </c>
      <c r="AF17" t="s">
        <v>752</v>
      </c>
      <c r="AG17" t="s">
        <v>753</v>
      </c>
      <c r="AH17" t="s">
        <v>849</v>
      </c>
      <c r="AI17" t="s">
        <v>2</v>
      </c>
      <c r="AJ17" t="s">
        <v>850</v>
      </c>
      <c r="AK17" t="s">
        <v>1660</v>
      </c>
    </row>
    <row r="18" spans="1:37" hidden="1" x14ac:dyDescent="0.3">
      <c r="A18" t="s">
        <v>851</v>
      </c>
      <c r="B18" s="56">
        <v>45779.939551041665</v>
      </c>
      <c r="C18" t="s">
        <v>852</v>
      </c>
      <c r="D18" t="s">
        <v>853</v>
      </c>
      <c r="E18" s="7">
        <v>37765</v>
      </c>
      <c r="F18" t="s">
        <v>854</v>
      </c>
      <c r="G18" t="s">
        <v>118</v>
      </c>
      <c r="H18" t="s">
        <v>102</v>
      </c>
      <c r="I18" t="s">
        <v>855</v>
      </c>
      <c r="J18" t="s">
        <v>4</v>
      </c>
      <c r="K18" t="s">
        <v>311</v>
      </c>
      <c r="L18" t="s">
        <v>117</v>
      </c>
      <c r="M18" t="s">
        <v>727</v>
      </c>
      <c r="N18" t="s">
        <v>835</v>
      </c>
      <c r="O18" t="s">
        <v>105</v>
      </c>
      <c r="P18" t="s">
        <v>729</v>
      </c>
      <c r="Q18" t="s">
        <v>106</v>
      </c>
      <c r="R18" t="s">
        <v>106</v>
      </c>
      <c r="S18" t="s">
        <v>106</v>
      </c>
      <c r="T18" t="s">
        <v>730</v>
      </c>
      <c r="U18" t="s">
        <v>731</v>
      </c>
      <c r="V18" t="s">
        <v>731</v>
      </c>
      <c r="W18" t="s">
        <v>856</v>
      </c>
      <c r="AB18" t="s">
        <v>733</v>
      </c>
      <c r="AC18" t="s">
        <v>763</v>
      </c>
      <c r="AD18" t="s">
        <v>857</v>
      </c>
      <c r="AE18" t="s">
        <v>835</v>
      </c>
      <c r="AF18" t="s">
        <v>752</v>
      </c>
      <c r="AG18" t="s">
        <v>731</v>
      </c>
      <c r="AH18" t="s">
        <v>858</v>
      </c>
      <c r="AI18" t="s">
        <v>2</v>
      </c>
      <c r="AJ18" t="s">
        <v>859</v>
      </c>
      <c r="AK18" t="s">
        <v>1659</v>
      </c>
    </row>
    <row r="19" spans="1:37" hidden="1" x14ac:dyDescent="0.3">
      <c r="A19" t="s">
        <v>860</v>
      </c>
      <c r="B19" s="56">
        <v>45779.944518402779</v>
      </c>
      <c r="C19" t="s">
        <v>861</v>
      </c>
      <c r="D19" t="s">
        <v>862</v>
      </c>
      <c r="E19" s="7">
        <v>37575</v>
      </c>
      <c r="F19" t="s">
        <v>863</v>
      </c>
      <c r="G19" t="s">
        <v>118</v>
      </c>
      <c r="H19" t="s">
        <v>102</v>
      </c>
      <c r="I19" t="s">
        <v>864</v>
      </c>
      <c r="J19" t="s">
        <v>4</v>
      </c>
      <c r="K19" t="s">
        <v>413</v>
      </c>
      <c r="L19" t="s">
        <v>122</v>
      </c>
      <c r="M19" t="s">
        <v>727</v>
      </c>
      <c r="N19" t="s">
        <v>865</v>
      </c>
      <c r="O19" t="s">
        <v>105</v>
      </c>
      <c r="P19" t="s">
        <v>729</v>
      </c>
      <c r="Q19" t="s">
        <v>106</v>
      </c>
      <c r="R19" t="s">
        <v>106</v>
      </c>
      <c r="S19" t="s">
        <v>106</v>
      </c>
      <c r="T19" t="s">
        <v>713</v>
      </c>
      <c r="U19" t="s">
        <v>731</v>
      </c>
      <c r="V19" t="s">
        <v>731</v>
      </c>
      <c r="W19" t="s">
        <v>866</v>
      </c>
      <c r="AB19" t="s">
        <v>1</v>
      </c>
      <c r="AC19" t="s">
        <v>867</v>
      </c>
      <c r="AD19" t="s">
        <v>868</v>
      </c>
      <c r="AE19" t="s">
        <v>865</v>
      </c>
      <c r="AF19" t="s">
        <v>752</v>
      </c>
      <c r="AG19" t="s">
        <v>753</v>
      </c>
      <c r="AH19" t="s">
        <v>869</v>
      </c>
      <c r="AI19" t="s">
        <v>2</v>
      </c>
      <c r="AJ19" t="s">
        <v>870</v>
      </c>
      <c r="AK19" t="s">
        <v>1659</v>
      </c>
    </row>
    <row r="20" spans="1:37" hidden="1" x14ac:dyDescent="0.3">
      <c r="A20" t="s">
        <v>871</v>
      </c>
      <c r="B20" s="56">
        <v>45779.956574151234</v>
      </c>
      <c r="C20" t="s">
        <v>872</v>
      </c>
      <c r="D20" t="s">
        <v>873</v>
      </c>
      <c r="E20" s="7">
        <v>37288</v>
      </c>
      <c r="F20" t="s">
        <v>874</v>
      </c>
      <c r="G20" t="s">
        <v>875</v>
      </c>
      <c r="H20" t="s">
        <v>102</v>
      </c>
      <c r="I20" t="s">
        <v>1562</v>
      </c>
      <c r="J20" t="s">
        <v>4</v>
      </c>
      <c r="K20" t="s">
        <v>876</v>
      </c>
      <c r="L20" t="s">
        <v>110</v>
      </c>
      <c r="M20" t="s">
        <v>760</v>
      </c>
      <c r="N20" t="s">
        <v>835</v>
      </c>
      <c r="O20" t="s">
        <v>3052</v>
      </c>
      <c r="P20" t="s">
        <v>729</v>
      </c>
      <c r="Q20" t="s">
        <v>106</v>
      </c>
      <c r="R20" t="s">
        <v>106</v>
      </c>
      <c r="S20" t="s">
        <v>106</v>
      </c>
      <c r="T20" t="s">
        <v>713</v>
      </c>
      <c r="U20" t="s">
        <v>877</v>
      </c>
      <c r="V20" t="s">
        <v>731</v>
      </c>
      <c r="W20" t="s">
        <v>878</v>
      </c>
      <c r="AB20" t="s">
        <v>1</v>
      </c>
      <c r="AC20" t="s">
        <v>879</v>
      </c>
      <c r="AD20" t="s">
        <v>880</v>
      </c>
      <c r="AE20" t="s">
        <v>881</v>
      </c>
      <c r="AF20" t="s">
        <v>752</v>
      </c>
      <c r="AG20" t="s">
        <v>731</v>
      </c>
      <c r="AH20" t="s">
        <v>882</v>
      </c>
      <c r="AI20" t="s">
        <v>2</v>
      </c>
      <c r="AJ20" t="s">
        <v>883</v>
      </c>
      <c r="AK20" t="s">
        <v>1656</v>
      </c>
    </row>
    <row r="21" spans="1:37" hidden="1" x14ac:dyDescent="0.3">
      <c r="A21" t="s">
        <v>884</v>
      </c>
      <c r="B21" s="56">
        <v>45779.958011651237</v>
      </c>
      <c r="C21" t="s">
        <v>885</v>
      </c>
      <c r="D21" t="s">
        <v>886</v>
      </c>
      <c r="E21" s="7">
        <v>31175</v>
      </c>
      <c r="F21" t="s">
        <v>887</v>
      </c>
      <c r="G21" t="s">
        <v>875</v>
      </c>
      <c r="H21" t="s">
        <v>102</v>
      </c>
      <c r="I21" t="s">
        <v>888</v>
      </c>
      <c r="J21" t="s">
        <v>4</v>
      </c>
      <c r="K21" t="s">
        <v>876</v>
      </c>
      <c r="L21" t="s">
        <v>104</v>
      </c>
      <c r="M21" t="s">
        <v>889</v>
      </c>
      <c r="N21" t="s">
        <v>736</v>
      </c>
      <c r="O21" t="s">
        <v>3052</v>
      </c>
      <c r="P21" t="s">
        <v>729</v>
      </c>
      <c r="Q21" t="s">
        <v>106</v>
      </c>
      <c r="R21" t="s">
        <v>106</v>
      </c>
      <c r="S21" t="s">
        <v>106</v>
      </c>
      <c r="T21" t="s">
        <v>713</v>
      </c>
      <c r="U21" t="s">
        <v>731</v>
      </c>
      <c r="V21" t="s">
        <v>731</v>
      </c>
      <c r="W21" t="s">
        <v>890</v>
      </c>
      <c r="AB21" t="s">
        <v>1</v>
      </c>
      <c r="AC21" t="s">
        <v>891</v>
      </c>
      <c r="AD21" t="s">
        <v>733</v>
      </c>
      <c r="AE21" t="s">
        <v>736</v>
      </c>
      <c r="AF21" t="s">
        <v>790</v>
      </c>
      <c r="AG21" t="s">
        <v>731</v>
      </c>
      <c r="AH21" t="s">
        <v>892</v>
      </c>
      <c r="AI21" t="s">
        <v>2</v>
      </c>
      <c r="AJ21" t="s">
        <v>893</v>
      </c>
      <c r="AK21" t="s">
        <v>1661</v>
      </c>
    </row>
    <row r="22" spans="1:37" hidden="1" x14ac:dyDescent="0.3">
      <c r="A22" t="s">
        <v>894</v>
      </c>
      <c r="B22" s="56">
        <v>45779.972187461419</v>
      </c>
      <c r="C22" t="s">
        <v>895</v>
      </c>
      <c r="D22" t="s">
        <v>896</v>
      </c>
      <c r="E22" s="7">
        <v>38333</v>
      </c>
      <c r="F22" t="s">
        <v>897</v>
      </c>
      <c r="G22" t="s">
        <v>112</v>
      </c>
      <c r="H22" t="s">
        <v>102</v>
      </c>
      <c r="I22" t="s">
        <v>898</v>
      </c>
      <c r="J22" t="s">
        <v>4</v>
      </c>
      <c r="K22" t="s">
        <v>413</v>
      </c>
      <c r="L22" t="s">
        <v>122</v>
      </c>
      <c r="M22" t="s">
        <v>899</v>
      </c>
      <c r="N22" t="s">
        <v>844</v>
      </c>
      <c r="O22" t="s">
        <v>105</v>
      </c>
      <c r="P22" t="s">
        <v>106</v>
      </c>
      <c r="Q22" t="s">
        <v>106</v>
      </c>
      <c r="R22" t="s">
        <v>106</v>
      </c>
      <c r="S22" t="s">
        <v>106</v>
      </c>
      <c r="T22" t="s">
        <v>713</v>
      </c>
      <c r="U22" t="s">
        <v>731</v>
      </c>
      <c r="V22" t="s">
        <v>731</v>
      </c>
      <c r="W22" t="s">
        <v>900</v>
      </c>
      <c r="AB22" t="s">
        <v>1</v>
      </c>
      <c r="AC22" t="s">
        <v>901</v>
      </c>
      <c r="AD22" t="s">
        <v>902</v>
      </c>
      <c r="AE22" t="s">
        <v>903</v>
      </c>
      <c r="AF22" t="s">
        <v>752</v>
      </c>
      <c r="AG22" t="s">
        <v>904</v>
      </c>
      <c r="AH22" t="s">
        <v>905</v>
      </c>
      <c r="AI22" t="s">
        <v>2</v>
      </c>
      <c r="AJ22" t="s">
        <v>906</v>
      </c>
      <c r="AK22" t="s">
        <v>1662</v>
      </c>
    </row>
    <row r="23" spans="1:37" hidden="1" x14ac:dyDescent="0.3">
      <c r="A23" t="s">
        <v>907</v>
      </c>
      <c r="B23" s="56">
        <v>45780.145754899691</v>
      </c>
      <c r="C23" t="s">
        <v>908</v>
      </c>
      <c r="D23" t="s">
        <v>909</v>
      </c>
      <c r="E23" s="7">
        <v>38482</v>
      </c>
      <c r="F23" t="s">
        <v>910</v>
      </c>
      <c r="G23" t="s">
        <v>118</v>
      </c>
      <c r="H23" t="s">
        <v>102</v>
      </c>
      <c r="I23" t="s">
        <v>911</v>
      </c>
      <c r="J23" t="s">
        <v>4</v>
      </c>
      <c r="K23" t="s">
        <v>413</v>
      </c>
      <c r="L23" t="s">
        <v>115</v>
      </c>
      <c r="M23" t="s">
        <v>727</v>
      </c>
      <c r="N23" t="s">
        <v>912</v>
      </c>
      <c r="O23" t="s">
        <v>105</v>
      </c>
      <c r="P23" t="s">
        <v>106</v>
      </c>
      <c r="Q23" t="s">
        <v>106</v>
      </c>
      <c r="R23" t="s">
        <v>106</v>
      </c>
      <c r="S23" t="s">
        <v>106</v>
      </c>
      <c r="T23" t="s">
        <v>120</v>
      </c>
      <c r="U23" t="s">
        <v>731</v>
      </c>
      <c r="V23" t="s">
        <v>731</v>
      </c>
      <c r="W23" t="s">
        <v>913</v>
      </c>
      <c r="AB23" t="s">
        <v>733</v>
      </c>
      <c r="AC23" t="s">
        <v>914</v>
      </c>
      <c r="AD23" t="s">
        <v>915</v>
      </c>
      <c r="AE23" t="s">
        <v>916</v>
      </c>
      <c r="AF23" t="s">
        <v>752</v>
      </c>
      <c r="AG23" t="s">
        <v>731</v>
      </c>
      <c r="AH23" t="s">
        <v>917</v>
      </c>
      <c r="AI23" t="s">
        <v>2</v>
      </c>
      <c r="AJ23" t="s">
        <v>918</v>
      </c>
      <c r="AK23" t="s">
        <v>1662</v>
      </c>
    </row>
    <row r="24" spans="1:37" hidden="1" x14ac:dyDescent="0.3">
      <c r="A24" t="s">
        <v>919</v>
      </c>
      <c r="B24" s="56">
        <v>45780.530955825619</v>
      </c>
      <c r="C24" t="s">
        <v>920</v>
      </c>
      <c r="D24" t="s">
        <v>921</v>
      </c>
      <c r="E24" s="7">
        <v>29183</v>
      </c>
      <c r="F24" t="s">
        <v>922</v>
      </c>
      <c r="G24" t="s">
        <v>923</v>
      </c>
      <c r="H24" t="s">
        <v>102</v>
      </c>
      <c r="I24" t="s">
        <v>924</v>
      </c>
      <c r="J24" t="s">
        <v>4</v>
      </c>
      <c r="K24" t="s">
        <v>3054</v>
      </c>
      <c r="L24" t="s">
        <v>104</v>
      </c>
      <c r="M24" t="s">
        <v>727</v>
      </c>
      <c r="N24" t="s">
        <v>736</v>
      </c>
      <c r="O24" t="s">
        <v>1719</v>
      </c>
      <c r="P24" t="s">
        <v>729</v>
      </c>
      <c r="Q24" t="s">
        <v>106</v>
      </c>
      <c r="R24" t="s">
        <v>106</v>
      </c>
      <c r="S24" t="s">
        <v>106</v>
      </c>
      <c r="T24" t="s">
        <v>713</v>
      </c>
      <c r="U24" t="s">
        <v>731</v>
      </c>
      <c r="V24" t="s">
        <v>731</v>
      </c>
      <c r="W24" t="s">
        <v>926</v>
      </c>
      <c r="X24" t="s">
        <v>927</v>
      </c>
      <c r="Y24" t="s">
        <v>928</v>
      </c>
      <c r="Z24" t="s">
        <v>929</v>
      </c>
      <c r="AA24" t="s">
        <v>930</v>
      </c>
      <c r="AB24" t="s">
        <v>733</v>
      </c>
      <c r="AC24" t="s">
        <v>931</v>
      </c>
      <c r="AD24" t="s">
        <v>880</v>
      </c>
      <c r="AE24" t="s">
        <v>835</v>
      </c>
      <c r="AF24" t="s">
        <v>752</v>
      </c>
      <c r="AG24" t="s">
        <v>904</v>
      </c>
      <c r="AH24" t="s">
        <v>932</v>
      </c>
      <c r="AI24" t="s">
        <v>2</v>
      </c>
      <c r="AJ24" t="s">
        <v>933</v>
      </c>
      <c r="AK24" t="s">
        <v>1663</v>
      </c>
    </row>
    <row r="25" spans="1:37" hidden="1" x14ac:dyDescent="0.3">
      <c r="A25" t="s">
        <v>934</v>
      </c>
      <c r="B25" s="56">
        <v>45780.64601385031</v>
      </c>
      <c r="C25" t="s">
        <v>935</v>
      </c>
      <c r="D25" t="s">
        <v>936</v>
      </c>
      <c r="E25" s="7">
        <v>32685</v>
      </c>
      <c r="F25" t="s">
        <v>937</v>
      </c>
      <c r="G25" t="s">
        <v>522</v>
      </c>
      <c r="H25" t="s">
        <v>102</v>
      </c>
      <c r="I25" t="s">
        <v>938</v>
      </c>
      <c r="J25" t="s">
        <v>4</v>
      </c>
      <c r="K25" t="s">
        <v>939</v>
      </c>
      <c r="L25" t="s">
        <v>104</v>
      </c>
      <c r="M25" t="s">
        <v>760</v>
      </c>
      <c r="N25" t="s">
        <v>940</v>
      </c>
      <c r="O25" t="s">
        <v>1718</v>
      </c>
      <c r="P25" t="s">
        <v>729</v>
      </c>
      <c r="Q25" t="s">
        <v>106</v>
      </c>
      <c r="R25" t="s">
        <v>106</v>
      </c>
      <c r="S25" t="s">
        <v>106</v>
      </c>
      <c r="T25" t="s">
        <v>713</v>
      </c>
      <c r="U25" t="s">
        <v>941</v>
      </c>
      <c r="V25" t="s">
        <v>731</v>
      </c>
      <c r="W25" t="s">
        <v>942</v>
      </c>
      <c r="AB25" t="s">
        <v>1</v>
      </c>
      <c r="AC25" t="s">
        <v>943</v>
      </c>
      <c r="AD25" t="s">
        <v>944</v>
      </c>
      <c r="AE25" t="s">
        <v>945</v>
      </c>
      <c r="AF25" t="s">
        <v>752</v>
      </c>
      <c r="AG25" t="s">
        <v>731</v>
      </c>
      <c r="AH25" t="s">
        <v>946</v>
      </c>
      <c r="AI25" t="s">
        <v>2</v>
      </c>
      <c r="AJ25" t="s">
        <v>947</v>
      </c>
      <c r="AK25" t="s">
        <v>1671</v>
      </c>
    </row>
    <row r="26" spans="1:37" hidden="1" x14ac:dyDescent="0.3">
      <c r="A26" t="s">
        <v>948</v>
      </c>
      <c r="B26" s="56">
        <v>45780.728285918209</v>
      </c>
      <c r="C26" t="s">
        <v>949</v>
      </c>
      <c r="D26" t="s">
        <v>950</v>
      </c>
      <c r="E26" s="7">
        <v>33147</v>
      </c>
      <c r="F26" t="s">
        <v>951</v>
      </c>
      <c r="G26" t="s">
        <v>771</v>
      </c>
      <c r="H26" t="s">
        <v>102</v>
      </c>
      <c r="I26" t="s">
        <v>952</v>
      </c>
      <c r="J26" t="s">
        <v>4</v>
      </c>
      <c r="K26" t="s">
        <v>135</v>
      </c>
      <c r="L26" t="s">
        <v>121</v>
      </c>
      <c r="M26" t="s">
        <v>773</v>
      </c>
      <c r="N26" t="s">
        <v>835</v>
      </c>
      <c r="O26" t="s">
        <v>118</v>
      </c>
      <c r="P26" t="s">
        <v>729</v>
      </c>
      <c r="Q26" t="s">
        <v>106</v>
      </c>
      <c r="R26" t="s">
        <v>106</v>
      </c>
      <c r="S26" t="s">
        <v>106</v>
      </c>
      <c r="T26" t="s">
        <v>713</v>
      </c>
      <c r="U26" t="s">
        <v>731</v>
      </c>
      <c r="V26" t="s">
        <v>731</v>
      </c>
      <c r="W26" t="s">
        <v>953</v>
      </c>
      <c r="AB26" t="s">
        <v>1</v>
      </c>
      <c r="AC26" t="s">
        <v>954</v>
      </c>
      <c r="AD26" t="s">
        <v>848</v>
      </c>
      <c r="AE26" t="s">
        <v>880</v>
      </c>
      <c r="AF26" t="s">
        <v>752</v>
      </c>
      <c r="AG26" t="s">
        <v>753</v>
      </c>
      <c r="AH26" t="s">
        <v>955</v>
      </c>
      <c r="AI26" t="s">
        <v>2</v>
      </c>
      <c r="AJ26" t="s">
        <v>956</v>
      </c>
      <c r="AK26" t="s">
        <v>1664</v>
      </c>
    </row>
    <row r="27" spans="1:37" hidden="1" x14ac:dyDescent="0.3">
      <c r="A27" t="s">
        <v>957</v>
      </c>
      <c r="B27" s="56">
        <v>45780.801750462961</v>
      </c>
      <c r="C27" t="s">
        <v>958</v>
      </c>
      <c r="D27" t="s">
        <v>959</v>
      </c>
      <c r="E27" s="7">
        <v>37837</v>
      </c>
      <c r="F27" t="s">
        <v>960</v>
      </c>
      <c r="G27" t="s">
        <v>112</v>
      </c>
      <c r="H27" t="s">
        <v>102</v>
      </c>
      <c r="I27" t="s">
        <v>961</v>
      </c>
      <c r="J27" t="s">
        <v>4</v>
      </c>
      <c r="K27" t="s">
        <v>123</v>
      </c>
      <c r="L27" t="s">
        <v>115</v>
      </c>
      <c r="M27" t="s">
        <v>962</v>
      </c>
      <c r="N27" t="s">
        <v>963</v>
      </c>
      <c r="O27" t="s">
        <v>118</v>
      </c>
      <c r="P27" t="s">
        <v>729</v>
      </c>
      <c r="Q27" t="s">
        <v>106</v>
      </c>
      <c r="R27" t="s">
        <v>106</v>
      </c>
      <c r="S27" t="s">
        <v>106</v>
      </c>
      <c r="T27" t="s">
        <v>730</v>
      </c>
      <c r="U27" t="s">
        <v>964</v>
      </c>
      <c r="V27" t="s">
        <v>731</v>
      </c>
      <c r="W27" t="s">
        <v>965</v>
      </c>
      <c r="X27" t="s">
        <v>966</v>
      </c>
      <c r="Y27" t="s">
        <v>967</v>
      </c>
      <c r="Z27" t="s">
        <v>968</v>
      </c>
      <c r="AB27" t="s">
        <v>1</v>
      </c>
      <c r="AC27" t="s">
        <v>763</v>
      </c>
      <c r="AD27" t="s">
        <v>969</v>
      </c>
      <c r="AE27" t="s">
        <v>963</v>
      </c>
      <c r="AF27" t="s">
        <v>752</v>
      </c>
      <c r="AG27" t="s">
        <v>970</v>
      </c>
      <c r="AH27" t="s">
        <v>971</v>
      </c>
      <c r="AI27" t="s">
        <v>2</v>
      </c>
      <c r="AJ27" t="s">
        <v>972</v>
      </c>
      <c r="AK27" t="s">
        <v>1665</v>
      </c>
    </row>
    <row r="28" spans="1:37" hidden="1" x14ac:dyDescent="0.3">
      <c r="A28" t="s">
        <v>1554</v>
      </c>
      <c r="B28" s="56">
        <v>45780.8170185571</v>
      </c>
      <c r="C28" t="s">
        <v>973</v>
      </c>
      <c r="D28" t="s">
        <v>974</v>
      </c>
      <c r="E28" s="7">
        <v>32726</v>
      </c>
      <c r="F28" t="s">
        <v>975</v>
      </c>
      <c r="G28" t="s">
        <v>771</v>
      </c>
      <c r="H28" t="s">
        <v>102</v>
      </c>
      <c r="I28" t="s">
        <v>976</v>
      </c>
      <c r="J28" t="s">
        <v>4</v>
      </c>
      <c r="K28" t="s">
        <v>135</v>
      </c>
      <c r="L28" t="s">
        <v>121</v>
      </c>
      <c r="M28" t="s">
        <v>727</v>
      </c>
      <c r="N28" t="s">
        <v>835</v>
      </c>
      <c r="O28" t="s">
        <v>118</v>
      </c>
      <c r="P28" t="s">
        <v>729</v>
      </c>
      <c r="Q28" t="s">
        <v>106</v>
      </c>
      <c r="R28" t="s">
        <v>106</v>
      </c>
      <c r="S28" t="s">
        <v>106</v>
      </c>
      <c r="T28" t="s">
        <v>713</v>
      </c>
      <c r="U28" t="s">
        <v>731</v>
      </c>
      <c r="V28" t="s">
        <v>977</v>
      </c>
      <c r="W28" t="s">
        <v>978</v>
      </c>
      <c r="AB28" t="s">
        <v>733</v>
      </c>
      <c r="AC28" t="s">
        <v>979</v>
      </c>
      <c r="AD28" t="s">
        <v>980</v>
      </c>
      <c r="AE28" t="s">
        <v>981</v>
      </c>
      <c r="AF28" t="s">
        <v>752</v>
      </c>
      <c r="AG28" t="s">
        <v>731</v>
      </c>
      <c r="AH28" t="s">
        <v>982</v>
      </c>
      <c r="AI28" t="s">
        <v>2</v>
      </c>
      <c r="AJ28" t="s">
        <v>983</v>
      </c>
      <c r="AK28" t="s">
        <v>1658</v>
      </c>
    </row>
    <row r="29" spans="1:37" hidden="1" x14ac:dyDescent="0.3">
      <c r="A29" t="s">
        <v>563</v>
      </c>
      <c r="B29" s="56">
        <v>45780.847293364197</v>
      </c>
      <c r="C29" t="s">
        <v>562</v>
      </c>
      <c r="D29" t="s">
        <v>564</v>
      </c>
      <c r="E29" s="7">
        <v>36716</v>
      </c>
      <c r="F29" t="s">
        <v>565</v>
      </c>
      <c r="G29" t="s">
        <v>112</v>
      </c>
      <c r="H29" t="s">
        <v>102</v>
      </c>
      <c r="I29" t="s">
        <v>675</v>
      </c>
      <c r="J29" t="s">
        <v>4</v>
      </c>
      <c r="K29" t="s">
        <v>123</v>
      </c>
      <c r="L29" t="s">
        <v>121</v>
      </c>
      <c r="M29" t="s">
        <v>727</v>
      </c>
      <c r="N29" t="s">
        <v>835</v>
      </c>
      <c r="O29" t="s">
        <v>118</v>
      </c>
      <c r="P29" t="s">
        <v>119</v>
      </c>
      <c r="Q29" t="s">
        <v>676</v>
      </c>
      <c r="R29" t="s">
        <v>122</v>
      </c>
      <c r="S29" t="s">
        <v>106</v>
      </c>
      <c r="T29" t="s">
        <v>730</v>
      </c>
      <c r="U29" t="s">
        <v>731</v>
      </c>
      <c r="V29" t="s">
        <v>731</v>
      </c>
      <c r="W29" t="s">
        <v>984</v>
      </c>
      <c r="AB29" t="s">
        <v>733</v>
      </c>
      <c r="AC29" t="s">
        <v>985</v>
      </c>
      <c r="AD29" t="s">
        <v>789</v>
      </c>
      <c r="AE29" t="s">
        <v>986</v>
      </c>
      <c r="AF29" t="s">
        <v>752</v>
      </c>
      <c r="AG29" t="s">
        <v>731</v>
      </c>
      <c r="AH29" t="s">
        <v>987</v>
      </c>
      <c r="AI29" t="s">
        <v>1</v>
      </c>
      <c r="AJ29" t="s">
        <v>988</v>
      </c>
      <c r="AK29" t="s">
        <v>1655</v>
      </c>
    </row>
    <row r="30" spans="1:37" hidden="1" x14ac:dyDescent="0.3">
      <c r="A30" t="s">
        <v>3242</v>
      </c>
      <c r="B30" s="56">
        <v>45780.902482060184</v>
      </c>
      <c r="C30" t="s">
        <v>990</v>
      </c>
      <c r="D30" t="s">
        <v>991</v>
      </c>
      <c r="E30" s="7">
        <v>38201</v>
      </c>
      <c r="F30" t="s">
        <v>992</v>
      </c>
      <c r="G30" t="s">
        <v>771</v>
      </c>
      <c r="H30" t="s">
        <v>102</v>
      </c>
      <c r="I30" t="s">
        <v>993</v>
      </c>
      <c r="J30" t="s">
        <v>4</v>
      </c>
      <c r="K30" t="s">
        <v>123</v>
      </c>
      <c r="L30" t="s">
        <v>115</v>
      </c>
      <c r="M30" t="s">
        <v>727</v>
      </c>
      <c r="N30" t="s">
        <v>994</v>
      </c>
      <c r="O30" t="s">
        <v>118</v>
      </c>
      <c r="P30" t="s">
        <v>729</v>
      </c>
      <c r="Q30" t="s">
        <v>106</v>
      </c>
      <c r="R30" t="s">
        <v>106</v>
      </c>
      <c r="S30" t="s">
        <v>106</v>
      </c>
      <c r="T30" t="s">
        <v>730</v>
      </c>
      <c r="U30" t="s">
        <v>731</v>
      </c>
      <c r="V30" t="s">
        <v>731</v>
      </c>
      <c r="W30" t="s">
        <v>995</v>
      </c>
      <c r="AB30" t="s">
        <v>733</v>
      </c>
      <c r="AC30" t="s">
        <v>763</v>
      </c>
      <c r="AD30" t="s">
        <v>880</v>
      </c>
      <c r="AE30" t="s">
        <v>994</v>
      </c>
      <c r="AF30" t="s">
        <v>752</v>
      </c>
      <c r="AG30" t="s">
        <v>731</v>
      </c>
      <c r="AH30" t="s">
        <v>996</v>
      </c>
      <c r="AI30" t="s">
        <v>2</v>
      </c>
      <c r="AJ30" t="s">
        <v>997</v>
      </c>
      <c r="AK30" t="s">
        <v>1662</v>
      </c>
    </row>
    <row r="31" spans="1:37" hidden="1" x14ac:dyDescent="0.3">
      <c r="A31" t="s">
        <v>1555</v>
      </c>
      <c r="B31" s="56">
        <v>45781.367854089505</v>
      </c>
      <c r="C31" t="s">
        <v>998</v>
      </c>
      <c r="D31" t="s">
        <v>999</v>
      </c>
      <c r="E31" s="7">
        <v>37243</v>
      </c>
      <c r="F31" t="s">
        <v>1000</v>
      </c>
      <c r="G31" t="s">
        <v>1001</v>
      </c>
      <c r="H31" t="s">
        <v>102</v>
      </c>
      <c r="I31" t="s">
        <v>1002</v>
      </c>
      <c r="J31" t="s">
        <v>4</v>
      </c>
      <c r="K31" t="s">
        <v>1003</v>
      </c>
      <c r="L31" t="s">
        <v>122</v>
      </c>
      <c r="M31" t="s">
        <v>889</v>
      </c>
      <c r="N31" t="s">
        <v>835</v>
      </c>
      <c r="O31" t="s">
        <v>1004</v>
      </c>
      <c r="P31" t="s">
        <v>729</v>
      </c>
      <c r="Q31" t="s">
        <v>106</v>
      </c>
      <c r="R31" t="s">
        <v>106</v>
      </c>
      <c r="S31" t="s">
        <v>106</v>
      </c>
      <c r="T31" t="s">
        <v>713</v>
      </c>
      <c r="U31" t="s">
        <v>1005</v>
      </c>
      <c r="V31" t="s">
        <v>731</v>
      </c>
      <c r="W31" t="s">
        <v>1006</v>
      </c>
      <c r="AB31" t="s">
        <v>1</v>
      </c>
      <c r="AC31" t="s">
        <v>1007</v>
      </c>
      <c r="AD31" t="s">
        <v>1008</v>
      </c>
      <c r="AE31" t="s">
        <v>835</v>
      </c>
      <c r="AF31" t="s">
        <v>752</v>
      </c>
      <c r="AG31" t="s">
        <v>1009</v>
      </c>
      <c r="AH31" t="s">
        <v>1010</v>
      </c>
      <c r="AI31" t="s">
        <v>2</v>
      </c>
      <c r="AJ31" t="s">
        <v>1011</v>
      </c>
      <c r="AK31" t="s">
        <v>1656</v>
      </c>
    </row>
    <row r="32" spans="1:37" hidden="1" x14ac:dyDescent="0.3">
      <c r="A32" t="s">
        <v>1556</v>
      </c>
      <c r="B32" s="56">
        <v>45781.488532600306</v>
      </c>
      <c r="C32" t="s">
        <v>1012</v>
      </c>
      <c r="D32" t="s">
        <v>1013</v>
      </c>
      <c r="E32" s="7">
        <v>37016</v>
      </c>
      <c r="F32" t="s">
        <v>1014</v>
      </c>
      <c r="G32" t="s">
        <v>1039</v>
      </c>
      <c r="H32" t="s">
        <v>102</v>
      </c>
      <c r="I32" t="s">
        <v>1015</v>
      </c>
      <c r="J32" t="s">
        <v>4</v>
      </c>
      <c r="K32" t="s">
        <v>1003</v>
      </c>
      <c r="L32" t="s">
        <v>117</v>
      </c>
      <c r="M32" t="s">
        <v>1016</v>
      </c>
      <c r="N32" t="s">
        <v>1017</v>
      </c>
      <c r="O32" t="s">
        <v>1004</v>
      </c>
      <c r="P32" t="s">
        <v>729</v>
      </c>
      <c r="Q32" t="s">
        <v>106</v>
      </c>
      <c r="R32" t="s">
        <v>106</v>
      </c>
      <c r="S32" t="s">
        <v>106</v>
      </c>
      <c r="T32" t="s">
        <v>713</v>
      </c>
      <c r="U32" t="s">
        <v>1018</v>
      </c>
      <c r="V32" t="s">
        <v>731</v>
      </c>
      <c r="W32" t="s">
        <v>1019</v>
      </c>
      <c r="AB32" t="s">
        <v>1</v>
      </c>
      <c r="AC32" t="s">
        <v>763</v>
      </c>
      <c r="AD32" t="s">
        <v>764</v>
      </c>
      <c r="AE32" t="s">
        <v>835</v>
      </c>
      <c r="AF32" t="s">
        <v>752</v>
      </c>
      <c r="AG32" t="s">
        <v>731</v>
      </c>
      <c r="AH32" t="s">
        <v>1020</v>
      </c>
      <c r="AI32" t="s">
        <v>2</v>
      </c>
      <c r="AJ32" t="s">
        <v>1021</v>
      </c>
      <c r="AK32" t="s">
        <v>1655</v>
      </c>
    </row>
    <row r="33" spans="1:37" hidden="1" x14ac:dyDescent="0.3">
      <c r="A33" t="s">
        <v>1022</v>
      </c>
      <c r="B33" s="56">
        <v>45781.512864467593</v>
      </c>
      <c r="C33" t="s">
        <v>1023</v>
      </c>
      <c r="D33" t="s">
        <v>1024</v>
      </c>
      <c r="E33" s="7">
        <v>34725</v>
      </c>
      <c r="F33" t="s">
        <v>1025</v>
      </c>
      <c r="G33" t="s">
        <v>112</v>
      </c>
      <c r="H33" t="s">
        <v>102</v>
      </c>
      <c r="I33" t="s">
        <v>1026</v>
      </c>
      <c r="J33" t="s">
        <v>4</v>
      </c>
      <c r="K33" t="s">
        <v>113</v>
      </c>
      <c r="L33" t="s">
        <v>104</v>
      </c>
      <c r="M33" t="s">
        <v>760</v>
      </c>
      <c r="N33" t="s">
        <v>735</v>
      </c>
      <c r="O33" t="s">
        <v>1890</v>
      </c>
      <c r="P33" t="s">
        <v>729</v>
      </c>
      <c r="Q33" t="s">
        <v>106</v>
      </c>
      <c r="R33" t="s">
        <v>106</v>
      </c>
      <c r="S33" t="s">
        <v>106</v>
      </c>
      <c r="T33" t="s">
        <v>713</v>
      </c>
      <c r="U33" t="s">
        <v>731</v>
      </c>
      <c r="V33" t="s">
        <v>731</v>
      </c>
      <c r="W33" t="s">
        <v>1027</v>
      </c>
      <c r="X33" t="s">
        <v>1028</v>
      </c>
      <c r="Y33" t="s">
        <v>1029</v>
      </c>
      <c r="Z33" t="s">
        <v>1030</v>
      </c>
      <c r="AB33" t="s">
        <v>1</v>
      </c>
      <c r="AC33" t="s">
        <v>1031</v>
      </c>
      <c r="AD33" t="s">
        <v>1032</v>
      </c>
      <c r="AE33" t="s">
        <v>764</v>
      </c>
      <c r="AF33" t="s">
        <v>752</v>
      </c>
      <c r="AG33" t="s">
        <v>753</v>
      </c>
      <c r="AH33" t="s">
        <v>1033</v>
      </c>
      <c r="AI33" t="s">
        <v>2</v>
      </c>
      <c r="AJ33" t="s">
        <v>1034</v>
      </c>
      <c r="AK33" t="s">
        <v>1666</v>
      </c>
    </row>
    <row r="34" spans="1:37" hidden="1" x14ac:dyDescent="0.3">
      <c r="A34" t="s">
        <v>1035</v>
      </c>
      <c r="B34" s="56">
        <v>45781.574364776236</v>
      </c>
      <c r="C34" t="s">
        <v>1036</v>
      </c>
      <c r="D34" t="s">
        <v>1037</v>
      </c>
      <c r="E34" s="7">
        <v>38003</v>
      </c>
      <c r="F34" t="s">
        <v>1038</v>
      </c>
      <c r="G34" t="s">
        <v>1039</v>
      </c>
      <c r="H34" t="s">
        <v>102</v>
      </c>
      <c r="I34" t="s">
        <v>1040</v>
      </c>
      <c r="J34" t="s">
        <v>4</v>
      </c>
      <c r="K34" t="s">
        <v>1003</v>
      </c>
      <c r="L34" t="s">
        <v>122</v>
      </c>
      <c r="M34" t="s">
        <v>760</v>
      </c>
      <c r="N34" t="s">
        <v>735</v>
      </c>
      <c r="O34" t="s">
        <v>1004</v>
      </c>
      <c r="P34" t="s">
        <v>729</v>
      </c>
      <c r="Q34" t="s">
        <v>106</v>
      </c>
      <c r="R34" t="s">
        <v>106</v>
      </c>
      <c r="S34" t="s">
        <v>106</v>
      </c>
      <c r="T34" t="s">
        <v>713</v>
      </c>
      <c r="U34" t="s">
        <v>731</v>
      </c>
      <c r="V34" t="s">
        <v>731</v>
      </c>
      <c r="W34" t="s">
        <v>1041</v>
      </c>
      <c r="X34" t="s">
        <v>985</v>
      </c>
      <c r="Y34" t="s">
        <v>1042</v>
      </c>
      <c r="Z34" t="s">
        <v>985</v>
      </c>
      <c r="AB34" t="s">
        <v>1</v>
      </c>
      <c r="AC34" t="s">
        <v>763</v>
      </c>
      <c r="AD34" t="s">
        <v>915</v>
      </c>
      <c r="AE34" t="s">
        <v>1042</v>
      </c>
      <c r="AF34" t="s">
        <v>752</v>
      </c>
      <c r="AG34" t="s">
        <v>731</v>
      </c>
      <c r="AH34" t="s">
        <v>1043</v>
      </c>
      <c r="AI34" t="s">
        <v>2</v>
      </c>
      <c r="AJ34" t="s">
        <v>1044</v>
      </c>
      <c r="AK34" t="s">
        <v>1665</v>
      </c>
    </row>
    <row r="35" spans="1:37" hidden="1" x14ac:dyDescent="0.3">
      <c r="A35" t="s">
        <v>1045</v>
      </c>
      <c r="B35" s="56">
        <v>45781.582421489198</v>
      </c>
      <c r="C35" t="s">
        <v>1046</v>
      </c>
      <c r="D35" t="s">
        <v>1047</v>
      </c>
      <c r="E35" s="7">
        <v>38520</v>
      </c>
      <c r="F35" t="s">
        <v>1048</v>
      </c>
      <c r="G35" t="s">
        <v>124</v>
      </c>
      <c r="H35" t="s">
        <v>102</v>
      </c>
      <c r="I35" t="s">
        <v>1049</v>
      </c>
      <c r="J35" t="s">
        <v>4</v>
      </c>
      <c r="K35" t="s">
        <v>1003</v>
      </c>
      <c r="L35" t="s">
        <v>122</v>
      </c>
      <c r="M35" t="s">
        <v>727</v>
      </c>
      <c r="N35" t="s">
        <v>736</v>
      </c>
      <c r="O35" t="s">
        <v>1004</v>
      </c>
      <c r="P35" t="s">
        <v>729</v>
      </c>
      <c r="Q35" t="s">
        <v>106</v>
      </c>
      <c r="R35" t="s">
        <v>106</v>
      </c>
      <c r="S35" t="s">
        <v>106</v>
      </c>
      <c r="T35" t="s">
        <v>713</v>
      </c>
      <c r="U35" t="s">
        <v>731</v>
      </c>
      <c r="V35" t="s">
        <v>731</v>
      </c>
      <c r="W35" t="s">
        <v>1050</v>
      </c>
      <c r="AB35" t="s">
        <v>733</v>
      </c>
      <c r="AC35" t="s">
        <v>763</v>
      </c>
      <c r="AD35" t="s">
        <v>835</v>
      </c>
      <c r="AE35" t="s">
        <v>736</v>
      </c>
      <c r="AF35" t="s">
        <v>752</v>
      </c>
      <c r="AG35" t="s">
        <v>731</v>
      </c>
      <c r="AH35" t="s">
        <v>1051</v>
      </c>
      <c r="AI35" t="s">
        <v>2</v>
      </c>
      <c r="AJ35" t="s">
        <v>1052</v>
      </c>
      <c r="AK35" t="s">
        <v>1662</v>
      </c>
    </row>
    <row r="36" spans="1:37" hidden="1" x14ac:dyDescent="0.3">
      <c r="A36" t="s">
        <v>1053</v>
      </c>
      <c r="B36" s="56">
        <v>45781.588063040123</v>
      </c>
      <c r="C36" t="s">
        <v>1054</v>
      </c>
      <c r="D36" t="s">
        <v>1055</v>
      </c>
      <c r="E36" s="7">
        <v>31693</v>
      </c>
      <c r="F36" t="s">
        <v>1056</v>
      </c>
      <c r="G36" t="s">
        <v>118</v>
      </c>
      <c r="H36" t="s">
        <v>102</v>
      </c>
      <c r="I36" t="s">
        <v>1057</v>
      </c>
      <c r="J36" t="s">
        <v>4</v>
      </c>
      <c r="K36" t="s">
        <v>135</v>
      </c>
      <c r="L36" t="s">
        <v>110</v>
      </c>
      <c r="M36" t="s">
        <v>1058</v>
      </c>
      <c r="N36" t="s">
        <v>986</v>
      </c>
      <c r="O36" t="s">
        <v>118</v>
      </c>
      <c r="P36" t="s">
        <v>729</v>
      </c>
      <c r="Q36" t="s">
        <v>106</v>
      </c>
      <c r="R36" t="s">
        <v>106</v>
      </c>
      <c r="S36" t="s">
        <v>106</v>
      </c>
      <c r="T36" t="s">
        <v>120</v>
      </c>
      <c r="U36" t="s">
        <v>1059</v>
      </c>
      <c r="V36" t="s">
        <v>731</v>
      </c>
      <c r="W36" t="s">
        <v>1060</v>
      </c>
      <c r="AB36" t="s">
        <v>733</v>
      </c>
      <c r="AC36" t="s">
        <v>1061</v>
      </c>
      <c r="AD36" t="s">
        <v>1008</v>
      </c>
      <c r="AE36" t="s">
        <v>986</v>
      </c>
      <c r="AF36" t="s">
        <v>1062</v>
      </c>
      <c r="AG36" t="s">
        <v>731</v>
      </c>
      <c r="AH36" t="s">
        <v>1063</v>
      </c>
      <c r="AI36" t="s">
        <v>2</v>
      </c>
      <c r="AJ36" t="s">
        <v>1064</v>
      </c>
      <c r="AK36" t="s">
        <v>1667</v>
      </c>
    </row>
    <row r="37" spans="1:37" hidden="1" x14ac:dyDescent="0.3">
      <c r="A37" t="s">
        <v>1065</v>
      </c>
      <c r="B37" s="56">
        <v>45781.591822723763</v>
      </c>
      <c r="C37" t="s">
        <v>1066</v>
      </c>
      <c r="D37" t="s">
        <v>1067</v>
      </c>
      <c r="E37" s="7">
        <v>38073</v>
      </c>
      <c r="F37" t="s">
        <v>1068</v>
      </c>
      <c r="G37" t="s">
        <v>1039</v>
      </c>
      <c r="H37" t="s">
        <v>102</v>
      </c>
      <c r="I37" t="s">
        <v>1563</v>
      </c>
      <c r="J37" t="s">
        <v>4</v>
      </c>
      <c r="K37" t="s">
        <v>1003</v>
      </c>
      <c r="L37" t="s">
        <v>117</v>
      </c>
      <c r="M37" t="s">
        <v>760</v>
      </c>
      <c r="N37" t="s">
        <v>736</v>
      </c>
      <c r="O37" t="s">
        <v>1004</v>
      </c>
      <c r="P37" t="s">
        <v>729</v>
      </c>
      <c r="Q37" t="s">
        <v>106</v>
      </c>
      <c r="R37" t="s">
        <v>106</v>
      </c>
      <c r="S37" t="s">
        <v>106</v>
      </c>
      <c r="T37" t="s">
        <v>713</v>
      </c>
      <c r="U37" t="s">
        <v>731</v>
      </c>
      <c r="V37" t="s">
        <v>731</v>
      </c>
      <c r="W37" t="s">
        <v>1069</v>
      </c>
      <c r="AB37" t="s">
        <v>1</v>
      </c>
      <c r="AC37" t="s">
        <v>763</v>
      </c>
      <c r="AD37" t="s">
        <v>1008</v>
      </c>
      <c r="AE37" t="s">
        <v>735</v>
      </c>
      <c r="AF37" t="s">
        <v>752</v>
      </c>
      <c r="AG37" t="s">
        <v>731</v>
      </c>
      <c r="AH37" t="s">
        <v>1070</v>
      </c>
      <c r="AI37" t="s">
        <v>2</v>
      </c>
      <c r="AJ37" t="s">
        <v>1071</v>
      </c>
      <c r="AK37" t="s">
        <v>1665</v>
      </c>
    </row>
    <row r="38" spans="1:37" hidden="1" x14ac:dyDescent="0.3">
      <c r="A38" t="s">
        <v>1072</v>
      </c>
      <c r="B38" s="56">
        <v>45781.599022453702</v>
      </c>
      <c r="C38" t="s">
        <v>1073</v>
      </c>
      <c r="D38" t="s">
        <v>1074</v>
      </c>
      <c r="E38" s="7">
        <v>34852</v>
      </c>
      <c r="F38" t="s">
        <v>1075</v>
      </c>
      <c r="G38" t="s">
        <v>1553</v>
      </c>
      <c r="H38" t="s">
        <v>102</v>
      </c>
      <c r="I38" t="s">
        <v>1076</v>
      </c>
      <c r="J38" t="s">
        <v>4</v>
      </c>
      <c r="K38" t="s">
        <v>226</v>
      </c>
      <c r="L38" t="s">
        <v>104</v>
      </c>
      <c r="M38" t="s">
        <v>760</v>
      </c>
      <c r="N38" t="s">
        <v>736</v>
      </c>
      <c r="O38" t="s">
        <v>111</v>
      </c>
      <c r="P38" t="s">
        <v>729</v>
      </c>
      <c r="Q38" t="s">
        <v>106</v>
      </c>
      <c r="R38" t="s">
        <v>106</v>
      </c>
      <c r="S38" t="s">
        <v>106</v>
      </c>
      <c r="T38" t="s">
        <v>713</v>
      </c>
      <c r="U38" t="s">
        <v>1077</v>
      </c>
      <c r="V38" t="s">
        <v>846</v>
      </c>
      <c r="W38" t="s">
        <v>1078</v>
      </c>
      <c r="AB38" t="s">
        <v>1</v>
      </c>
      <c r="AC38" t="s">
        <v>1079</v>
      </c>
      <c r="AD38" t="s">
        <v>764</v>
      </c>
      <c r="AE38" t="s">
        <v>789</v>
      </c>
      <c r="AF38" t="s">
        <v>752</v>
      </c>
      <c r="AG38" t="s">
        <v>753</v>
      </c>
      <c r="AH38" t="s">
        <v>1080</v>
      </c>
      <c r="AI38" t="s">
        <v>2</v>
      </c>
      <c r="AJ38" t="s">
        <v>1081</v>
      </c>
      <c r="AK38" t="s">
        <v>1666</v>
      </c>
    </row>
    <row r="39" spans="1:37" hidden="1" x14ac:dyDescent="0.3">
      <c r="A39" t="s">
        <v>1082</v>
      </c>
      <c r="B39" s="56">
        <v>45781.615906404324</v>
      </c>
      <c r="C39" t="s">
        <v>1083</v>
      </c>
      <c r="D39" t="s">
        <v>1084</v>
      </c>
      <c r="E39" s="7">
        <v>33191</v>
      </c>
      <c r="F39" t="s">
        <v>1085</v>
      </c>
      <c r="G39" t="s">
        <v>1086</v>
      </c>
      <c r="H39" t="s">
        <v>102</v>
      </c>
      <c r="I39" t="s">
        <v>1087</v>
      </c>
      <c r="J39" t="s">
        <v>4</v>
      </c>
      <c r="K39" t="s">
        <v>226</v>
      </c>
      <c r="L39" t="s">
        <v>115</v>
      </c>
      <c r="M39" t="s">
        <v>760</v>
      </c>
      <c r="N39" t="s">
        <v>1088</v>
      </c>
      <c r="O39" t="s">
        <v>111</v>
      </c>
      <c r="P39" t="s">
        <v>729</v>
      </c>
      <c r="Q39" t="s">
        <v>106</v>
      </c>
      <c r="R39" t="s">
        <v>106</v>
      </c>
      <c r="S39" t="s">
        <v>106</v>
      </c>
      <c r="T39" t="s">
        <v>713</v>
      </c>
      <c r="U39" t="s">
        <v>731</v>
      </c>
      <c r="V39" t="s">
        <v>731</v>
      </c>
      <c r="W39" t="s">
        <v>1089</v>
      </c>
      <c r="X39" t="s">
        <v>1090</v>
      </c>
      <c r="Y39" t="s">
        <v>1091</v>
      </c>
      <c r="Z39" t="s">
        <v>1092</v>
      </c>
      <c r="AB39" t="s">
        <v>733</v>
      </c>
      <c r="AC39" t="s">
        <v>1093</v>
      </c>
      <c r="AD39" t="s">
        <v>848</v>
      </c>
      <c r="AE39" t="s">
        <v>1094</v>
      </c>
      <c r="AF39" t="s">
        <v>752</v>
      </c>
      <c r="AG39" t="s">
        <v>731</v>
      </c>
      <c r="AH39" t="s">
        <v>1095</v>
      </c>
      <c r="AI39" t="s">
        <v>2</v>
      </c>
      <c r="AJ39" t="s">
        <v>1096</v>
      </c>
      <c r="AK39" t="s">
        <v>1664</v>
      </c>
    </row>
    <row r="40" spans="1:37" hidden="1" x14ac:dyDescent="0.3">
      <c r="A40" t="s">
        <v>1097</v>
      </c>
      <c r="B40" s="56">
        <v>45781.646322608023</v>
      </c>
      <c r="C40" t="s">
        <v>1098</v>
      </c>
      <c r="D40" t="s">
        <v>1099</v>
      </c>
      <c r="E40" s="7">
        <v>34413</v>
      </c>
      <c r="F40" t="s">
        <v>1100</v>
      </c>
      <c r="G40" t="s">
        <v>1039</v>
      </c>
      <c r="H40" t="s">
        <v>102</v>
      </c>
      <c r="I40" t="s">
        <v>1101</v>
      </c>
      <c r="J40" t="s">
        <v>4</v>
      </c>
      <c r="K40" t="s">
        <v>1003</v>
      </c>
      <c r="L40" t="s">
        <v>104</v>
      </c>
      <c r="M40" t="s">
        <v>773</v>
      </c>
      <c r="N40" t="s">
        <v>835</v>
      </c>
      <c r="O40" t="s">
        <v>1004</v>
      </c>
      <c r="P40" t="s">
        <v>119</v>
      </c>
      <c r="Q40" t="s">
        <v>1102</v>
      </c>
      <c r="R40" t="s">
        <v>110</v>
      </c>
      <c r="S40" t="s">
        <v>106</v>
      </c>
      <c r="T40" t="s">
        <v>713</v>
      </c>
      <c r="U40" t="s">
        <v>1103</v>
      </c>
      <c r="V40" t="s">
        <v>731</v>
      </c>
      <c r="W40" t="s">
        <v>1104</v>
      </c>
      <c r="AB40" t="s">
        <v>1</v>
      </c>
      <c r="AC40" t="s">
        <v>1105</v>
      </c>
      <c r="AD40" t="s">
        <v>735</v>
      </c>
      <c r="AE40" t="s">
        <v>1106</v>
      </c>
      <c r="AF40" t="s">
        <v>752</v>
      </c>
      <c r="AG40" t="s">
        <v>731</v>
      </c>
      <c r="AH40" t="s">
        <v>1107</v>
      </c>
      <c r="AI40" t="s">
        <v>2</v>
      </c>
      <c r="AJ40" t="s">
        <v>1108</v>
      </c>
      <c r="AK40" t="s">
        <v>1654</v>
      </c>
    </row>
    <row r="41" spans="1:37" hidden="1" x14ac:dyDescent="0.3">
      <c r="A41" t="s">
        <v>1109</v>
      </c>
      <c r="B41" s="56">
        <v>45781.669059336418</v>
      </c>
      <c r="C41" t="s">
        <v>1110</v>
      </c>
      <c r="D41" t="s">
        <v>1111</v>
      </c>
      <c r="E41" s="7">
        <v>38359</v>
      </c>
      <c r="F41" t="s">
        <v>1112</v>
      </c>
      <c r="G41" t="s">
        <v>118</v>
      </c>
      <c r="H41" t="s">
        <v>102</v>
      </c>
      <c r="I41" t="s">
        <v>1113</v>
      </c>
      <c r="J41" t="s">
        <v>4</v>
      </c>
      <c r="K41" t="s">
        <v>123</v>
      </c>
      <c r="L41" t="s">
        <v>117</v>
      </c>
      <c r="M41" t="s">
        <v>727</v>
      </c>
      <c r="N41" t="s">
        <v>1114</v>
      </c>
      <c r="O41" t="s">
        <v>118</v>
      </c>
      <c r="P41" t="s">
        <v>729</v>
      </c>
      <c r="Q41" t="s">
        <v>106</v>
      </c>
      <c r="R41" t="s">
        <v>106</v>
      </c>
      <c r="S41" t="s">
        <v>106</v>
      </c>
      <c r="T41" t="s">
        <v>730</v>
      </c>
      <c r="U41" t="s">
        <v>731</v>
      </c>
      <c r="V41" t="s">
        <v>731</v>
      </c>
      <c r="W41" t="s">
        <v>1115</v>
      </c>
      <c r="AB41" t="s">
        <v>733</v>
      </c>
      <c r="AC41" t="s">
        <v>763</v>
      </c>
      <c r="AD41" t="s">
        <v>1116</v>
      </c>
      <c r="AE41" t="s">
        <v>1117</v>
      </c>
      <c r="AF41" t="s">
        <v>752</v>
      </c>
      <c r="AG41" t="s">
        <v>731</v>
      </c>
      <c r="AH41" t="s">
        <v>1118</v>
      </c>
      <c r="AI41" t="s">
        <v>2</v>
      </c>
      <c r="AJ41" t="s">
        <v>1119</v>
      </c>
      <c r="AK41" t="s">
        <v>1662</v>
      </c>
    </row>
    <row r="42" spans="1:37" hidden="1" x14ac:dyDescent="0.3">
      <c r="A42" t="s">
        <v>1120</v>
      </c>
      <c r="B42" s="56">
        <v>45781.676980131175</v>
      </c>
      <c r="C42" t="s">
        <v>1121</v>
      </c>
      <c r="D42" t="s">
        <v>1122</v>
      </c>
      <c r="E42" s="7">
        <v>37701</v>
      </c>
      <c r="F42" t="s">
        <v>1123</v>
      </c>
      <c r="G42" t="s">
        <v>771</v>
      </c>
      <c r="H42" t="s">
        <v>102</v>
      </c>
      <c r="I42" t="s">
        <v>1124</v>
      </c>
      <c r="J42" t="s">
        <v>4</v>
      </c>
      <c r="K42" t="s">
        <v>1125</v>
      </c>
      <c r="L42" t="s">
        <v>117</v>
      </c>
      <c r="M42" t="s">
        <v>727</v>
      </c>
      <c r="N42" t="s">
        <v>835</v>
      </c>
      <c r="O42" t="s">
        <v>118</v>
      </c>
      <c r="P42" t="s">
        <v>729</v>
      </c>
      <c r="Q42" t="s">
        <v>106</v>
      </c>
      <c r="R42" t="s">
        <v>106</v>
      </c>
      <c r="S42" t="s">
        <v>106</v>
      </c>
      <c r="T42" t="s">
        <v>120</v>
      </c>
      <c r="U42" t="s">
        <v>731</v>
      </c>
      <c r="V42" t="s">
        <v>731</v>
      </c>
      <c r="W42" t="s">
        <v>1126</v>
      </c>
      <c r="X42" t="s">
        <v>1127</v>
      </c>
      <c r="Y42" t="s">
        <v>1128</v>
      </c>
      <c r="Z42" t="s">
        <v>1129</v>
      </c>
      <c r="AB42" t="s">
        <v>733</v>
      </c>
      <c r="AC42" t="s">
        <v>763</v>
      </c>
      <c r="AD42" t="s">
        <v>789</v>
      </c>
      <c r="AE42" t="s">
        <v>835</v>
      </c>
      <c r="AF42" t="s">
        <v>752</v>
      </c>
      <c r="AG42" t="s">
        <v>731</v>
      </c>
      <c r="AH42" t="s">
        <v>1130</v>
      </c>
      <c r="AI42" t="s">
        <v>2</v>
      </c>
      <c r="AJ42" t="s">
        <v>1131</v>
      </c>
      <c r="AK42" t="s">
        <v>1659</v>
      </c>
    </row>
    <row r="43" spans="1:37" hidden="1" x14ac:dyDescent="0.3">
      <c r="A43" t="s">
        <v>1132</v>
      </c>
      <c r="B43" s="56">
        <v>45781.768253858027</v>
      </c>
      <c r="C43" t="s">
        <v>1133</v>
      </c>
      <c r="D43" t="s">
        <v>1134</v>
      </c>
      <c r="E43" s="7">
        <v>36199</v>
      </c>
      <c r="F43" t="s">
        <v>1135</v>
      </c>
      <c r="G43" t="s">
        <v>466</v>
      </c>
      <c r="H43" t="s">
        <v>102</v>
      </c>
      <c r="I43" t="s">
        <v>1136</v>
      </c>
      <c r="J43" t="s">
        <v>4</v>
      </c>
      <c r="K43" t="s">
        <v>123</v>
      </c>
      <c r="L43" t="s">
        <v>104</v>
      </c>
      <c r="M43" t="s">
        <v>1137</v>
      </c>
      <c r="N43" t="s">
        <v>1114</v>
      </c>
      <c r="O43" t="s">
        <v>118</v>
      </c>
      <c r="P43" t="s">
        <v>729</v>
      </c>
      <c r="Q43" t="s">
        <v>106</v>
      </c>
      <c r="R43" t="s">
        <v>106</v>
      </c>
      <c r="S43" t="s">
        <v>106</v>
      </c>
      <c r="T43" t="s">
        <v>730</v>
      </c>
      <c r="U43" t="s">
        <v>731</v>
      </c>
      <c r="V43" t="s">
        <v>731</v>
      </c>
      <c r="W43" t="s">
        <v>1138</v>
      </c>
      <c r="AB43" t="s">
        <v>733</v>
      </c>
      <c r="AC43" t="s">
        <v>749</v>
      </c>
      <c r="AD43" t="s">
        <v>915</v>
      </c>
      <c r="AE43" t="s">
        <v>1116</v>
      </c>
      <c r="AF43" t="s">
        <v>752</v>
      </c>
      <c r="AG43" t="s">
        <v>731</v>
      </c>
      <c r="AH43" t="s">
        <v>1139</v>
      </c>
      <c r="AI43" t="s">
        <v>2</v>
      </c>
      <c r="AJ43" t="s">
        <v>1140</v>
      </c>
      <c r="AK43" t="s">
        <v>1669</v>
      </c>
    </row>
    <row r="44" spans="1:37" hidden="1" x14ac:dyDescent="0.3">
      <c r="A44" t="s">
        <v>1141</v>
      </c>
      <c r="B44" s="56">
        <v>45781.772679552472</v>
      </c>
      <c r="C44" t="s">
        <v>1142</v>
      </c>
      <c r="D44" t="s">
        <v>1143</v>
      </c>
      <c r="E44" s="7">
        <v>37501</v>
      </c>
      <c r="F44" t="s">
        <v>1144</v>
      </c>
      <c r="G44" t="s">
        <v>118</v>
      </c>
      <c r="H44" t="s">
        <v>102</v>
      </c>
      <c r="I44" t="s">
        <v>1145</v>
      </c>
      <c r="J44" t="s">
        <v>4</v>
      </c>
      <c r="K44" t="s">
        <v>1125</v>
      </c>
      <c r="L44" t="s">
        <v>117</v>
      </c>
      <c r="M44" t="s">
        <v>727</v>
      </c>
      <c r="N44" t="s">
        <v>835</v>
      </c>
      <c r="O44" t="s">
        <v>118</v>
      </c>
      <c r="P44" t="s">
        <v>729</v>
      </c>
      <c r="Q44" t="s">
        <v>106</v>
      </c>
      <c r="R44" t="s">
        <v>106</v>
      </c>
      <c r="S44" t="s">
        <v>106</v>
      </c>
      <c r="T44" t="s">
        <v>713</v>
      </c>
      <c r="U44" t="s">
        <v>731</v>
      </c>
      <c r="V44" t="s">
        <v>731</v>
      </c>
      <c r="W44" t="s">
        <v>1146</v>
      </c>
      <c r="AB44" t="s">
        <v>733</v>
      </c>
      <c r="AC44" t="s">
        <v>1147</v>
      </c>
      <c r="AD44" t="s">
        <v>1148</v>
      </c>
      <c r="AE44" t="s">
        <v>835</v>
      </c>
      <c r="AF44" t="s">
        <v>752</v>
      </c>
      <c r="AG44" t="s">
        <v>753</v>
      </c>
      <c r="AH44" t="s">
        <v>1149</v>
      </c>
      <c r="AI44" t="s">
        <v>2</v>
      </c>
      <c r="AJ44" t="s">
        <v>1150</v>
      </c>
      <c r="AK44" t="s">
        <v>1659</v>
      </c>
    </row>
    <row r="45" spans="1:37" hidden="1" x14ac:dyDescent="0.3">
      <c r="A45" t="s">
        <v>1151</v>
      </c>
      <c r="B45" s="56">
        <v>45781.776185802468</v>
      </c>
      <c r="C45" t="s">
        <v>1152</v>
      </c>
      <c r="D45" t="s">
        <v>1153</v>
      </c>
      <c r="E45" s="7">
        <v>37408</v>
      </c>
      <c r="F45" t="s">
        <v>1154</v>
      </c>
      <c r="G45" t="s">
        <v>118</v>
      </c>
      <c r="H45" t="s">
        <v>102</v>
      </c>
      <c r="I45" t="s">
        <v>1155</v>
      </c>
      <c r="J45" t="s">
        <v>4</v>
      </c>
      <c r="K45" t="s">
        <v>123</v>
      </c>
      <c r="L45" t="s">
        <v>117</v>
      </c>
      <c r="M45" t="s">
        <v>727</v>
      </c>
      <c r="N45" t="s">
        <v>1114</v>
      </c>
      <c r="O45" t="s">
        <v>118</v>
      </c>
      <c r="P45" t="s">
        <v>729</v>
      </c>
      <c r="Q45" t="s">
        <v>106</v>
      </c>
      <c r="R45" t="s">
        <v>106</v>
      </c>
      <c r="S45" t="s">
        <v>106</v>
      </c>
      <c r="T45" t="s">
        <v>730</v>
      </c>
      <c r="U45" t="s">
        <v>1156</v>
      </c>
      <c r="V45" t="s">
        <v>1157</v>
      </c>
      <c r="W45" t="s">
        <v>1158</v>
      </c>
      <c r="AB45" t="s">
        <v>733</v>
      </c>
      <c r="AC45" t="s">
        <v>763</v>
      </c>
      <c r="AD45" t="s">
        <v>1159</v>
      </c>
      <c r="AE45" t="s">
        <v>1160</v>
      </c>
      <c r="AF45" t="s">
        <v>752</v>
      </c>
      <c r="AG45" t="s">
        <v>753</v>
      </c>
      <c r="AH45" t="s">
        <v>1161</v>
      </c>
      <c r="AI45" t="s">
        <v>2</v>
      </c>
      <c r="AJ45" t="s">
        <v>1162</v>
      </c>
      <c r="AK45" t="s">
        <v>1656</v>
      </c>
    </row>
    <row r="46" spans="1:37" hidden="1" x14ac:dyDescent="0.3">
      <c r="A46" t="s">
        <v>1163</v>
      </c>
      <c r="B46" s="56">
        <v>45781.789687962962</v>
      </c>
      <c r="C46" t="s">
        <v>1164</v>
      </c>
      <c r="D46" t="s">
        <v>1165</v>
      </c>
      <c r="E46" s="7">
        <v>37492</v>
      </c>
      <c r="F46" t="s">
        <v>1166</v>
      </c>
      <c r="G46" t="s">
        <v>466</v>
      </c>
      <c r="H46" t="s">
        <v>102</v>
      </c>
      <c r="I46" t="s">
        <v>1167</v>
      </c>
      <c r="J46" t="s">
        <v>4</v>
      </c>
      <c r="K46" t="s">
        <v>123</v>
      </c>
      <c r="L46" t="s">
        <v>122</v>
      </c>
      <c r="M46" t="s">
        <v>1168</v>
      </c>
      <c r="N46" t="s">
        <v>1169</v>
      </c>
      <c r="O46" t="s">
        <v>118</v>
      </c>
      <c r="P46" t="s">
        <v>729</v>
      </c>
      <c r="Q46" t="s">
        <v>106</v>
      </c>
      <c r="R46" t="s">
        <v>106</v>
      </c>
      <c r="S46" t="s">
        <v>106</v>
      </c>
      <c r="T46" t="s">
        <v>730</v>
      </c>
      <c r="U46" t="s">
        <v>1170</v>
      </c>
      <c r="V46" t="s">
        <v>731</v>
      </c>
      <c r="W46" t="s">
        <v>1171</v>
      </c>
      <c r="AB46" t="s">
        <v>1</v>
      </c>
      <c r="AC46" t="s">
        <v>1172</v>
      </c>
      <c r="AD46" t="s">
        <v>880</v>
      </c>
      <c r="AE46" t="s">
        <v>1173</v>
      </c>
      <c r="AF46" t="s">
        <v>752</v>
      </c>
      <c r="AG46" t="s">
        <v>731</v>
      </c>
      <c r="AH46" t="s">
        <v>1174</v>
      </c>
      <c r="AI46" t="s">
        <v>2</v>
      </c>
      <c r="AJ46" t="s">
        <v>1175</v>
      </c>
      <c r="AK46" t="s">
        <v>1659</v>
      </c>
    </row>
    <row r="47" spans="1:37" hidden="1" x14ac:dyDescent="0.3">
      <c r="A47" t="s">
        <v>1176</v>
      </c>
      <c r="B47" s="56">
        <v>45781.78982662037</v>
      </c>
      <c r="C47" t="s">
        <v>1177</v>
      </c>
      <c r="D47" t="s">
        <v>1178</v>
      </c>
      <c r="E47" s="7">
        <v>37530</v>
      </c>
      <c r="F47" t="s">
        <v>1179</v>
      </c>
      <c r="G47" t="s">
        <v>466</v>
      </c>
      <c r="H47" t="s">
        <v>102</v>
      </c>
      <c r="I47" t="s">
        <v>1180</v>
      </c>
      <c r="J47" t="s">
        <v>4</v>
      </c>
      <c r="K47" t="s">
        <v>123</v>
      </c>
      <c r="L47" t="s">
        <v>104</v>
      </c>
      <c r="M47" t="s">
        <v>727</v>
      </c>
      <c r="N47" t="s">
        <v>1114</v>
      </c>
      <c r="O47" t="s">
        <v>118</v>
      </c>
      <c r="P47" t="s">
        <v>729</v>
      </c>
      <c r="Q47" t="s">
        <v>106</v>
      </c>
      <c r="R47" t="s">
        <v>106</v>
      </c>
      <c r="S47" t="s">
        <v>106</v>
      </c>
      <c r="T47" t="s">
        <v>730</v>
      </c>
      <c r="U47" t="s">
        <v>731</v>
      </c>
      <c r="V47" t="s">
        <v>731</v>
      </c>
      <c r="W47" t="s">
        <v>1181</v>
      </c>
      <c r="AB47" t="s">
        <v>1</v>
      </c>
      <c r="AC47" t="s">
        <v>1182</v>
      </c>
      <c r="AD47" t="s">
        <v>1148</v>
      </c>
      <c r="AE47" t="s">
        <v>1183</v>
      </c>
      <c r="AF47" t="s">
        <v>752</v>
      </c>
      <c r="AG47" t="s">
        <v>731</v>
      </c>
      <c r="AH47" t="s">
        <v>1184</v>
      </c>
      <c r="AI47" t="s">
        <v>2</v>
      </c>
      <c r="AJ47" t="s">
        <v>1185</v>
      </c>
      <c r="AK47" t="s">
        <v>1659</v>
      </c>
    </row>
    <row r="48" spans="1:37" hidden="1" x14ac:dyDescent="0.3">
      <c r="A48" t="s">
        <v>1557</v>
      </c>
      <c r="B48" s="56">
        <v>45781.809711689813</v>
      </c>
      <c r="C48" t="s">
        <v>1186</v>
      </c>
      <c r="D48" t="s">
        <v>1187</v>
      </c>
      <c r="E48" s="7">
        <v>35638</v>
      </c>
      <c r="F48" t="s">
        <v>1188</v>
      </c>
      <c r="G48" t="s">
        <v>1039</v>
      </c>
      <c r="H48" t="s">
        <v>102</v>
      </c>
      <c r="I48" t="s">
        <v>1189</v>
      </c>
      <c r="J48" t="s">
        <v>4</v>
      </c>
      <c r="K48" t="s">
        <v>1003</v>
      </c>
      <c r="L48" t="s">
        <v>121</v>
      </c>
      <c r="M48" t="s">
        <v>760</v>
      </c>
      <c r="N48" t="s">
        <v>835</v>
      </c>
      <c r="O48" t="s">
        <v>1004</v>
      </c>
      <c r="P48" t="s">
        <v>729</v>
      </c>
      <c r="Q48" t="s">
        <v>106</v>
      </c>
      <c r="R48" t="s">
        <v>106</v>
      </c>
      <c r="S48" t="s">
        <v>106</v>
      </c>
      <c r="T48" t="s">
        <v>120</v>
      </c>
      <c r="U48" t="s">
        <v>731</v>
      </c>
      <c r="V48" t="s">
        <v>731</v>
      </c>
      <c r="W48" t="s">
        <v>1190</v>
      </c>
      <c r="AB48" t="s">
        <v>1</v>
      </c>
      <c r="AC48" t="s">
        <v>1191</v>
      </c>
      <c r="AD48" t="s">
        <v>789</v>
      </c>
      <c r="AE48" t="s">
        <v>764</v>
      </c>
      <c r="AF48" t="s">
        <v>752</v>
      </c>
      <c r="AG48" t="s">
        <v>731</v>
      </c>
      <c r="AH48" t="s">
        <v>1192</v>
      </c>
      <c r="AI48" t="s">
        <v>2</v>
      </c>
      <c r="AJ48" t="s">
        <v>1193</v>
      </c>
      <c r="AK48" t="s">
        <v>1670</v>
      </c>
    </row>
    <row r="49" spans="1:37" hidden="1" x14ac:dyDescent="0.3">
      <c r="A49" t="s">
        <v>1194</v>
      </c>
      <c r="B49" s="56">
        <v>45781.84526057099</v>
      </c>
      <c r="C49" t="s">
        <v>1195</v>
      </c>
      <c r="D49" t="s">
        <v>1196</v>
      </c>
      <c r="E49" s="7">
        <v>38383</v>
      </c>
      <c r="F49" t="s">
        <v>1197</v>
      </c>
      <c r="G49" t="s">
        <v>771</v>
      </c>
      <c r="H49" t="s">
        <v>102</v>
      </c>
      <c r="I49" t="s">
        <v>1198</v>
      </c>
      <c r="J49" t="s">
        <v>4</v>
      </c>
      <c r="K49" t="s">
        <v>123</v>
      </c>
      <c r="L49" t="s">
        <v>122</v>
      </c>
      <c r="M49" t="s">
        <v>727</v>
      </c>
      <c r="N49" t="s">
        <v>1199</v>
      </c>
      <c r="O49" t="s">
        <v>118</v>
      </c>
      <c r="P49" t="s">
        <v>729</v>
      </c>
      <c r="Q49" t="s">
        <v>106</v>
      </c>
      <c r="R49" t="s">
        <v>106</v>
      </c>
      <c r="S49" t="s">
        <v>106</v>
      </c>
      <c r="T49" t="s">
        <v>730</v>
      </c>
      <c r="U49" t="s">
        <v>731</v>
      </c>
      <c r="V49" t="s">
        <v>731</v>
      </c>
      <c r="W49" t="s">
        <v>1200</v>
      </c>
      <c r="AB49" t="s">
        <v>733</v>
      </c>
      <c r="AC49" t="s">
        <v>763</v>
      </c>
      <c r="AD49" t="s">
        <v>800</v>
      </c>
      <c r="AE49" t="s">
        <v>1201</v>
      </c>
      <c r="AF49" t="s">
        <v>752</v>
      </c>
      <c r="AG49" t="s">
        <v>731</v>
      </c>
      <c r="AH49" t="s">
        <v>1202</v>
      </c>
      <c r="AI49" t="s">
        <v>2</v>
      </c>
      <c r="AJ49" t="s">
        <v>1203</v>
      </c>
      <c r="AK49" t="s">
        <v>1662</v>
      </c>
    </row>
    <row r="50" spans="1:37" hidden="1" x14ac:dyDescent="0.3">
      <c r="A50" t="s">
        <v>1204</v>
      </c>
      <c r="B50" s="56">
        <v>45781.84727337963</v>
      </c>
      <c r="C50" t="s">
        <v>1205</v>
      </c>
      <c r="D50" t="s">
        <v>1206</v>
      </c>
      <c r="E50" s="7">
        <v>37679</v>
      </c>
      <c r="F50" t="s">
        <v>1207</v>
      </c>
      <c r="G50" t="s">
        <v>118</v>
      </c>
      <c r="H50" t="s">
        <v>102</v>
      </c>
      <c r="I50" t="s">
        <v>1208</v>
      </c>
      <c r="J50" t="s">
        <v>4</v>
      </c>
      <c r="K50" t="s">
        <v>123</v>
      </c>
      <c r="L50" t="s">
        <v>117</v>
      </c>
      <c r="M50" t="s">
        <v>760</v>
      </c>
      <c r="N50" t="s">
        <v>1209</v>
      </c>
      <c r="O50" t="s">
        <v>118</v>
      </c>
      <c r="P50" t="s">
        <v>729</v>
      </c>
      <c r="Q50" t="s">
        <v>106</v>
      </c>
      <c r="R50" t="s">
        <v>106</v>
      </c>
      <c r="S50" t="s">
        <v>106</v>
      </c>
      <c r="T50" t="s">
        <v>730</v>
      </c>
      <c r="U50" t="s">
        <v>1210</v>
      </c>
      <c r="V50" t="s">
        <v>731</v>
      </c>
      <c r="W50" t="s">
        <v>1211</v>
      </c>
      <c r="AB50" t="s">
        <v>733</v>
      </c>
      <c r="AC50" t="s">
        <v>763</v>
      </c>
      <c r="AD50" t="s">
        <v>1212</v>
      </c>
      <c r="AE50" t="s">
        <v>1209</v>
      </c>
      <c r="AF50" t="s">
        <v>752</v>
      </c>
      <c r="AG50" t="s">
        <v>970</v>
      </c>
      <c r="AH50" t="s">
        <v>1213</v>
      </c>
      <c r="AI50" t="s">
        <v>2</v>
      </c>
      <c r="AJ50" t="s">
        <v>1214</v>
      </c>
      <c r="AK50" t="s">
        <v>1659</v>
      </c>
    </row>
    <row r="51" spans="1:37" hidden="1" x14ac:dyDescent="0.3">
      <c r="A51" t="s">
        <v>1215</v>
      </c>
      <c r="B51" s="56">
        <v>45781.855414814818</v>
      </c>
      <c r="C51" t="s">
        <v>1216</v>
      </c>
      <c r="D51" t="s">
        <v>1217</v>
      </c>
      <c r="E51" s="7">
        <v>37893</v>
      </c>
      <c r="F51" t="s">
        <v>1218</v>
      </c>
      <c r="G51" t="s">
        <v>118</v>
      </c>
      <c r="H51" t="s">
        <v>102</v>
      </c>
      <c r="I51" t="s">
        <v>1219</v>
      </c>
      <c r="J51" t="s">
        <v>4</v>
      </c>
      <c r="K51" t="s">
        <v>123</v>
      </c>
      <c r="L51" t="s">
        <v>104</v>
      </c>
      <c r="M51" t="s">
        <v>727</v>
      </c>
      <c r="N51" t="s">
        <v>1220</v>
      </c>
      <c r="O51" t="s">
        <v>118</v>
      </c>
      <c r="P51" t="s">
        <v>729</v>
      </c>
      <c r="Q51" t="s">
        <v>106</v>
      </c>
      <c r="R51" t="s">
        <v>106</v>
      </c>
      <c r="S51" t="s">
        <v>106</v>
      </c>
      <c r="T51" t="s">
        <v>730</v>
      </c>
      <c r="U51" t="s">
        <v>731</v>
      </c>
      <c r="V51" t="s">
        <v>731</v>
      </c>
      <c r="W51" t="s">
        <v>1221</v>
      </c>
      <c r="AB51" t="s">
        <v>1</v>
      </c>
      <c r="AC51" t="s">
        <v>763</v>
      </c>
      <c r="AD51" t="s">
        <v>1008</v>
      </c>
      <c r="AE51" t="s">
        <v>1220</v>
      </c>
      <c r="AF51" t="s">
        <v>752</v>
      </c>
      <c r="AG51" t="s">
        <v>731</v>
      </c>
      <c r="AH51" t="s">
        <v>1222</v>
      </c>
      <c r="AI51" t="s">
        <v>2</v>
      </c>
      <c r="AJ51" t="s">
        <v>1223</v>
      </c>
      <c r="AK51" t="s">
        <v>1665</v>
      </c>
    </row>
    <row r="52" spans="1:37" hidden="1" x14ac:dyDescent="0.3">
      <c r="A52" t="s">
        <v>1224</v>
      </c>
      <c r="B52" s="56">
        <v>45781.85869957562</v>
      </c>
      <c r="C52" t="s">
        <v>1225</v>
      </c>
      <c r="D52" t="s">
        <v>1226</v>
      </c>
      <c r="E52" s="7">
        <v>32563</v>
      </c>
      <c r="F52" t="s">
        <v>1227</v>
      </c>
      <c r="G52" t="s">
        <v>771</v>
      </c>
      <c r="H52" t="s">
        <v>102</v>
      </c>
      <c r="I52" t="s">
        <v>1564</v>
      </c>
      <c r="J52" t="s">
        <v>4</v>
      </c>
      <c r="K52" t="s">
        <v>123</v>
      </c>
      <c r="L52" t="s">
        <v>122</v>
      </c>
      <c r="M52" t="s">
        <v>1228</v>
      </c>
      <c r="N52" t="s">
        <v>1094</v>
      </c>
      <c r="O52" t="s">
        <v>118</v>
      </c>
      <c r="P52" t="s">
        <v>729</v>
      </c>
      <c r="Q52" t="s">
        <v>106</v>
      </c>
      <c r="R52" t="s">
        <v>106</v>
      </c>
      <c r="S52" t="s">
        <v>106</v>
      </c>
      <c r="T52" t="s">
        <v>730</v>
      </c>
      <c r="U52" t="s">
        <v>731</v>
      </c>
      <c r="V52" t="s">
        <v>731</v>
      </c>
      <c r="W52" t="s">
        <v>1229</v>
      </c>
      <c r="X52" t="s">
        <v>1230</v>
      </c>
      <c r="Y52" t="s">
        <v>1231</v>
      </c>
      <c r="Z52" t="s">
        <v>1232</v>
      </c>
      <c r="AB52" t="s">
        <v>1</v>
      </c>
      <c r="AC52" t="s">
        <v>1233</v>
      </c>
      <c r="AD52" t="s">
        <v>1234</v>
      </c>
      <c r="AE52" t="s">
        <v>1235</v>
      </c>
      <c r="AF52" t="s">
        <v>752</v>
      </c>
      <c r="AG52" t="s">
        <v>904</v>
      </c>
      <c r="AH52" t="s">
        <v>1236</v>
      </c>
      <c r="AI52" t="s">
        <v>2</v>
      </c>
      <c r="AJ52" t="s">
        <v>1237</v>
      </c>
      <c r="AK52" t="s">
        <v>1671</v>
      </c>
    </row>
    <row r="53" spans="1:37" hidden="1" x14ac:dyDescent="0.3">
      <c r="A53" t="s">
        <v>1558</v>
      </c>
      <c r="B53" s="56">
        <v>45781.911242631169</v>
      </c>
      <c r="C53" t="s">
        <v>1238</v>
      </c>
      <c r="D53" t="s">
        <v>1239</v>
      </c>
      <c r="E53" s="7">
        <v>36078</v>
      </c>
      <c r="F53" t="s">
        <v>1240</v>
      </c>
      <c r="G53" t="s">
        <v>118</v>
      </c>
      <c r="H53" t="s">
        <v>102</v>
      </c>
      <c r="I53" t="s">
        <v>1241</v>
      </c>
      <c r="J53" t="s">
        <v>4</v>
      </c>
      <c r="K53" t="s">
        <v>123</v>
      </c>
      <c r="L53" t="s">
        <v>121</v>
      </c>
      <c r="M53" t="s">
        <v>1242</v>
      </c>
      <c r="N53" t="s">
        <v>963</v>
      </c>
      <c r="O53" t="s">
        <v>118</v>
      </c>
      <c r="P53" t="s">
        <v>729</v>
      </c>
      <c r="Q53" t="s">
        <v>106</v>
      </c>
      <c r="R53" t="s">
        <v>106</v>
      </c>
      <c r="S53" t="s">
        <v>106</v>
      </c>
      <c r="T53" t="s">
        <v>730</v>
      </c>
      <c r="U53" t="s">
        <v>761</v>
      </c>
      <c r="V53" t="s">
        <v>731</v>
      </c>
      <c r="W53" t="s">
        <v>1243</v>
      </c>
      <c r="AB53" t="s">
        <v>1</v>
      </c>
      <c r="AC53" t="s">
        <v>1244</v>
      </c>
      <c r="AD53" t="s">
        <v>1245</v>
      </c>
      <c r="AE53" t="s">
        <v>963</v>
      </c>
      <c r="AF53" t="s">
        <v>752</v>
      </c>
      <c r="AG53" t="s">
        <v>731</v>
      </c>
      <c r="AH53" t="s">
        <v>1246</v>
      </c>
      <c r="AI53" t="s">
        <v>2</v>
      </c>
      <c r="AJ53" t="s">
        <v>1247</v>
      </c>
      <c r="AK53" t="s">
        <v>1669</v>
      </c>
    </row>
    <row r="54" spans="1:37" hidden="1" x14ac:dyDescent="0.3">
      <c r="A54" t="s">
        <v>1248</v>
      </c>
      <c r="B54" s="56">
        <v>45782.523056481485</v>
      </c>
      <c r="C54" t="s">
        <v>1249</v>
      </c>
      <c r="D54" t="s">
        <v>1250</v>
      </c>
      <c r="E54" s="7">
        <v>38288</v>
      </c>
      <c r="F54" t="s">
        <v>1251</v>
      </c>
      <c r="G54" t="s">
        <v>148</v>
      </c>
      <c r="H54" t="s">
        <v>102</v>
      </c>
      <c r="I54" t="s">
        <v>1252</v>
      </c>
      <c r="J54" t="s">
        <v>4</v>
      </c>
      <c r="K54" t="s">
        <v>1253</v>
      </c>
      <c r="L54" t="s">
        <v>115</v>
      </c>
      <c r="M54" t="s">
        <v>727</v>
      </c>
      <c r="N54" t="s">
        <v>809</v>
      </c>
      <c r="O54" t="s">
        <v>105</v>
      </c>
      <c r="P54" t="s">
        <v>729</v>
      </c>
      <c r="Q54" t="s">
        <v>106</v>
      </c>
      <c r="R54" t="s">
        <v>106</v>
      </c>
      <c r="S54" t="s">
        <v>106</v>
      </c>
      <c r="T54" t="s">
        <v>713</v>
      </c>
      <c r="U54" t="s">
        <v>731</v>
      </c>
      <c r="V54" t="s">
        <v>822</v>
      </c>
      <c r="W54" t="s">
        <v>1254</v>
      </c>
      <c r="AB54" t="s">
        <v>1</v>
      </c>
      <c r="AC54" t="s">
        <v>763</v>
      </c>
      <c r="AD54" t="s">
        <v>1008</v>
      </c>
      <c r="AE54" t="s">
        <v>809</v>
      </c>
      <c r="AF54" t="s">
        <v>752</v>
      </c>
      <c r="AG54" t="s">
        <v>731</v>
      </c>
      <c r="AH54" t="s">
        <v>1255</v>
      </c>
      <c r="AI54" t="s">
        <v>2</v>
      </c>
      <c r="AJ54" t="s">
        <v>1256</v>
      </c>
      <c r="AK54" t="s">
        <v>1662</v>
      </c>
    </row>
    <row r="55" spans="1:37" hidden="1" x14ac:dyDescent="0.3">
      <c r="A55" t="s">
        <v>1257</v>
      </c>
      <c r="B55" s="56">
        <v>45782.538603317902</v>
      </c>
      <c r="C55" t="s">
        <v>1258</v>
      </c>
      <c r="D55" t="s">
        <v>1259</v>
      </c>
      <c r="E55" s="7">
        <v>37372</v>
      </c>
      <c r="F55" t="s">
        <v>1260</v>
      </c>
      <c r="G55" t="s">
        <v>771</v>
      </c>
      <c r="H55" t="s">
        <v>102</v>
      </c>
      <c r="I55" t="s">
        <v>1261</v>
      </c>
      <c r="J55" t="s">
        <v>4</v>
      </c>
      <c r="K55" t="s">
        <v>1253</v>
      </c>
      <c r="L55" t="s">
        <v>117</v>
      </c>
      <c r="M55" t="s">
        <v>760</v>
      </c>
      <c r="N55" t="s">
        <v>735</v>
      </c>
      <c r="O55" t="s">
        <v>105</v>
      </c>
      <c r="P55" t="s">
        <v>106</v>
      </c>
      <c r="Q55" t="s">
        <v>106</v>
      </c>
      <c r="R55" t="s">
        <v>106</v>
      </c>
      <c r="S55" t="s">
        <v>106</v>
      </c>
      <c r="T55" t="s">
        <v>730</v>
      </c>
      <c r="U55" t="s">
        <v>731</v>
      </c>
      <c r="V55" t="s">
        <v>731</v>
      </c>
      <c r="W55" t="s">
        <v>1262</v>
      </c>
      <c r="AB55" t="s">
        <v>1</v>
      </c>
      <c r="AC55" t="s">
        <v>763</v>
      </c>
      <c r="AD55" t="s">
        <v>800</v>
      </c>
      <c r="AE55" t="s">
        <v>735</v>
      </c>
      <c r="AF55" t="s">
        <v>752</v>
      </c>
      <c r="AG55" t="s">
        <v>731</v>
      </c>
      <c r="AH55" t="s">
        <v>779</v>
      </c>
      <c r="AI55" t="s">
        <v>2</v>
      </c>
      <c r="AJ55" t="s">
        <v>1263</v>
      </c>
      <c r="AK55" t="s">
        <v>1656</v>
      </c>
    </row>
    <row r="56" spans="1:37" hidden="1" x14ac:dyDescent="0.3">
      <c r="A56" t="s">
        <v>1264</v>
      </c>
      <c r="B56" s="56">
        <v>45782.644694405863</v>
      </c>
      <c r="C56" t="s">
        <v>1265</v>
      </c>
      <c r="D56" t="s">
        <v>1266</v>
      </c>
      <c r="E56" s="7">
        <v>31453</v>
      </c>
      <c r="F56" t="s">
        <v>1267</v>
      </c>
      <c r="G56" t="s">
        <v>1553</v>
      </c>
      <c r="H56" t="s">
        <v>102</v>
      </c>
      <c r="I56" t="s">
        <v>1268</v>
      </c>
      <c r="J56" t="s">
        <v>4</v>
      </c>
      <c r="K56" t="s">
        <v>226</v>
      </c>
      <c r="L56" t="s">
        <v>104</v>
      </c>
      <c r="M56" t="s">
        <v>727</v>
      </c>
      <c r="N56" t="s">
        <v>728</v>
      </c>
      <c r="O56" t="s">
        <v>111</v>
      </c>
      <c r="P56" t="s">
        <v>729</v>
      </c>
      <c r="Q56" t="s">
        <v>106</v>
      </c>
      <c r="R56" t="s">
        <v>106</v>
      </c>
      <c r="S56" t="s">
        <v>106</v>
      </c>
      <c r="T56" t="s">
        <v>713</v>
      </c>
      <c r="U56" t="s">
        <v>731</v>
      </c>
      <c r="V56" t="s">
        <v>731</v>
      </c>
      <c r="W56" t="s">
        <v>1269</v>
      </c>
      <c r="X56" t="s">
        <v>1270</v>
      </c>
      <c r="Y56" t="s">
        <v>1091</v>
      </c>
      <c r="Z56" t="s">
        <v>1271</v>
      </c>
      <c r="AB56" t="s">
        <v>733</v>
      </c>
      <c r="AC56" t="s">
        <v>1272</v>
      </c>
      <c r="AD56" t="s">
        <v>880</v>
      </c>
      <c r="AE56" t="s">
        <v>1148</v>
      </c>
      <c r="AF56" t="s">
        <v>790</v>
      </c>
      <c r="AG56" t="s">
        <v>1273</v>
      </c>
      <c r="AH56" t="s">
        <v>1274</v>
      </c>
      <c r="AI56" t="s">
        <v>2</v>
      </c>
      <c r="AJ56" t="s">
        <v>1275</v>
      </c>
      <c r="AK56" t="s">
        <v>1672</v>
      </c>
    </row>
    <row r="57" spans="1:37" hidden="1" x14ac:dyDescent="0.3">
      <c r="A57" t="s">
        <v>1276</v>
      </c>
      <c r="B57" s="56">
        <v>45782.879357445985</v>
      </c>
      <c r="C57" t="s">
        <v>1277</v>
      </c>
      <c r="D57" t="s">
        <v>1278</v>
      </c>
      <c r="E57" s="7">
        <v>36422</v>
      </c>
      <c r="F57" t="s">
        <v>1279</v>
      </c>
      <c r="G57" t="s">
        <v>118</v>
      </c>
      <c r="H57" t="s">
        <v>102</v>
      </c>
      <c r="I57" t="s">
        <v>1280</v>
      </c>
      <c r="J57" t="s">
        <v>4</v>
      </c>
      <c r="K57" t="s">
        <v>162</v>
      </c>
      <c r="L57" t="s">
        <v>104</v>
      </c>
      <c r="M57" t="s">
        <v>727</v>
      </c>
      <c r="N57" t="s">
        <v>1281</v>
      </c>
      <c r="O57" t="s">
        <v>118</v>
      </c>
      <c r="P57" t="s">
        <v>729</v>
      </c>
      <c r="Q57" t="s">
        <v>106</v>
      </c>
      <c r="R57" t="s">
        <v>106</v>
      </c>
      <c r="S57" t="s">
        <v>106</v>
      </c>
      <c r="T57" t="s">
        <v>713</v>
      </c>
      <c r="U57" t="s">
        <v>731</v>
      </c>
      <c r="V57" t="s">
        <v>731</v>
      </c>
      <c r="W57" t="s">
        <v>1282</v>
      </c>
      <c r="AB57" t="s">
        <v>1</v>
      </c>
      <c r="AC57" t="s">
        <v>1283</v>
      </c>
      <c r="AD57" t="s">
        <v>1284</v>
      </c>
      <c r="AE57" t="s">
        <v>1285</v>
      </c>
      <c r="AF57" t="s">
        <v>752</v>
      </c>
      <c r="AG57" t="s">
        <v>731</v>
      </c>
      <c r="AH57" t="s">
        <v>1286</v>
      </c>
      <c r="AI57" t="s">
        <v>2</v>
      </c>
      <c r="AJ57" t="s">
        <v>1287</v>
      </c>
      <c r="AK57" t="s">
        <v>1657</v>
      </c>
    </row>
    <row r="58" spans="1:37" hidden="1" x14ac:dyDescent="0.3">
      <c r="A58" t="s">
        <v>1288</v>
      </c>
      <c r="B58" s="56">
        <v>45782.879791782405</v>
      </c>
      <c r="C58" t="s">
        <v>1289</v>
      </c>
      <c r="D58" t="s">
        <v>1290</v>
      </c>
      <c r="E58" s="7">
        <v>37231</v>
      </c>
      <c r="F58" t="s">
        <v>1291</v>
      </c>
      <c r="G58" t="s">
        <v>1039</v>
      </c>
      <c r="H58" t="s">
        <v>102</v>
      </c>
      <c r="I58" t="s">
        <v>1292</v>
      </c>
      <c r="J58" t="s">
        <v>4</v>
      </c>
      <c r="K58" t="s">
        <v>1003</v>
      </c>
      <c r="L58" t="s">
        <v>122</v>
      </c>
      <c r="M58" t="s">
        <v>889</v>
      </c>
      <c r="N58" t="s">
        <v>736</v>
      </c>
      <c r="O58" t="s">
        <v>1004</v>
      </c>
      <c r="P58" t="s">
        <v>729</v>
      </c>
      <c r="Q58" t="s">
        <v>106</v>
      </c>
      <c r="R58" t="s">
        <v>106</v>
      </c>
      <c r="S58" t="s">
        <v>106</v>
      </c>
      <c r="T58" t="s">
        <v>713</v>
      </c>
      <c r="U58" t="s">
        <v>731</v>
      </c>
      <c r="V58" t="s">
        <v>731</v>
      </c>
      <c r="W58" t="s">
        <v>1293</v>
      </c>
      <c r="AB58" t="s">
        <v>1</v>
      </c>
      <c r="AC58" t="s">
        <v>763</v>
      </c>
      <c r="AD58" t="s">
        <v>1032</v>
      </c>
      <c r="AE58" t="s">
        <v>735</v>
      </c>
      <c r="AF58" t="s">
        <v>752</v>
      </c>
      <c r="AG58" t="s">
        <v>731</v>
      </c>
      <c r="AH58" t="s">
        <v>1149</v>
      </c>
      <c r="AI58" t="s">
        <v>2</v>
      </c>
      <c r="AJ58" t="s">
        <v>1294</v>
      </c>
      <c r="AK58" t="s">
        <v>1656</v>
      </c>
    </row>
    <row r="59" spans="1:37" hidden="1" x14ac:dyDescent="0.3">
      <c r="A59" t="s">
        <v>1295</v>
      </c>
      <c r="B59" s="56">
        <v>45782.9383441358</v>
      </c>
      <c r="C59" t="s">
        <v>1296</v>
      </c>
      <c r="D59" t="s">
        <v>1297</v>
      </c>
      <c r="E59" s="7">
        <v>35264</v>
      </c>
      <c r="F59" t="s">
        <v>1298</v>
      </c>
      <c r="G59" t="s">
        <v>112</v>
      </c>
      <c r="H59" t="s">
        <v>102</v>
      </c>
      <c r="I59" t="s">
        <v>1299</v>
      </c>
      <c r="J59" t="s">
        <v>4</v>
      </c>
      <c r="K59" t="s">
        <v>1300</v>
      </c>
      <c r="L59" t="s">
        <v>122</v>
      </c>
      <c r="M59" t="s">
        <v>1301</v>
      </c>
      <c r="N59" t="s">
        <v>912</v>
      </c>
      <c r="O59" t="s">
        <v>1890</v>
      </c>
      <c r="P59" t="s">
        <v>729</v>
      </c>
      <c r="Q59" t="s">
        <v>106</v>
      </c>
      <c r="R59" t="s">
        <v>106</v>
      </c>
      <c r="S59" t="s">
        <v>106</v>
      </c>
      <c r="T59" t="s">
        <v>713</v>
      </c>
      <c r="U59" t="s">
        <v>731</v>
      </c>
      <c r="V59" t="s">
        <v>846</v>
      </c>
      <c r="W59" t="s">
        <v>1302</v>
      </c>
      <c r="AB59" t="s">
        <v>1</v>
      </c>
      <c r="AC59" t="s">
        <v>1303</v>
      </c>
      <c r="AD59" t="s">
        <v>800</v>
      </c>
      <c r="AE59" t="s">
        <v>848</v>
      </c>
      <c r="AF59" t="s">
        <v>752</v>
      </c>
      <c r="AG59" t="s">
        <v>753</v>
      </c>
      <c r="AH59" t="s">
        <v>1304</v>
      </c>
      <c r="AI59" t="s">
        <v>2</v>
      </c>
      <c r="AJ59" t="s">
        <v>1305</v>
      </c>
      <c r="AK59" t="s">
        <v>1673</v>
      </c>
    </row>
    <row r="60" spans="1:37" hidden="1" x14ac:dyDescent="0.3">
      <c r="A60" t="s">
        <v>1306</v>
      </c>
      <c r="B60" s="56">
        <v>45783.668223919754</v>
      </c>
      <c r="C60" t="s">
        <v>1307</v>
      </c>
      <c r="D60" t="s">
        <v>1308</v>
      </c>
      <c r="E60" s="7">
        <v>35676</v>
      </c>
      <c r="F60" t="s">
        <v>1309</v>
      </c>
      <c r="G60" t="s">
        <v>367</v>
      </c>
      <c r="H60" t="s">
        <v>102</v>
      </c>
      <c r="I60" t="s">
        <v>1310</v>
      </c>
      <c r="J60" t="s">
        <v>4</v>
      </c>
      <c r="K60" t="s">
        <v>126</v>
      </c>
      <c r="L60" t="s">
        <v>110</v>
      </c>
      <c r="M60" t="s">
        <v>760</v>
      </c>
      <c r="N60" t="s">
        <v>1311</v>
      </c>
      <c r="O60" t="s">
        <v>116</v>
      </c>
      <c r="P60" t="s">
        <v>729</v>
      </c>
      <c r="Q60" t="s">
        <v>106</v>
      </c>
      <c r="R60" t="s">
        <v>106</v>
      </c>
      <c r="S60" t="s">
        <v>106</v>
      </c>
      <c r="T60" t="s">
        <v>730</v>
      </c>
      <c r="U60" t="s">
        <v>731</v>
      </c>
      <c r="V60" t="s">
        <v>731</v>
      </c>
      <c r="W60" t="s">
        <v>1312</v>
      </c>
      <c r="AB60" t="s">
        <v>733</v>
      </c>
      <c r="AC60" t="s">
        <v>1313</v>
      </c>
      <c r="AD60" t="s">
        <v>764</v>
      </c>
      <c r="AE60" t="s">
        <v>1008</v>
      </c>
      <c r="AF60" t="s">
        <v>752</v>
      </c>
      <c r="AG60" t="s">
        <v>753</v>
      </c>
      <c r="AH60" t="s">
        <v>1314</v>
      </c>
      <c r="AI60" t="s">
        <v>2</v>
      </c>
      <c r="AJ60" t="s">
        <v>1315</v>
      </c>
      <c r="AK60" t="s">
        <v>1670</v>
      </c>
    </row>
    <row r="61" spans="1:37" hidden="1" x14ac:dyDescent="0.3">
      <c r="A61" t="s">
        <v>1316</v>
      </c>
      <c r="B61" s="56">
        <v>45783.879361612657</v>
      </c>
      <c r="C61" t="s">
        <v>1317</v>
      </c>
      <c r="D61" t="s">
        <v>1318</v>
      </c>
      <c r="E61" s="7">
        <v>38532</v>
      </c>
      <c r="F61" t="s">
        <v>1319</v>
      </c>
      <c r="G61" t="s">
        <v>1039</v>
      </c>
      <c r="H61" t="s">
        <v>102</v>
      </c>
      <c r="I61" t="s">
        <v>1320</v>
      </c>
      <c r="J61" t="s">
        <v>4</v>
      </c>
      <c r="K61" t="s">
        <v>1003</v>
      </c>
      <c r="L61" t="s">
        <v>115</v>
      </c>
      <c r="M61" t="s">
        <v>1321</v>
      </c>
      <c r="N61" t="s">
        <v>736</v>
      </c>
      <c r="O61" t="s">
        <v>1004</v>
      </c>
      <c r="P61" t="s">
        <v>729</v>
      </c>
      <c r="Q61" t="s">
        <v>106</v>
      </c>
      <c r="R61" t="s">
        <v>106</v>
      </c>
      <c r="S61" t="s">
        <v>106</v>
      </c>
      <c r="T61" t="s">
        <v>713</v>
      </c>
      <c r="U61" t="s">
        <v>731</v>
      </c>
      <c r="V61" t="s">
        <v>731</v>
      </c>
      <c r="W61" t="s">
        <v>1322</v>
      </c>
      <c r="AB61" t="s">
        <v>1</v>
      </c>
      <c r="AC61" t="s">
        <v>763</v>
      </c>
      <c r="AD61" t="s">
        <v>789</v>
      </c>
      <c r="AE61" t="s">
        <v>736</v>
      </c>
      <c r="AF61" t="s">
        <v>752</v>
      </c>
      <c r="AG61" t="s">
        <v>731</v>
      </c>
      <c r="AH61" t="s">
        <v>1323</v>
      </c>
      <c r="AI61" t="s">
        <v>2</v>
      </c>
      <c r="AJ61" t="s">
        <v>1324</v>
      </c>
      <c r="AK61" t="s">
        <v>1662</v>
      </c>
    </row>
    <row r="62" spans="1:37" hidden="1" x14ac:dyDescent="0.3">
      <c r="A62" t="s">
        <v>1325</v>
      </c>
      <c r="B62" s="56">
        <v>45784.367475385799</v>
      </c>
      <c r="C62" t="s">
        <v>1326</v>
      </c>
      <c r="D62" t="s">
        <v>1327</v>
      </c>
      <c r="E62" s="7">
        <v>37675</v>
      </c>
      <c r="F62" t="s">
        <v>1328</v>
      </c>
      <c r="G62" t="s">
        <v>118</v>
      </c>
      <c r="H62" t="s">
        <v>102</v>
      </c>
      <c r="I62" t="s">
        <v>1329</v>
      </c>
      <c r="J62" t="s">
        <v>4</v>
      </c>
      <c r="K62" t="s">
        <v>123</v>
      </c>
      <c r="L62" t="s">
        <v>110</v>
      </c>
      <c r="M62" t="s">
        <v>1330</v>
      </c>
      <c r="N62" t="s">
        <v>1331</v>
      </c>
      <c r="O62" t="s">
        <v>118</v>
      </c>
      <c r="P62" t="s">
        <v>729</v>
      </c>
      <c r="Q62" t="s">
        <v>106</v>
      </c>
      <c r="R62" t="s">
        <v>106</v>
      </c>
      <c r="S62" t="s">
        <v>106</v>
      </c>
      <c r="T62" t="s">
        <v>730</v>
      </c>
      <c r="U62" t="s">
        <v>731</v>
      </c>
      <c r="V62" t="s">
        <v>731</v>
      </c>
      <c r="W62" t="s">
        <v>1332</v>
      </c>
      <c r="X62" t="s">
        <v>1333</v>
      </c>
      <c r="Y62" t="s">
        <v>1334</v>
      </c>
      <c r="Z62" t="s">
        <v>1335</v>
      </c>
      <c r="AB62" t="s">
        <v>1</v>
      </c>
      <c r="AC62" t="s">
        <v>1283</v>
      </c>
      <c r="AD62" t="s">
        <v>1336</v>
      </c>
      <c r="AE62" t="s">
        <v>1337</v>
      </c>
      <c r="AF62" t="s">
        <v>752</v>
      </c>
      <c r="AG62" t="s">
        <v>731</v>
      </c>
      <c r="AH62" t="s">
        <v>1338</v>
      </c>
      <c r="AI62" t="s">
        <v>2</v>
      </c>
      <c r="AJ62" t="s">
        <v>1339</v>
      </c>
      <c r="AK62" t="s">
        <v>1659</v>
      </c>
    </row>
    <row r="63" spans="1:37" hidden="1" x14ac:dyDescent="0.3">
      <c r="A63" t="s">
        <v>1340</v>
      </c>
      <c r="B63" s="56">
        <v>45784.470508371916</v>
      </c>
      <c r="C63" t="s">
        <v>1341</v>
      </c>
      <c r="D63" t="s">
        <v>1342</v>
      </c>
      <c r="E63" s="7">
        <v>38144</v>
      </c>
      <c r="F63" t="s">
        <v>1343</v>
      </c>
      <c r="G63" t="s">
        <v>124</v>
      </c>
      <c r="H63" t="s">
        <v>102</v>
      </c>
      <c r="I63" t="s">
        <v>1344</v>
      </c>
      <c r="J63" t="s">
        <v>4</v>
      </c>
      <c r="K63" t="s">
        <v>692</v>
      </c>
      <c r="L63" t="s">
        <v>117</v>
      </c>
      <c r="M63" t="s">
        <v>1345</v>
      </c>
      <c r="N63" t="s">
        <v>1311</v>
      </c>
      <c r="O63" t="s">
        <v>1004</v>
      </c>
      <c r="P63" t="s">
        <v>729</v>
      </c>
      <c r="Q63" t="s">
        <v>106</v>
      </c>
      <c r="R63" t="s">
        <v>106</v>
      </c>
      <c r="S63" t="s">
        <v>106</v>
      </c>
      <c r="T63" t="s">
        <v>730</v>
      </c>
      <c r="U63" t="s">
        <v>731</v>
      </c>
      <c r="V63" t="s">
        <v>731</v>
      </c>
      <c r="W63" t="s">
        <v>1346</v>
      </c>
      <c r="AB63" t="s">
        <v>733</v>
      </c>
      <c r="AC63" t="s">
        <v>763</v>
      </c>
      <c r="AD63" t="s">
        <v>1347</v>
      </c>
      <c r="AE63" t="s">
        <v>1348</v>
      </c>
      <c r="AF63" t="s">
        <v>752</v>
      </c>
      <c r="AG63" t="s">
        <v>731</v>
      </c>
      <c r="AH63" t="s">
        <v>882</v>
      </c>
      <c r="AI63" t="s">
        <v>2</v>
      </c>
      <c r="AJ63" t="s">
        <v>1349</v>
      </c>
      <c r="AK63" t="s">
        <v>1665</v>
      </c>
    </row>
    <row r="64" spans="1:37" hidden="1" x14ac:dyDescent="0.3">
      <c r="A64" t="s">
        <v>1350</v>
      </c>
      <c r="B64" s="56">
        <v>45784.496556983024</v>
      </c>
      <c r="C64" t="s">
        <v>1351</v>
      </c>
      <c r="D64" t="s">
        <v>1352</v>
      </c>
      <c r="E64" s="7">
        <v>37943</v>
      </c>
      <c r="F64" t="s">
        <v>1353</v>
      </c>
      <c r="G64" t="s">
        <v>367</v>
      </c>
      <c r="H64" t="s">
        <v>102</v>
      </c>
      <c r="I64" t="s">
        <v>1565</v>
      </c>
      <c r="J64" t="s">
        <v>4</v>
      </c>
      <c r="K64" t="s">
        <v>126</v>
      </c>
      <c r="L64" t="s">
        <v>115</v>
      </c>
      <c r="M64" t="s">
        <v>899</v>
      </c>
      <c r="N64" t="s">
        <v>844</v>
      </c>
      <c r="O64" t="s">
        <v>116</v>
      </c>
      <c r="P64" t="s">
        <v>729</v>
      </c>
      <c r="Q64" t="s">
        <v>106</v>
      </c>
      <c r="R64" t="s">
        <v>106</v>
      </c>
      <c r="S64" t="s">
        <v>106</v>
      </c>
      <c r="T64" t="s">
        <v>713</v>
      </c>
      <c r="U64" t="s">
        <v>731</v>
      </c>
      <c r="V64" t="s">
        <v>731</v>
      </c>
      <c r="W64" t="s">
        <v>1354</v>
      </c>
      <c r="X64" t="s">
        <v>733</v>
      </c>
      <c r="Y64" t="s">
        <v>733</v>
      </c>
      <c r="Z64" t="s">
        <v>733</v>
      </c>
      <c r="AA64" t="s">
        <v>733</v>
      </c>
      <c r="AB64" t="s">
        <v>1</v>
      </c>
      <c r="AC64" t="s">
        <v>763</v>
      </c>
      <c r="AD64" t="s">
        <v>1355</v>
      </c>
      <c r="AE64" t="s">
        <v>733</v>
      </c>
      <c r="AF64" t="s">
        <v>752</v>
      </c>
      <c r="AG64" t="s">
        <v>731</v>
      </c>
      <c r="AH64" t="s">
        <v>1356</v>
      </c>
      <c r="AI64" t="s">
        <v>2</v>
      </c>
      <c r="AJ64" t="s">
        <v>1357</v>
      </c>
      <c r="AK64" t="s">
        <v>1665</v>
      </c>
    </row>
    <row r="65" spans="1:37" hidden="1" x14ac:dyDescent="0.3">
      <c r="A65" t="s">
        <v>1358</v>
      </c>
      <c r="B65" s="56">
        <v>45784.667297608023</v>
      </c>
      <c r="C65" t="s">
        <v>1359</v>
      </c>
      <c r="D65" t="s">
        <v>1360</v>
      </c>
      <c r="E65" s="7">
        <v>34478</v>
      </c>
      <c r="F65" t="s">
        <v>1361</v>
      </c>
      <c r="G65" t="s">
        <v>112</v>
      </c>
      <c r="H65" t="s">
        <v>102</v>
      </c>
      <c r="I65" t="s">
        <v>1362</v>
      </c>
      <c r="J65" t="s">
        <v>4</v>
      </c>
      <c r="K65" t="s">
        <v>1300</v>
      </c>
      <c r="L65" t="s">
        <v>110</v>
      </c>
      <c r="M65" t="s">
        <v>889</v>
      </c>
      <c r="N65" t="s">
        <v>1363</v>
      </c>
      <c r="O65" t="s">
        <v>1890</v>
      </c>
      <c r="P65" t="s">
        <v>729</v>
      </c>
      <c r="Q65" t="s">
        <v>106</v>
      </c>
      <c r="R65" t="s">
        <v>106</v>
      </c>
      <c r="S65" t="s">
        <v>106</v>
      </c>
      <c r="T65" t="s">
        <v>713</v>
      </c>
      <c r="U65" t="s">
        <v>731</v>
      </c>
      <c r="V65" t="s">
        <v>731</v>
      </c>
      <c r="W65" t="s">
        <v>1364</v>
      </c>
      <c r="AB65" t="s">
        <v>733</v>
      </c>
      <c r="AC65" t="s">
        <v>1365</v>
      </c>
      <c r="AD65" t="s">
        <v>848</v>
      </c>
      <c r="AE65" t="s">
        <v>1366</v>
      </c>
      <c r="AF65" t="s">
        <v>790</v>
      </c>
      <c r="AG65" t="s">
        <v>731</v>
      </c>
      <c r="AH65" t="s">
        <v>1367</v>
      </c>
      <c r="AI65" t="s">
        <v>1</v>
      </c>
      <c r="AJ65" t="s">
        <v>1368</v>
      </c>
      <c r="AK65" t="s">
        <v>1654</v>
      </c>
    </row>
    <row r="66" spans="1:37" hidden="1" x14ac:dyDescent="0.3">
      <c r="A66" t="s">
        <v>1369</v>
      </c>
      <c r="B66" s="56">
        <v>45784.676533449077</v>
      </c>
      <c r="C66" t="s">
        <v>1370</v>
      </c>
      <c r="D66" t="s">
        <v>1371</v>
      </c>
      <c r="E66" s="7">
        <v>37537</v>
      </c>
      <c r="F66" t="s">
        <v>1372</v>
      </c>
      <c r="G66" t="s">
        <v>124</v>
      </c>
      <c r="H66" t="s">
        <v>102</v>
      </c>
      <c r="I66" t="s">
        <v>1373</v>
      </c>
      <c r="J66" t="s">
        <v>4</v>
      </c>
      <c r="K66" t="s">
        <v>692</v>
      </c>
      <c r="L66" t="s">
        <v>117</v>
      </c>
      <c r="M66" t="s">
        <v>760</v>
      </c>
      <c r="N66" t="s">
        <v>1374</v>
      </c>
      <c r="O66" t="s">
        <v>1004</v>
      </c>
      <c r="P66" t="s">
        <v>729</v>
      </c>
      <c r="Q66" t="s">
        <v>106</v>
      </c>
      <c r="R66" t="s">
        <v>106</v>
      </c>
      <c r="S66" t="s">
        <v>106</v>
      </c>
      <c r="T66" t="s">
        <v>730</v>
      </c>
      <c r="U66" t="s">
        <v>731</v>
      </c>
      <c r="V66" t="s">
        <v>731</v>
      </c>
      <c r="W66" t="s">
        <v>1375</v>
      </c>
      <c r="AB66" t="s">
        <v>733</v>
      </c>
      <c r="AC66" t="s">
        <v>763</v>
      </c>
      <c r="AD66" t="s">
        <v>1376</v>
      </c>
      <c r="AE66" t="s">
        <v>1377</v>
      </c>
      <c r="AF66" t="s">
        <v>752</v>
      </c>
      <c r="AG66" t="s">
        <v>731</v>
      </c>
      <c r="AH66" t="s">
        <v>1378</v>
      </c>
      <c r="AI66" t="s">
        <v>2</v>
      </c>
      <c r="AJ66" t="s">
        <v>1379</v>
      </c>
      <c r="AK66" t="s">
        <v>1659</v>
      </c>
    </row>
    <row r="67" spans="1:37" hidden="1" x14ac:dyDescent="0.3">
      <c r="A67" t="s">
        <v>1380</v>
      </c>
      <c r="B67" s="56">
        <v>45784.69160416667</v>
      </c>
      <c r="C67" t="s">
        <v>1381</v>
      </c>
      <c r="D67" t="s">
        <v>1382</v>
      </c>
      <c r="E67" s="7">
        <v>37818</v>
      </c>
      <c r="F67" t="s">
        <v>1383</v>
      </c>
      <c r="G67" t="s">
        <v>1039</v>
      </c>
      <c r="H67" t="s">
        <v>102</v>
      </c>
      <c r="I67" t="s">
        <v>1384</v>
      </c>
      <c r="J67" t="s">
        <v>4</v>
      </c>
      <c r="K67" t="s">
        <v>1003</v>
      </c>
      <c r="L67" t="s">
        <v>115</v>
      </c>
      <c r="M67" t="s">
        <v>760</v>
      </c>
      <c r="N67" t="s">
        <v>736</v>
      </c>
      <c r="O67" t="s">
        <v>1004</v>
      </c>
      <c r="P67" t="s">
        <v>729</v>
      </c>
      <c r="Q67" t="s">
        <v>106</v>
      </c>
      <c r="R67" t="s">
        <v>106</v>
      </c>
      <c r="S67" t="s">
        <v>106</v>
      </c>
      <c r="T67" t="s">
        <v>713</v>
      </c>
      <c r="U67" t="s">
        <v>731</v>
      </c>
      <c r="V67" t="s">
        <v>731</v>
      </c>
      <c r="W67" t="s">
        <v>1385</v>
      </c>
      <c r="AB67" t="s">
        <v>1</v>
      </c>
      <c r="AC67" t="s">
        <v>1386</v>
      </c>
      <c r="AD67" t="s">
        <v>915</v>
      </c>
      <c r="AE67" t="s">
        <v>735</v>
      </c>
      <c r="AF67" t="s">
        <v>752</v>
      </c>
      <c r="AG67" t="s">
        <v>731</v>
      </c>
      <c r="AH67" t="s">
        <v>1387</v>
      </c>
      <c r="AI67" t="s">
        <v>2</v>
      </c>
      <c r="AJ67" t="s">
        <v>1388</v>
      </c>
      <c r="AK67" t="s">
        <v>1665</v>
      </c>
    </row>
    <row r="68" spans="1:37" hidden="1" x14ac:dyDescent="0.3">
      <c r="A68" t="s">
        <v>1389</v>
      </c>
      <c r="B68" s="56">
        <v>45784.691846180554</v>
      </c>
      <c r="C68" t="s">
        <v>1390</v>
      </c>
      <c r="D68" t="s">
        <v>1391</v>
      </c>
      <c r="E68" s="7">
        <v>38173</v>
      </c>
      <c r="F68" t="s">
        <v>1392</v>
      </c>
      <c r="G68" t="s">
        <v>124</v>
      </c>
      <c r="H68" t="s">
        <v>102</v>
      </c>
      <c r="I68" t="s">
        <v>1566</v>
      </c>
      <c r="J68" t="s">
        <v>4</v>
      </c>
      <c r="K68" t="s">
        <v>692</v>
      </c>
      <c r="L68" t="s">
        <v>122</v>
      </c>
      <c r="M68" t="s">
        <v>760</v>
      </c>
      <c r="N68" t="s">
        <v>736</v>
      </c>
      <c r="O68" t="s">
        <v>1004</v>
      </c>
      <c r="P68" t="s">
        <v>729</v>
      </c>
      <c r="Q68" t="s">
        <v>106</v>
      </c>
      <c r="R68" t="s">
        <v>106</v>
      </c>
      <c r="S68" t="s">
        <v>106</v>
      </c>
      <c r="T68" t="s">
        <v>730</v>
      </c>
      <c r="U68" t="s">
        <v>731</v>
      </c>
      <c r="V68" t="s">
        <v>731</v>
      </c>
      <c r="W68" t="s">
        <v>1393</v>
      </c>
      <c r="AB68" t="s">
        <v>733</v>
      </c>
      <c r="AC68" t="s">
        <v>763</v>
      </c>
      <c r="AD68" t="s">
        <v>969</v>
      </c>
      <c r="AE68" t="s">
        <v>736</v>
      </c>
      <c r="AF68" t="s">
        <v>752</v>
      </c>
      <c r="AG68" t="s">
        <v>904</v>
      </c>
      <c r="AH68" t="s">
        <v>1394</v>
      </c>
      <c r="AI68" t="s">
        <v>2</v>
      </c>
      <c r="AJ68" t="s">
        <v>1395</v>
      </c>
      <c r="AK68" t="s">
        <v>1662</v>
      </c>
    </row>
    <row r="69" spans="1:37" hidden="1" x14ac:dyDescent="0.3">
      <c r="A69" t="s">
        <v>1396</v>
      </c>
      <c r="B69" s="56">
        <v>45784.726124266977</v>
      </c>
      <c r="C69" t="s">
        <v>1397</v>
      </c>
      <c r="D69" t="s">
        <v>1398</v>
      </c>
      <c r="E69" s="7">
        <v>37644</v>
      </c>
      <c r="F69" t="s">
        <v>1399</v>
      </c>
      <c r="G69" t="s">
        <v>124</v>
      </c>
      <c r="H69" t="s">
        <v>102</v>
      </c>
      <c r="I69" t="s">
        <v>1400</v>
      </c>
      <c r="J69" t="s">
        <v>4</v>
      </c>
      <c r="K69" t="s">
        <v>692</v>
      </c>
      <c r="L69" t="s">
        <v>117</v>
      </c>
      <c r="M69" t="s">
        <v>727</v>
      </c>
      <c r="N69" t="s">
        <v>1401</v>
      </c>
      <c r="O69" t="s">
        <v>1004</v>
      </c>
      <c r="P69" t="s">
        <v>729</v>
      </c>
      <c r="Q69" t="s">
        <v>106</v>
      </c>
      <c r="R69" t="s">
        <v>106</v>
      </c>
      <c r="S69" t="s">
        <v>106</v>
      </c>
      <c r="T69" t="s">
        <v>730</v>
      </c>
      <c r="U69" t="s">
        <v>731</v>
      </c>
      <c r="V69" t="s">
        <v>731</v>
      </c>
      <c r="W69" t="s">
        <v>1402</v>
      </c>
      <c r="AB69" t="s">
        <v>733</v>
      </c>
      <c r="AC69" t="s">
        <v>1403</v>
      </c>
      <c r="AD69" t="s">
        <v>764</v>
      </c>
      <c r="AE69" t="s">
        <v>735</v>
      </c>
      <c r="AF69" t="s">
        <v>752</v>
      </c>
      <c r="AG69" t="s">
        <v>731</v>
      </c>
      <c r="AH69" t="s">
        <v>1404</v>
      </c>
      <c r="AI69" t="s">
        <v>2</v>
      </c>
      <c r="AJ69" t="s">
        <v>1405</v>
      </c>
      <c r="AK69" t="s">
        <v>1659</v>
      </c>
    </row>
    <row r="70" spans="1:37" hidden="1" x14ac:dyDescent="0.3">
      <c r="A70" t="s">
        <v>1406</v>
      </c>
      <c r="B70" s="56">
        <v>45784.829947993829</v>
      </c>
      <c r="C70" t="s">
        <v>1407</v>
      </c>
      <c r="D70" t="s">
        <v>1408</v>
      </c>
      <c r="E70" s="7">
        <v>38328</v>
      </c>
      <c r="F70" t="s">
        <v>1409</v>
      </c>
      <c r="G70" t="s">
        <v>124</v>
      </c>
      <c r="H70" t="s">
        <v>102</v>
      </c>
      <c r="I70" t="s">
        <v>1410</v>
      </c>
      <c r="J70" t="s">
        <v>4</v>
      </c>
      <c r="K70" t="s">
        <v>692</v>
      </c>
      <c r="L70" t="s">
        <v>115</v>
      </c>
      <c r="M70" t="s">
        <v>1411</v>
      </c>
      <c r="N70" t="s">
        <v>736</v>
      </c>
      <c r="O70" t="s">
        <v>1004</v>
      </c>
      <c r="P70" t="s">
        <v>729</v>
      </c>
      <c r="Q70" t="s">
        <v>106</v>
      </c>
      <c r="R70" t="s">
        <v>106</v>
      </c>
      <c r="S70" t="s">
        <v>106</v>
      </c>
      <c r="T70" t="s">
        <v>730</v>
      </c>
      <c r="U70" t="s">
        <v>731</v>
      </c>
      <c r="V70" t="s">
        <v>731</v>
      </c>
      <c r="W70" t="s">
        <v>1412</v>
      </c>
      <c r="AB70" t="s">
        <v>733</v>
      </c>
      <c r="AC70" t="s">
        <v>1413</v>
      </c>
      <c r="AD70" t="s">
        <v>915</v>
      </c>
      <c r="AE70" t="s">
        <v>944</v>
      </c>
      <c r="AF70" t="s">
        <v>752</v>
      </c>
      <c r="AG70" t="s">
        <v>731</v>
      </c>
      <c r="AH70" t="s">
        <v>858</v>
      </c>
      <c r="AI70" t="s">
        <v>2</v>
      </c>
      <c r="AJ70" t="s">
        <v>1414</v>
      </c>
      <c r="AK70" t="s">
        <v>1662</v>
      </c>
    </row>
    <row r="71" spans="1:37" x14ac:dyDescent="0.3">
      <c r="A71" t="s">
        <v>1415</v>
      </c>
      <c r="B71" s="56">
        <v>45784.93633753858</v>
      </c>
      <c r="C71" t="s">
        <v>1416</v>
      </c>
      <c r="D71" t="s">
        <v>1417</v>
      </c>
      <c r="E71" s="7">
        <v>37912</v>
      </c>
      <c r="F71" t="s">
        <v>1418</v>
      </c>
      <c r="G71" t="s">
        <v>118</v>
      </c>
      <c r="H71" t="s">
        <v>102</v>
      </c>
      <c r="I71" t="s">
        <v>1419</v>
      </c>
      <c r="J71" t="s">
        <v>4</v>
      </c>
      <c r="K71" t="s">
        <v>692</v>
      </c>
      <c r="L71" t="s">
        <v>115</v>
      </c>
      <c r="M71" t="s">
        <v>1420</v>
      </c>
      <c r="N71" t="s">
        <v>735</v>
      </c>
      <c r="O71" t="s">
        <v>1004</v>
      </c>
      <c r="P71" t="s">
        <v>729</v>
      </c>
      <c r="Q71" t="s">
        <v>106</v>
      </c>
      <c r="R71" t="s">
        <v>106</v>
      </c>
      <c r="S71" t="s">
        <v>106</v>
      </c>
      <c r="T71" t="s">
        <v>730</v>
      </c>
      <c r="U71" t="s">
        <v>1421</v>
      </c>
      <c r="V71" t="s">
        <v>731</v>
      </c>
      <c r="W71" t="s">
        <v>1422</v>
      </c>
      <c r="AB71" t="s">
        <v>733</v>
      </c>
      <c r="AC71" t="s">
        <v>1423</v>
      </c>
      <c r="AD71" t="s">
        <v>764</v>
      </c>
      <c r="AE71" t="s">
        <v>735</v>
      </c>
      <c r="AF71" t="s">
        <v>752</v>
      </c>
      <c r="AG71" t="s">
        <v>753</v>
      </c>
      <c r="AH71" t="s">
        <v>971</v>
      </c>
      <c r="AI71" t="s">
        <v>2</v>
      </c>
      <c r="AJ71" t="s">
        <v>1424</v>
      </c>
      <c r="AK71" t="s">
        <v>1665</v>
      </c>
    </row>
    <row r="72" spans="1:37" hidden="1" x14ac:dyDescent="0.3">
      <c r="A72" t="s">
        <v>1425</v>
      </c>
      <c r="B72" s="56">
        <v>45784.953166435182</v>
      </c>
      <c r="C72" t="s">
        <v>1426</v>
      </c>
      <c r="D72" t="s">
        <v>1427</v>
      </c>
      <c r="E72" s="7">
        <v>36852</v>
      </c>
      <c r="F72" t="s">
        <v>1428</v>
      </c>
      <c r="G72" t="s">
        <v>367</v>
      </c>
      <c r="H72" t="s">
        <v>102</v>
      </c>
      <c r="I72" t="s">
        <v>1429</v>
      </c>
      <c r="J72" t="s">
        <v>4</v>
      </c>
      <c r="K72" t="s">
        <v>126</v>
      </c>
      <c r="L72" t="s">
        <v>115</v>
      </c>
      <c r="M72" t="s">
        <v>1411</v>
      </c>
      <c r="N72" t="s">
        <v>789</v>
      </c>
      <c r="O72" t="s">
        <v>116</v>
      </c>
      <c r="P72" t="s">
        <v>729</v>
      </c>
      <c r="Q72" t="s">
        <v>106</v>
      </c>
      <c r="R72" t="s">
        <v>106</v>
      </c>
      <c r="S72" t="s">
        <v>106</v>
      </c>
      <c r="T72" t="s">
        <v>730</v>
      </c>
      <c r="U72" t="s">
        <v>731</v>
      </c>
      <c r="V72" t="s">
        <v>731</v>
      </c>
      <c r="W72" t="s">
        <v>1430</v>
      </c>
      <c r="X72" t="s">
        <v>1431</v>
      </c>
      <c r="Y72" t="s">
        <v>1432</v>
      </c>
      <c r="Z72" t="s">
        <v>1433</v>
      </c>
      <c r="AB72" t="s">
        <v>733</v>
      </c>
      <c r="AC72" t="s">
        <v>1434</v>
      </c>
      <c r="AD72" t="s">
        <v>733</v>
      </c>
      <c r="AE72" t="s">
        <v>1435</v>
      </c>
      <c r="AF72" t="s">
        <v>752</v>
      </c>
      <c r="AG72" t="s">
        <v>731</v>
      </c>
      <c r="AH72" t="s">
        <v>1436</v>
      </c>
      <c r="AI72" t="s">
        <v>2</v>
      </c>
      <c r="AJ72" t="s">
        <v>1437</v>
      </c>
      <c r="AK72" t="s">
        <v>1655</v>
      </c>
    </row>
    <row r="73" spans="1:37" hidden="1" x14ac:dyDescent="0.3">
      <c r="A73" t="s">
        <v>1438</v>
      </c>
      <c r="B73" s="56">
        <v>45784.965679398148</v>
      </c>
      <c r="C73" t="s">
        <v>1439</v>
      </c>
      <c r="D73" t="s">
        <v>1440</v>
      </c>
      <c r="E73" s="7">
        <v>38077</v>
      </c>
      <c r="F73" t="s">
        <v>1441</v>
      </c>
      <c r="G73" t="s">
        <v>118</v>
      </c>
      <c r="H73" t="s">
        <v>102</v>
      </c>
      <c r="I73" t="s">
        <v>1442</v>
      </c>
      <c r="J73" t="s">
        <v>4</v>
      </c>
      <c r="K73" t="s">
        <v>126</v>
      </c>
      <c r="L73" t="s">
        <v>110</v>
      </c>
      <c r="M73" t="s">
        <v>727</v>
      </c>
      <c r="N73" t="s">
        <v>1443</v>
      </c>
      <c r="O73" t="s">
        <v>116</v>
      </c>
      <c r="P73" t="s">
        <v>729</v>
      </c>
      <c r="Q73" t="s">
        <v>106</v>
      </c>
      <c r="R73" t="s">
        <v>314</v>
      </c>
      <c r="S73" t="s">
        <v>106</v>
      </c>
      <c r="T73" t="s">
        <v>730</v>
      </c>
      <c r="U73" t="s">
        <v>1444</v>
      </c>
      <c r="V73" t="s">
        <v>731</v>
      </c>
      <c r="W73" t="s">
        <v>1445</v>
      </c>
      <c r="X73" t="s">
        <v>1446</v>
      </c>
      <c r="Y73" t="s">
        <v>1447</v>
      </c>
      <c r="Z73" t="s">
        <v>1448</v>
      </c>
      <c r="AB73" t="s">
        <v>1</v>
      </c>
      <c r="AC73" t="s">
        <v>763</v>
      </c>
      <c r="AD73" t="s">
        <v>764</v>
      </c>
      <c r="AE73" t="s">
        <v>733</v>
      </c>
      <c r="AF73" t="s">
        <v>752</v>
      </c>
      <c r="AG73" t="s">
        <v>731</v>
      </c>
      <c r="AH73" t="s">
        <v>1449</v>
      </c>
      <c r="AI73" t="s">
        <v>2</v>
      </c>
      <c r="AJ73" t="s">
        <v>1450</v>
      </c>
      <c r="AK73" t="s">
        <v>1665</v>
      </c>
    </row>
    <row r="74" spans="1:37" hidden="1" x14ac:dyDescent="0.3">
      <c r="A74" t="s">
        <v>1451</v>
      </c>
      <c r="B74" s="56">
        <v>45784.988447878088</v>
      </c>
      <c r="C74" t="s">
        <v>1452</v>
      </c>
      <c r="D74" t="s">
        <v>1453</v>
      </c>
      <c r="E74" s="7">
        <v>30186</v>
      </c>
      <c r="F74" t="s">
        <v>1454</v>
      </c>
      <c r="G74" t="s">
        <v>367</v>
      </c>
      <c r="H74" t="s">
        <v>102</v>
      </c>
      <c r="I74" t="s">
        <v>1455</v>
      </c>
      <c r="J74" t="s">
        <v>4</v>
      </c>
      <c r="K74" t="s">
        <v>745</v>
      </c>
      <c r="L74" t="s">
        <v>122</v>
      </c>
      <c r="M74" t="s">
        <v>760</v>
      </c>
      <c r="N74" t="s">
        <v>809</v>
      </c>
      <c r="O74" t="s">
        <v>116</v>
      </c>
      <c r="P74" t="s">
        <v>729</v>
      </c>
      <c r="Q74" t="s">
        <v>106</v>
      </c>
      <c r="R74" t="s">
        <v>106</v>
      </c>
      <c r="S74" t="s">
        <v>106</v>
      </c>
      <c r="T74" t="s">
        <v>713</v>
      </c>
      <c r="U74" t="s">
        <v>1456</v>
      </c>
      <c r="V74" t="s">
        <v>731</v>
      </c>
      <c r="W74" t="s">
        <v>1457</v>
      </c>
      <c r="X74" t="s">
        <v>1458</v>
      </c>
      <c r="Y74" t="s">
        <v>1029</v>
      </c>
      <c r="Z74" t="s">
        <v>1459</v>
      </c>
      <c r="AB74" t="s">
        <v>1</v>
      </c>
      <c r="AC74" t="s">
        <v>1460</v>
      </c>
      <c r="AD74" t="s">
        <v>800</v>
      </c>
      <c r="AE74" t="s">
        <v>1032</v>
      </c>
      <c r="AF74" t="s">
        <v>790</v>
      </c>
      <c r="AG74" t="s">
        <v>904</v>
      </c>
      <c r="AH74" t="s">
        <v>1461</v>
      </c>
      <c r="AI74" t="s">
        <v>2</v>
      </c>
      <c r="AJ74" t="s">
        <v>1462</v>
      </c>
      <c r="AK74" t="s">
        <v>1674</v>
      </c>
    </row>
    <row r="75" spans="1:37" hidden="1" x14ac:dyDescent="0.3">
      <c r="A75" t="s">
        <v>1463</v>
      </c>
      <c r="B75" s="56">
        <v>45785.019618942904</v>
      </c>
      <c r="C75" t="s">
        <v>1464</v>
      </c>
      <c r="D75" t="s">
        <v>1465</v>
      </c>
      <c r="E75" s="7">
        <v>37909</v>
      </c>
      <c r="F75" t="s">
        <v>1466</v>
      </c>
      <c r="G75" t="s">
        <v>118</v>
      </c>
      <c r="H75" t="s">
        <v>102</v>
      </c>
      <c r="I75" t="s">
        <v>1567</v>
      </c>
      <c r="J75" t="s">
        <v>4</v>
      </c>
      <c r="K75" t="s">
        <v>123</v>
      </c>
      <c r="L75" t="s">
        <v>115</v>
      </c>
      <c r="M75" t="s">
        <v>760</v>
      </c>
      <c r="N75" t="s">
        <v>1116</v>
      </c>
      <c r="O75" t="s">
        <v>118</v>
      </c>
      <c r="P75" t="s">
        <v>729</v>
      </c>
      <c r="Q75" t="s">
        <v>106</v>
      </c>
      <c r="R75" t="s">
        <v>106</v>
      </c>
      <c r="S75" t="s">
        <v>106</v>
      </c>
      <c r="T75" t="s">
        <v>730</v>
      </c>
      <c r="U75" t="s">
        <v>731</v>
      </c>
      <c r="V75" t="s">
        <v>731</v>
      </c>
      <c r="W75" t="s">
        <v>1467</v>
      </c>
      <c r="AB75" t="s">
        <v>733</v>
      </c>
      <c r="AC75" t="s">
        <v>1468</v>
      </c>
      <c r="AD75" t="s">
        <v>1032</v>
      </c>
      <c r="AE75" t="s">
        <v>835</v>
      </c>
      <c r="AF75" t="s">
        <v>752</v>
      </c>
      <c r="AG75" t="s">
        <v>731</v>
      </c>
      <c r="AH75" t="s">
        <v>1469</v>
      </c>
      <c r="AI75" t="s">
        <v>2</v>
      </c>
      <c r="AJ75" t="s">
        <v>1470</v>
      </c>
      <c r="AK75" t="s">
        <v>1665</v>
      </c>
    </row>
    <row r="76" spans="1:37" hidden="1" x14ac:dyDescent="0.3">
      <c r="A76" t="s">
        <v>1471</v>
      </c>
      <c r="B76" s="56">
        <v>45785.403321874997</v>
      </c>
      <c r="C76" t="s">
        <v>1472</v>
      </c>
      <c r="D76" t="s">
        <v>1473</v>
      </c>
      <c r="E76" s="7">
        <v>36013</v>
      </c>
      <c r="F76" t="s">
        <v>1474</v>
      </c>
      <c r="G76" t="s">
        <v>124</v>
      </c>
      <c r="H76" t="s">
        <v>102</v>
      </c>
      <c r="I76" t="s">
        <v>1475</v>
      </c>
      <c r="J76" t="s">
        <v>4</v>
      </c>
      <c r="K76" t="s">
        <v>1476</v>
      </c>
      <c r="L76" t="s">
        <v>110</v>
      </c>
      <c r="M76" t="s">
        <v>760</v>
      </c>
      <c r="N76" t="s">
        <v>835</v>
      </c>
      <c r="O76" t="s">
        <v>1004</v>
      </c>
      <c r="P76" t="s">
        <v>729</v>
      </c>
      <c r="Q76" t="s">
        <v>106</v>
      </c>
      <c r="R76" t="s">
        <v>106</v>
      </c>
      <c r="S76" t="s">
        <v>106</v>
      </c>
      <c r="T76" t="s">
        <v>713</v>
      </c>
      <c r="U76" t="s">
        <v>731</v>
      </c>
      <c r="V76" t="s">
        <v>731</v>
      </c>
      <c r="W76" t="s">
        <v>1477</v>
      </c>
      <c r="AB76" t="s">
        <v>1</v>
      </c>
      <c r="AC76" t="s">
        <v>1478</v>
      </c>
      <c r="AD76" t="s">
        <v>1032</v>
      </c>
      <c r="AE76" t="s">
        <v>1479</v>
      </c>
      <c r="AF76" t="s">
        <v>752</v>
      </c>
      <c r="AG76" t="s">
        <v>731</v>
      </c>
      <c r="AH76" t="s">
        <v>1480</v>
      </c>
      <c r="AI76" t="s">
        <v>2</v>
      </c>
      <c r="AJ76" t="s">
        <v>1481</v>
      </c>
      <c r="AK76" t="s">
        <v>1669</v>
      </c>
    </row>
    <row r="77" spans="1:37" hidden="1" x14ac:dyDescent="0.3">
      <c r="A77" t="s">
        <v>1482</v>
      </c>
      <c r="B77" s="56">
        <v>45785.537787499998</v>
      </c>
      <c r="C77" t="s">
        <v>1483</v>
      </c>
      <c r="D77" t="s">
        <v>1484</v>
      </c>
      <c r="E77" s="7">
        <v>37478</v>
      </c>
      <c r="F77" t="s">
        <v>1485</v>
      </c>
      <c r="G77" t="s">
        <v>148</v>
      </c>
      <c r="H77" t="s">
        <v>102</v>
      </c>
      <c r="I77" t="s">
        <v>1568</v>
      </c>
      <c r="J77" t="s">
        <v>4</v>
      </c>
      <c r="K77" t="s">
        <v>413</v>
      </c>
      <c r="L77" t="s">
        <v>104</v>
      </c>
      <c r="M77" t="s">
        <v>760</v>
      </c>
      <c r="N77" t="s">
        <v>1337</v>
      </c>
      <c r="O77" t="s">
        <v>105</v>
      </c>
      <c r="P77" t="s">
        <v>729</v>
      </c>
      <c r="Q77" t="s">
        <v>106</v>
      </c>
      <c r="R77" t="s">
        <v>106</v>
      </c>
      <c r="S77" t="s">
        <v>106</v>
      </c>
      <c r="T77" t="s">
        <v>713</v>
      </c>
      <c r="U77" t="s">
        <v>731</v>
      </c>
      <c r="V77" t="s">
        <v>731</v>
      </c>
      <c r="W77" t="s">
        <v>1486</v>
      </c>
      <c r="AB77" t="s">
        <v>733</v>
      </c>
      <c r="AC77" t="s">
        <v>763</v>
      </c>
      <c r="AD77" t="s">
        <v>1008</v>
      </c>
      <c r="AE77" t="s">
        <v>1487</v>
      </c>
      <c r="AF77" t="s">
        <v>752</v>
      </c>
      <c r="AG77" t="s">
        <v>731</v>
      </c>
      <c r="AH77" t="s">
        <v>1488</v>
      </c>
      <c r="AI77" t="s">
        <v>2</v>
      </c>
      <c r="AJ77" t="s">
        <v>1489</v>
      </c>
      <c r="AK77" t="s">
        <v>1659</v>
      </c>
    </row>
    <row r="78" spans="1:37" hidden="1" x14ac:dyDescent="0.3">
      <c r="A78" t="s">
        <v>1490</v>
      </c>
      <c r="B78" s="56">
        <v>45785.711617399691</v>
      </c>
      <c r="C78" t="s">
        <v>1491</v>
      </c>
      <c r="D78" t="s">
        <v>1492</v>
      </c>
      <c r="E78" s="7">
        <v>31032</v>
      </c>
      <c r="F78" t="s">
        <v>1493</v>
      </c>
      <c r="G78" t="s">
        <v>112</v>
      </c>
      <c r="H78" t="s">
        <v>102</v>
      </c>
      <c r="I78" t="s">
        <v>1494</v>
      </c>
      <c r="J78" t="s">
        <v>4</v>
      </c>
      <c r="K78" t="s">
        <v>132</v>
      </c>
      <c r="L78" t="s">
        <v>121</v>
      </c>
      <c r="M78" t="s">
        <v>727</v>
      </c>
      <c r="N78" t="s">
        <v>944</v>
      </c>
      <c r="O78" t="s">
        <v>1890</v>
      </c>
      <c r="P78" t="s">
        <v>729</v>
      </c>
      <c r="Q78" t="s">
        <v>106</v>
      </c>
      <c r="R78" t="s">
        <v>106</v>
      </c>
      <c r="S78" t="s">
        <v>106</v>
      </c>
      <c r="T78" t="s">
        <v>713</v>
      </c>
      <c r="U78" t="s">
        <v>1495</v>
      </c>
      <c r="V78" t="s">
        <v>731</v>
      </c>
      <c r="W78" t="s">
        <v>1496</v>
      </c>
      <c r="AB78" t="s">
        <v>733</v>
      </c>
      <c r="AC78" t="s">
        <v>1497</v>
      </c>
      <c r="AD78" t="s">
        <v>764</v>
      </c>
      <c r="AE78" t="s">
        <v>1498</v>
      </c>
      <c r="AF78" t="s">
        <v>790</v>
      </c>
      <c r="AG78" t="s">
        <v>731</v>
      </c>
      <c r="AH78" t="s">
        <v>1499</v>
      </c>
      <c r="AI78" t="s">
        <v>2</v>
      </c>
      <c r="AJ78" t="s">
        <v>1500</v>
      </c>
      <c r="AK78" t="s">
        <v>1661</v>
      </c>
    </row>
    <row r="79" spans="1:37" hidden="1" x14ac:dyDescent="0.3">
      <c r="A79" t="s">
        <v>1501</v>
      </c>
      <c r="B79" s="56">
        <v>45785.801697646602</v>
      </c>
      <c r="C79" t="s">
        <v>1502</v>
      </c>
      <c r="D79" t="s">
        <v>1503</v>
      </c>
      <c r="E79" s="7">
        <v>34653</v>
      </c>
      <c r="F79" t="s">
        <v>1504</v>
      </c>
      <c r="G79" t="s">
        <v>1505</v>
      </c>
      <c r="H79" t="s">
        <v>102</v>
      </c>
      <c r="I79" t="s">
        <v>1506</v>
      </c>
      <c r="J79" t="s">
        <v>4</v>
      </c>
      <c r="K79" t="s">
        <v>109</v>
      </c>
      <c r="L79" t="s">
        <v>122</v>
      </c>
      <c r="M79" t="s">
        <v>1507</v>
      </c>
      <c r="N79" t="s">
        <v>1508</v>
      </c>
      <c r="O79" t="s">
        <v>111</v>
      </c>
      <c r="P79" t="s">
        <v>729</v>
      </c>
      <c r="Q79" t="s">
        <v>106</v>
      </c>
      <c r="R79" t="s">
        <v>106</v>
      </c>
      <c r="S79" t="s">
        <v>106</v>
      </c>
      <c r="T79" t="s">
        <v>713</v>
      </c>
      <c r="U79" t="s">
        <v>731</v>
      </c>
      <c r="V79" t="s">
        <v>731</v>
      </c>
      <c r="W79" t="s">
        <v>1509</v>
      </c>
      <c r="AB79" t="s">
        <v>1</v>
      </c>
      <c r="AC79" t="s">
        <v>1510</v>
      </c>
      <c r="AD79" t="s">
        <v>1511</v>
      </c>
      <c r="AE79" t="s">
        <v>1508</v>
      </c>
      <c r="AF79" t="s">
        <v>752</v>
      </c>
      <c r="AG79" t="s">
        <v>731</v>
      </c>
      <c r="AH79" t="s">
        <v>1512</v>
      </c>
      <c r="AI79" t="s">
        <v>2</v>
      </c>
      <c r="AJ79" t="s">
        <v>1513</v>
      </c>
      <c r="AK79" t="s">
        <v>1666</v>
      </c>
    </row>
    <row r="80" spans="1:37" hidden="1" x14ac:dyDescent="0.3">
      <c r="A80" t="s">
        <v>1559</v>
      </c>
      <c r="B80" s="56">
        <v>45785.813260493829</v>
      </c>
      <c r="C80" t="s">
        <v>1514</v>
      </c>
      <c r="D80" t="s">
        <v>1515</v>
      </c>
      <c r="E80" s="7">
        <v>38828</v>
      </c>
      <c r="F80" t="s">
        <v>1516</v>
      </c>
      <c r="G80" t="s">
        <v>367</v>
      </c>
      <c r="H80" t="s">
        <v>102</v>
      </c>
      <c r="I80" t="s">
        <v>1569</v>
      </c>
      <c r="J80" t="s">
        <v>4</v>
      </c>
      <c r="K80" t="s">
        <v>126</v>
      </c>
      <c r="L80" t="s">
        <v>122</v>
      </c>
      <c r="M80" t="s">
        <v>727</v>
      </c>
      <c r="N80" t="s">
        <v>844</v>
      </c>
      <c r="O80" t="s">
        <v>116</v>
      </c>
      <c r="P80" t="s">
        <v>106</v>
      </c>
      <c r="Q80" t="s">
        <v>106</v>
      </c>
      <c r="R80" t="s">
        <v>106</v>
      </c>
      <c r="S80" t="s">
        <v>106</v>
      </c>
      <c r="T80" t="s">
        <v>713</v>
      </c>
      <c r="U80" t="s">
        <v>731</v>
      </c>
      <c r="V80" t="s">
        <v>846</v>
      </c>
      <c r="W80" t="s">
        <v>1517</v>
      </c>
      <c r="AB80" t="s">
        <v>733</v>
      </c>
      <c r="AC80" t="s">
        <v>1518</v>
      </c>
      <c r="AD80" t="s">
        <v>880</v>
      </c>
      <c r="AE80" t="s">
        <v>844</v>
      </c>
      <c r="AF80" t="s">
        <v>752</v>
      </c>
      <c r="AG80" t="s">
        <v>731</v>
      </c>
      <c r="AH80" t="s">
        <v>1519</v>
      </c>
      <c r="AI80" t="s">
        <v>2</v>
      </c>
      <c r="AJ80" t="s">
        <v>1520</v>
      </c>
      <c r="AK80" t="s">
        <v>1660</v>
      </c>
    </row>
    <row r="81" spans="1:37" hidden="1" x14ac:dyDescent="0.3">
      <c r="A81" t="s">
        <v>1521</v>
      </c>
      <c r="B81" s="56">
        <v>45785.88137229938</v>
      </c>
      <c r="C81" t="s">
        <v>1522</v>
      </c>
      <c r="D81" t="s">
        <v>3004</v>
      </c>
      <c r="E81" s="7">
        <v>37505</v>
      </c>
      <c r="F81" t="s">
        <v>1524</v>
      </c>
      <c r="G81" t="s">
        <v>367</v>
      </c>
      <c r="H81" t="s">
        <v>102</v>
      </c>
      <c r="I81" t="s">
        <v>1525</v>
      </c>
      <c r="J81" t="s">
        <v>4</v>
      </c>
      <c r="K81" t="s">
        <v>126</v>
      </c>
      <c r="L81" t="s">
        <v>110</v>
      </c>
      <c r="M81" t="s">
        <v>727</v>
      </c>
      <c r="N81" t="s">
        <v>835</v>
      </c>
      <c r="O81" t="s">
        <v>116</v>
      </c>
      <c r="P81" t="s">
        <v>729</v>
      </c>
      <c r="Q81" t="s">
        <v>106</v>
      </c>
      <c r="R81" t="s">
        <v>106</v>
      </c>
      <c r="S81" t="s">
        <v>106</v>
      </c>
      <c r="T81" t="s">
        <v>713</v>
      </c>
      <c r="U81" t="s">
        <v>1526</v>
      </c>
      <c r="V81" t="s">
        <v>846</v>
      </c>
      <c r="W81" t="s">
        <v>1527</v>
      </c>
      <c r="AB81" t="s">
        <v>733</v>
      </c>
      <c r="AC81" t="s">
        <v>1528</v>
      </c>
      <c r="AD81" t="s">
        <v>1148</v>
      </c>
      <c r="AE81" t="s">
        <v>986</v>
      </c>
      <c r="AF81" t="s">
        <v>752</v>
      </c>
      <c r="AG81" t="s">
        <v>753</v>
      </c>
      <c r="AH81" t="s">
        <v>1529</v>
      </c>
      <c r="AI81" t="s">
        <v>1</v>
      </c>
      <c r="AJ81" t="s">
        <v>1530</v>
      </c>
      <c r="AK81" t="s">
        <v>1659</v>
      </c>
    </row>
    <row r="82" spans="1:37" hidden="1" x14ac:dyDescent="0.3">
      <c r="A82" t="s">
        <v>1531</v>
      </c>
      <c r="B82" s="56">
        <v>45786.410861033954</v>
      </c>
      <c r="C82" t="s">
        <v>1532</v>
      </c>
      <c r="D82" t="s">
        <v>1533</v>
      </c>
      <c r="E82" s="7">
        <v>30346</v>
      </c>
      <c r="F82" t="s">
        <v>1534</v>
      </c>
      <c r="G82" t="s">
        <v>923</v>
      </c>
      <c r="H82" t="s">
        <v>102</v>
      </c>
      <c r="I82" t="s">
        <v>1535</v>
      </c>
      <c r="J82" t="s">
        <v>4</v>
      </c>
      <c r="K82" t="s">
        <v>3054</v>
      </c>
      <c r="L82" t="s">
        <v>110</v>
      </c>
      <c r="M82" t="s">
        <v>1537</v>
      </c>
      <c r="N82" t="s">
        <v>940</v>
      </c>
      <c r="O82" t="s">
        <v>1719</v>
      </c>
      <c r="P82" t="s">
        <v>729</v>
      </c>
      <c r="Q82" t="s">
        <v>106</v>
      </c>
      <c r="R82" t="s">
        <v>110</v>
      </c>
      <c r="S82" t="s">
        <v>106</v>
      </c>
      <c r="T82" t="s">
        <v>713</v>
      </c>
      <c r="U82" t="s">
        <v>731</v>
      </c>
      <c r="V82" t="s">
        <v>731</v>
      </c>
      <c r="W82" t="s">
        <v>1538</v>
      </c>
      <c r="X82" t="s">
        <v>927</v>
      </c>
      <c r="Y82" t="s">
        <v>928</v>
      </c>
      <c r="Z82" t="s">
        <v>1539</v>
      </c>
      <c r="AA82" t="s">
        <v>733</v>
      </c>
      <c r="AB82" t="s">
        <v>733</v>
      </c>
      <c r="AC82" t="s">
        <v>931</v>
      </c>
      <c r="AD82" t="s">
        <v>735</v>
      </c>
      <c r="AE82" t="s">
        <v>733</v>
      </c>
      <c r="AF82" t="s">
        <v>790</v>
      </c>
      <c r="AG82" t="s">
        <v>753</v>
      </c>
      <c r="AH82" t="s">
        <v>1540</v>
      </c>
      <c r="AI82" t="s">
        <v>2</v>
      </c>
      <c r="AJ82" t="s">
        <v>1541</v>
      </c>
      <c r="AK82" t="s">
        <v>1674</v>
      </c>
    </row>
    <row r="83" spans="1:37" hidden="1" x14ac:dyDescent="0.3">
      <c r="A83" t="s">
        <v>1542</v>
      </c>
      <c r="B83" s="56">
        <v>45786.634864544751</v>
      </c>
      <c r="C83" t="s">
        <v>1543</v>
      </c>
      <c r="D83" t="s">
        <v>1544</v>
      </c>
      <c r="E83" s="7">
        <v>32059</v>
      </c>
      <c r="F83" t="s">
        <v>1545</v>
      </c>
      <c r="G83" t="s">
        <v>112</v>
      </c>
      <c r="H83" t="s">
        <v>102</v>
      </c>
      <c r="I83" t="s">
        <v>1546</v>
      </c>
      <c r="J83" t="s">
        <v>4</v>
      </c>
      <c r="K83" t="s">
        <v>1300</v>
      </c>
      <c r="L83" t="s">
        <v>117</v>
      </c>
      <c r="M83" t="s">
        <v>1547</v>
      </c>
      <c r="N83" t="s">
        <v>774</v>
      </c>
      <c r="O83" t="s">
        <v>1890</v>
      </c>
      <c r="P83" t="s">
        <v>729</v>
      </c>
      <c r="Q83" t="s">
        <v>106</v>
      </c>
      <c r="R83" t="s">
        <v>106</v>
      </c>
      <c r="S83" t="s">
        <v>106</v>
      </c>
      <c r="T83" t="s">
        <v>730</v>
      </c>
      <c r="U83" t="s">
        <v>731</v>
      </c>
      <c r="V83" t="s">
        <v>731</v>
      </c>
      <c r="W83" t="s">
        <v>1548</v>
      </c>
      <c r="AB83" t="s">
        <v>733</v>
      </c>
      <c r="AC83" t="s">
        <v>1549</v>
      </c>
      <c r="AD83" t="s">
        <v>1550</v>
      </c>
      <c r="AE83" t="s">
        <v>774</v>
      </c>
      <c r="AF83" t="s">
        <v>752</v>
      </c>
      <c r="AG83" t="s">
        <v>753</v>
      </c>
      <c r="AH83" t="s">
        <v>1551</v>
      </c>
      <c r="AI83" t="s">
        <v>2</v>
      </c>
      <c r="AJ83" t="s">
        <v>1552</v>
      </c>
      <c r="AK83" t="s">
        <v>1675</v>
      </c>
    </row>
    <row r="84" spans="1:37" hidden="1" x14ac:dyDescent="0.3">
      <c r="A84" t="s">
        <v>1628</v>
      </c>
      <c r="B84" s="56">
        <v>45786.850502584879</v>
      </c>
      <c r="C84" t="s">
        <v>1629</v>
      </c>
      <c r="D84" t="s">
        <v>1630</v>
      </c>
      <c r="E84" s="7">
        <v>31412</v>
      </c>
      <c r="F84" t="s">
        <v>1631</v>
      </c>
      <c r="G84" t="s">
        <v>771</v>
      </c>
      <c r="H84" t="s">
        <v>102</v>
      </c>
      <c r="I84" t="s">
        <v>1632</v>
      </c>
      <c r="J84" t="s">
        <v>4</v>
      </c>
      <c r="K84" t="s">
        <v>1300</v>
      </c>
      <c r="L84" t="s">
        <v>115</v>
      </c>
      <c r="M84" t="s">
        <v>760</v>
      </c>
      <c r="N84" t="s">
        <v>1633</v>
      </c>
      <c r="O84" t="s">
        <v>1890</v>
      </c>
      <c r="P84" t="s">
        <v>106</v>
      </c>
      <c r="Q84" t="s">
        <v>106</v>
      </c>
      <c r="R84" t="s">
        <v>106</v>
      </c>
      <c r="S84" t="s">
        <v>106</v>
      </c>
      <c r="T84" t="s">
        <v>713</v>
      </c>
      <c r="U84" t="s">
        <v>731</v>
      </c>
      <c r="V84" t="s">
        <v>731</v>
      </c>
      <c r="W84" t="s">
        <v>1634</v>
      </c>
      <c r="X84" t="s">
        <v>1635</v>
      </c>
      <c r="Y84" t="s">
        <v>1636</v>
      </c>
      <c r="Z84" t="s">
        <v>1637</v>
      </c>
      <c r="AB84" t="s">
        <v>733</v>
      </c>
      <c r="AC84" t="s">
        <v>1638</v>
      </c>
      <c r="AD84" t="s">
        <v>1639</v>
      </c>
      <c r="AE84" t="s">
        <v>736</v>
      </c>
      <c r="AF84" t="s">
        <v>752</v>
      </c>
      <c r="AG84" t="s">
        <v>904</v>
      </c>
      <c r="AH84" t="s">
        <v>1640</v>
      </c>
      <c r="AI84" t="s">
        <v>1</v>
      </c>
      <c r="AJ84" t="s">
        <v>1641</v>
      </c>
      <c r="AK84" t="s">
        <v>1672</v>
      </c>
    </row>
    <row r="85" spans="1:37" hidden="1" x14ac:dyDescent="0.3">
      <c r="A85" t="s">
        <v>1602</v>
      </c>
      <c r="B85" s="56">
        <v>45786.858616898149</v>
      </c>
      <c r="C85" t="s">
        <v>1603</v>
      </c>
      <c r="D85" t="s">
        <v>1604</v>
      </c>
      <c r="E85" s="7">
        <v>35728</v>
      </c>
      <c r="F85" t="s">
        <v>1605</v>
      </c>
      <c r="G85" t="s">
        <v>367</v>
      </c>
      <c r="H85" t="s">
        <v>102</v>
      </c>
      <c r="I85" t="s">
        <v>1606</v>
      </c>
      <c r="J85" t="s">
        <v>4</v>
      </c>
      <c r="K85" t="s">
        <v>745</v>
      </c>
      <c r="L85" t="s">
        <v>121</v>
      </c>
      <c r="M85" t="s">
        <v>773</v>
      </c>
      <c r="N85" t="s">
        <v>986</v>
      </c>
      <c r="O85" t="s">
        <v>116</v>
      </c>
      <c r="P85" t="s">
        <v>729</v>
      </c>
      <c r="Q85" t="s">
        <v>106</v>
      </c>
      <c r="R85" t="s">
        <v>106</v>
      </c>
      <c r="S85" t="s">
        <v>106</v>
      </c>
      <c r="T85" t="s">
        <v>120</v>
      </c>
      <c r="U85" t="s">
        <v>731</v>
      </c>
      <c r="V85" t="s">
        <v>731</v>
      </c>
      <c r="W85" t="s">
        <v>1607</v>
      </c>
      <c r="AB85" t="s">
        <v>1</v>
      </c>
      <c r="AC85" t="s">
        <v>1608</v>
      </c>
      <c r="AD85" t="s">
        <v>764</v>
      </c>
      <c r="AE85" t="s">
        <v>733</v>
      </c>
      <c r="AF85" t="s">
        <v>752</v>
      </c>
      <c r="AG85" t="s">
        <v>731</v>
      </c>
      <c r="AH85" t="s">
        <v>1609</v>
      </c>
      <c r="AI85" t="s">
        <v>2</v>
      </c>
      <c r="AJ85" t="s">
        <v>1610</v>
      </c>
      <c r="AK85" t="s">
        <v>1670</v>
      </c>
    </row>
    <row r="86" spans="1:37" hidden="1" x14ac:dyDescent="0.3">
      <c r="A86" t="s">
        <v>1611</v>
      </c>
      <c r="B86" s="56">
        <v>45786.880946373458</v>
      </c>
      <c r="C86" t="s">
        <v>1612</v>
      </c>
      <c r="D86" t="s">
        <v>1613</v>
      </c>
      <c r="E86" s="7">
        <v>36853</v>
      </c>
      <c r="F86" t="s">
        <v>1614</v>
      </c>
      <c r="G86" t="s">
        <v>118</v>
      </c>
      <c r="H86" t="s">
        <v>102</v>
      </c>
      <c r="I86" t="s">
        <v>1615</v>
      </c>
      <c r="J86" t="s">
        <v>4</v>
      </c>
      <c r="K86" t="s">
        <v>1253</v>
      </c>
      <c r="L86" t="s">
        <v>110</v>
      </c>
      <c r="M86" t="s">
        <v>1058</v>
      </c>
      <c r="N86" t="s">
        <v>835</v>
      </c>
      <c r="O86" t="s">
        <v>105</v>
      </c>
      <c r="P86" t="s">
        <v>729</v>
      </c>
      <c r="Q86" t="s">
        <v>106</v>
      </c>
      <c r="R86" t="s">
        <v>106</v>
      </c>
      <c r="S86" t="s">
        <v>106</v>
      </c>
      <c r="T86" t="s">
        <v>713</v>
      </c>
      <c r="U86" t="s">
        <v>731</v>
      </c>
      <c r="V86" t="s">
        <v>731</v>
      </c>
      <c r="W86" t="s">
        <v>1616</v>
      </c>
      <c r="AA86" t="s">
        <v>1617</v>
      </c>
      <c r="AB86" t="s">
        <v>1</v>
      </c>
      <c r="AC86" t="s">
        <v>763</v>
      </c>
      <c r="AD86" t="s">
        <v>986</v>
      </c>
      <c r="AE86" t="s">
        <v>735</v>
      </c>
      <c r="AF86" t="s">
        <v>752</v>
      </c>
      <c r="AG86" t="s">
        <v>731</v>
      </c>
      <c r="AH86" t="s">
        <v>1618</v>
      </c>
      <c r="AI86" t="s">
        <v>2</v>
      </c>
      <c r="AJ86" t="s">
        <v>1619</v>
      </c>
      <c r="AK86" t="s">
        <v>1655</v>
      </c>
    </row>
    <row r="87" spans="1:37" hidden="1" x14ac:dyDescent="0.3">
      <c r="A87" t="s">
        <v>1620</v>
      </c>
      <c r="B87" s="56">
        <v>45787.023777739196</v>
      </c>
      <c r="C87" t="s">
        <v>1621</v>
      </c>
      <c r="D87" t="s">
        <v>1622</v>
      </c>
      <c r="E87" s="7">
        <v>37437</v>
      </c>
      <c r="F87" t="s">
        <v>1623</v>
      </c>
      <c r="G87" t="s">
        <v>367</v>
      </c>
      <c r="H87" t="s">
        <v>102</v>
      </c>
      <c r="I87" t="s">
        <v>1624</v>
      </c>
      <c r="J87" t="s">
        <v>4</v>
      </c>
      <c r="K87" t="s">
        <v>745</v>
      </c>
      <c r="L87" t="s">
        <v>117</v>
      </c>
      <c r="M87" t="s">
        <v>889</v>
      </c>
      <c r="N87" t="s">
        <v>736</v>
      </c>
      <c r="O87" t="s">
        <v>116</v>
      </c>
      <c r="P87" t="s">
        <v>106</v>
      </c>
      <c r="Q87" t="s">
        <v>106</v>
      </c>
      <c r="R87" t="s">
        <v>106</v>
      </c>
      <c r="S87" t="s">
        <v>106</v>
      </c>
      <c r="T87" t="s">
        <v>713</v>
      </c>
      <c r="U87" t="s">
        <v>731</v>
      </c>
      <c r="V87" t="s">
        <v>846</v>
      </c>
      <c r="W87" t="s">
        <v>1625</v>
      </c>
      <c r="AB87" t="s">
        <v>1</v>
      </c>
      <c r="AC87" t="s">
        <v>763</v>
      </c>
      <c r="AD87" t="s">
        <v>1148</v>
      </c>
      <c r="AE87" t="s">
        <v>736</v>
      </c>
      <c r="AF87" t="s">
        <v>752</v>
      </c>
      <c r="AG87" t="s">
        <v>731</v>
      </c>
      <c r="AH87" t="s">
        <v>1626</v>
      </c>
      <c r="AI87" t="s">
        <v>2</v>
      </c>
      <c r="AJ87" t="s">
        <v>1627</v>
      </c>
      <c r="AK87" t="s">
        <v>1656</v>
      </c>
    </row>
    <row r="88" spans="1:37" hidden="1" x14ac:dyDescent="0.3">
      <c r="A88" t="s">
        <v>1642</v>
      </c>
      <c r="B88" s="56">
        <v>45788.95881585648</v>
      </c>
      <c r="C88" t="s">
        <v>1643</v>
      </c>
      <c r="D88" t="s">
        <v>1644</v>
      </c>
      <c r="E88" s="7">
        <v>35596</v>
      </c>
      <c r="F88" t="s">
        <v>1645</v>
      </c>
      <c r="G88" t="s">
        <v>112</v>
      </c>
      <c r="H88" t="s">
        <v>102</v>
      </c>
      <c r="I88" t="s">
        <v>1646</v>
      </c>
      <c r="J88" t="s">
        <v>4</v>
      </c>
      <c r="K88" t="s">
        <v>386</v>
      </c>
      <c r="L88" t="s">
        <v>121</v>
      </c>
      <c r="M88" t="s">
        <v>1647</v>
      </c>
      <c r="N88" t="s">
        <v>736</v>
      </c>
      <c r="O88" t="s">
        <v>1890</v>
      </c>
      <c r="P88" t="s">
        <v>119</v>
      </c>
      <c r="Q88" t="s">
        <v>1648</v>
      </c>
      <c r="R88" t="s">
        <v>115</v>
      </c>
      <c r="S88" t="s">
        <v>106</v>
      </c>
      <c r="T88" t="s">
        <v>713</v>
      </c>
      <c r="U88" t="s">
        <v>731</v>
      </c>
      <c r="V88" t="s">
        <v>731</v>
      </c>
      <c r="W88" t="s">
        <v>1649</v>
      </c>
      <c r="X88" t="s">
        <v>1650</v>
      </c>
      <c r="Y88" t="s">
        <v>1334</v>
      </c>
      <c r="Z88" t="s">
        <v>1651</v>
      </c>
      <c r="AB88" t="s">
        <v>1</v>
      </c>
      <c r="AC88" t="s">
        <v>1652</v>
      </c>
      <c r="AD88" t="s">
        <v>986</v>
      </c>
      <c r="AE88" t="s">
        <v>764</v>
      </c>
      <c r="AF88" t="s">
        <v>752</v>
      </c>
      <c r="AG88" t="s">
        <v>731</v>
      </c>
      <c r="AH88" t="s">
        <v>971</v>
      </c>
      <c r="AI88" t="s">
        <v>2</v>
      </c>
      <c r="AJ88" t="s">
        <v>1653</v>
      </c>
      <c r="AK88" t="s">
        <v>1673</v>
      </c>
    </row>
    <row r="89" spans="1:37" hidden="1" x14ac:dyDescent="0.3">
      <c r="A89" t="s">
        <v>282</v>
      </c>
      <c r="B89" s="56">
        <v>45789.508950270065</v>
      </c>
      <c r="C89" t="s">
        <v>283</v>
      </c>
      <c r="D89" t="s">
        <v>1680</v>
      </c>
      <c r="E89" s="7">
        <v>35493</v>
      </c>
      <c r="F89" t="s">
        <v>1681</v>
      </c>
      <c r="G89" t="s">
        <v>108</v>
      </c>
      <c r="H89" t="s">
        <v>102</v>
      </c>
      <c r="I89" t="s">
        <v>285</v>
      </c>
      <c r="J89" t="s">
        <v>5</v>
      </c>
      <c r="K89" t="s">
        <v>109</v>
      </c>
      <c r="L89" t="s">
        <v>104</v>
      </c>
      <c r="M89" t="s">
        <v>1682</v>
      </c>
      <c r="N89" t="s">
        <v>1683</v>
      </c>
      <c r="O89" t="s">
        <v>111</v>
      </c>
      <c r="P89" t="s">
        <v>141</v>
      </c>
      <c r="Q89" t="s">
        <v>286</v>
      </c>
      <c r="R89" t="s">
        <v>104</v>
      </c>
      <c r="S89" t="s">
        <v>104</v>
      </c>
      <c r="T89" t="s">
        <v>713</v>
      </c>
      <c r="U89" t="s">
        <v>731</v>
      </c>
      <c r="V89" t="s">
        <v>731</v>
      </c>
      <c r="W89" t="s">
        <v>1684</v>
      </c>
      <c r="AB89" t="s">
        <v>733</v>
      </c>
      <c r="AC89" t="s">
        <v>1685</v>
      </c>
      <c r="AD89" t="s">
        <v>1686</v>
      </c>
      <c r="AE89" t="s">
        <v>1687</v>
      </c>
      <c r="AF89" t="s">
        <v>752</v>
      </c>
      <c r="AG89" t="s">
        <v>1009</v>
      </c>
      <c r="AH89" t="s">
        <v>971</v>
      </c>
      <c r="AI89" t="s">
        <v>2</v>
      </c>
      <c r="AJ89" t="s">
        <v>1688</v>
      </c>
      <c r="AK89" t="s">
        <v>1673</v>
      </c>
    </row>
    <row r="90" spans="1:37" hidden="1" x14ac:dyDescent="0.3">
      <c r="A90" t="s">
        <v>221</v>
      </c>
      <c r="B90" s="56">
        <v>45789.520107716053</v>
      </c>
      <c r="C90" t="s">
        <v>1690</v>
      </c>
      <c r="D90" t="s">
        <v>223</v>
      </c>
      <c r="E90" s="7">
        <v>29136</v>
      </c>
      <c r="F90" t="s">
        <v>224</v>
      </c>
      <c r="G90" t="s">
        <v>1553</v>
      </c>
      <c r="H90" t="s">
        <v>102</v>
      </c>
      <c r="I90" t="s">
        <v>225</v>
      </c>
      <c r="J90" t="s">
        <v>5</v>
      </c>
      <c r="K90" t="s">
        <v>226</v>
      </c>
      <c r="L90" t="s">
        <v>122</v>
      </c>
      <c r="M90" t="s">
        <v>760</v>
      </c>
      <c r="N90" t="s">
        <v>1691</v>
      </c>
      <c r="O90" t="s">
        <v>111</v>
      </c>
      <c r="P90" t="s">
        <v>119</v>
      </c>
      <c r="Q90" t="s">
        <v>227</v>
      </c>
      <c r="R90" t="s">
        <v>122</v>
      </c>
      <c r="S90" t="s">
        <v>106</v>
      </c>
      <c r="T90" t="s">
        <v>713</v>
      </c>
      <c r="U90" t="s">
        <v>731</v>
      </c>
      <c r="V90" t="s">
        <v>846</v>
      </c>
      <c r="W90" t="s">
        <v>1692</v>
      </c>
      <c r="X90" t="s">
        <v>1693</v>
      </c>
      <c r="Y90" t="s">
        <v>1694</v>
      </c>
      <c r="Z90" t="s">
        <v>1695</v>
      </c>
      <c r="AB90" t="s">
        <v>733</v>
      </c>
      <c r="AC90" t="s">
        <v>1696</v>
      </c>
      <c r="AD90" t="s">
        <v>969</v>
      </c>
      <c r="AE90" t="s">
        <v>1691</v>
      </c>
      <c r="AF90" t="s">
        <v>752</v>
      </c>
      <c r="AG90" t="s">
        <v>731</v>
      </c>
      <c r="AH90" t="s">
        <v>1697</v>
      </c>
      <c r="AI90" t="s">
        <v>2</v>
      </c>
      <c r="AJ90" t="s">
        <v>1698</v>
      </c>
      <c r="AK90" t="s">
        <v>1663</v>
      </c>
    </row>
    <row r="91" spans="1:37" hidden="1" x14ac:dyDescent="0.3">
      <c r="A91" t="s">
        <v>501</v>
      </c>
      <c r="B91" s="56">
        <v>45789.526901311729</v>
      </c>
      <c r="C91" t="s">
        <v>500</v>
      </c>
      <c r="D91" t="s">
        <v>573</v>
      </c>
      <c r="E91" s="7">
        <v>36574</v>
      </c>
      <c r="F91" t="s">
        <v>1699</v>
      </c>
      <c r="G91" t="s">
        <v>148</v>
      </c>
      <c r="H91" t="s">
        <v>102</v>
      </c>
      <c r="I91" t="s">
        <v>636</v>
      </c>
      <c r="J91" t="s">
        <v>5</v>
      </c>
      <c r="K91" t="s">
        <v>398</v>
      </c>
      <c r="L91" t="s">
        <v>104</v>
      </c>
      <c r="M91" t="s">
        <v>1700</v>
      </c>
      <c r="N91" t="s">
        <v>1550</v>
      </c>
      <c r="O91" t="s">
        <v>105</v>
      </c>
      <c r="P91" t="s">
        <v>119</v>
      </c>
      <c r="Q91" t="s">
        <v>637</v>
      </c>
      <c r="R91" t="s">
        <v>104</v>
      </c>
      <c r="S91" t="s">
        <v>106</v>
      </c>
      <c r="T91" t="s">
        <v>713</v>
      </c>
      <c r="U91" t="s">
        <v>731</v>
      </c>
      <c r="V91" t="s">
        <v>731</v>
      </c>
      <c r="W91" t="s">
        <v>1701</v>
      </c>
      <c r="X91" t="s">
        <v>1702</v>
      </c>
      <c r="Y91" t="s">
        <v>1703</v>
      </c>
      <c r="Z91" t="s">
        <v>1704</v>
      </c>
      <c r="AB91" t="s">
        <v>733</v>
      </c>
      <c r="AC91" t="s">
        <v>1705</v>
      </c>
      <c r="AD91" t="s">
        <v>778</v>
      </c>
      <c r="AE91" t="s">
        <v>1706</v>
      </c>
      <c r="AF91" t="s">
        <v>752</v>
      </c>
      <c r="AG91" t="s">
        <v>753</v>
      </c>
      <c r="AH91" t="s">
        <v>1707</v>
      </c>
      <c r="AI91" t="s">
        <v>2</v>
      </c>
      <c r="AJ91" t="s">
        <v>1708</v>
      </c>
      <c r="AK91" t="s">
        <v>1657</v>
      </c>
    </row>
    <row r="92" spans="1:37" hidden="1" x14ac:dyDescent="0.3">
      <c r="A92" t="s">
        <v>1709</v>
      </c>
      <c r="B92" s="56">
        <v>45789.52796265432</v>
      </c>
      <c r="C92" t="s">
        <v>194</v>
      </c>
      <c r="D92" t="s">
        <v>195</v>
      </c>
      <c r="E92" s="7">
        <v>32724</v>
      </c>
      <c r="F92" t="s">
        <v>1710</v>
      </c>
      <c r="G92" t="s">
        <v>367</v>
      </c>
      <c r="H92" t="s">
        <v>102</v>
      </c>
      <c r="I92" t="s">
        <v>197</v>
      </c>
      <c r="J92" t="s">
        <v>5</v>
      </c>
      <c r="K92" t="s">
        <v>126</v>
      </c>
      <c r="L92" t="s">
        <v>115</v>
      </c>
      <c r="M92" t="s">
        <v>1711</v>
      </c>
      <c r="N92" t="s">
        <v>1008</v>
      </c>
      <c r="O92" t="s">
        <v>116</v>
      </c>
      <c r="P92" t="s">
        <v>119</v>
      </c>
      <c r="Q92" t="s">
        <v>198</v>
      </c>
      <c r="R92" t="s">
        <v>115</v>
      </c>
      <c r="S92" t="s">
        <v>106</v>
      </c>
      <c r="T92" t="s">
        <v>713</v>
      </c>
      <c r="U92" t="s">
        <v>731</v>
      </c>
      <c r="V92" t="s">
        <v>731</v>
      </c>
      <c r="W92" t="s">
        <v>1712</v>
      </c>
      <c r="X92" t="s">
        <v>1713</v>
      </c>
      <c r="Y92" t="s">
        <v>1703</v>
      </c>
      <c r="Z92" t="s">
        <v>1704</v>
      </c>
      <c r="AB92" t="s">
        <v>733</v>
      </c>
      <c r="AC92" t="s">
        <v>1714</v>
      </c>
      <c r="AD92" t="s">
        <v>1687</v>
      </c>
      <c r="AE92" t="s">
        <v>778</v>
      </c>
      <c r="AF92" t="s">
        <v>790</v>
      </c>
      <c r="AG92" t="s">
        <v>731</v>
      </c>
      <c r="AH92" t="s">
        <v>1715</v>
      </c>
      <c r="AI92" t="s">
        <v>2</v>
      </c>
      <c r="AJ92" t="s">
        <v>1716</v>
      </c>
      <c r="AK92" t="s">
        <v>1658</v>
      </c>
    </row>
    <row r="93" spans="1:37" hidden="1" x14ac:dyDescent="0.3">
      <c r="A93" t="s">
        <v>203</v>
      </c>
      <c r="B93" s="56">
        <v>45789.539836612654</v>
      </c>
      <c r="C93" t="s">
        <v>204</v>
      </c>
      <c r="D93" t="s">
        <v>1729</v>
      </c>
      <c r="E93" s="7">
        <v>26680</v>
      </c>
      <c r="F93" t="s">
        <v>1730</v>
      </c>
      <c r="G93" t="s">
        <v>108</v>
      </c>
      <c r="H93" t="s">
        <v>102</v>
      </c>
      <c r="I93" t="s">
        <v>206</v>
      </c>
      <c r="J93" t="s">
        <v>5</v>
      </c>
      <c r="K93" t="s">
        <v>109</v>
      </c>
      <c r="L93" t="s">
        <v>115</v>
      </c>
      <c r="M93" t="s">
        <v>1731</v>
      </c>
      <c r="N93" t="s">
        <v>915</v>
      </c>
      <c r="O93" t="s">
        <v>111</v>
      </c>
      <c r="P93" t="s">
        <v>141</v>
      </c>
      <c r="Q93" t="s">
        <v>207</v>
      </c>
      <c r="R93" t="s">
        <v>115</v>
      </c>
      <c r="S93" t="s">
        <v>115</v>
      </c>
      <c r="T93" t="s">
        <v>713</v>
      </c>
      <c r="U93" t="s">
        <v>1732</v>
      </c>
      <c r="V93" t="s">
        <v>731</v>
      </c>
      <c r="W93" t="s">
        <v>1733</v>
      </c>
      <c r="AB93" t="s">
        <v>1</v>
      </c>
      <c r="AC93" t="s">
        <v>1734</v>
      </c>
      <c r="AD93" t="s">
        <v>1735</v>
      </c>
      <c r="AE93" t="s">
        <v>981</v>
      </c>
      <c r="AF93" t="s">
        <v>790</v>
      </c>
      <c r="AG93" t="s">
        <v>1736</v>
      </c>
      <c r="AH93" t="s">
        <v>1737</v>
      </c>
      <c r="AI93" t="s">
        <v>2</v>
      </c>
      <c r="AJ93" t="s">
        <v>1738</v>
      </c>
      <c r="AK93" t="s">
        <v>1739</v>
      </c>
    </row>
    <row r="94" spans="1:37" hidden="1" x14ac:dyDescent="0.3">
      <c r="A94" t="s">
        <v>1720</v>
      </c>
      <c r="B94" s="56">
        <v>45789.540013503087</v>
      </c>
      <c r="C94" t="s">
        <v>1721</v>
      </c>
      <c r="D94" t="s">
        <v>1722</v>
      </c>
      <c r="E94" s="7">
        <v>37041</v>
      </c>
      <c r="F94" t="s">
        <v>1723</v>
      </c>
      <c r="G94" t="s">
        <v>1553</v>
      </c>
      <c r="H94" t="s">
        <v>102</v>
      </c>
      <c r="I94" t="s">
        <v>1724</v>
      </c>
      <c r="J94" t="s">
        <v>1744</v>
      </c>
      <c r="K94" t="s">
        <v>245</v>
      </c>
      <c r="L94" t="s">
        <v>115</v>
      </c>
      <c r="M94" t="s">
        <v>760</v>
      </c>
      <c r="N94" t="s">
        <v>986</v>
      </c>
      <c r="O94" t="s">
        <v>111</v>
      </c>
      <c r="P94" t="s">
        <v>119</v>
      </c>
      <c r="Q94" t="s">
        <v>1725</v>
      </c>
      <c r="R94" t="s">
        <v>115</v>
      </c>
      <c r="S94" t="s">
        <v>106</v>
      </c>
      <c r="T94" t="s">
        <v>713</v>
      </c>
      <c r="U94" t="s">
        <v>731</v>
      </c>
      <c r="V94" t="s">
        <v>731</v>
      </c>
      <c r="W94" t="s">
        <v>1726</v>
      </c>
      <c r="AB94" t="s">
        <v>733</v>
      </c>
      <c r="AC94" t="s">
        <v>763</v>
      </c>
      <c r="AD94" t="s">
        <v>986</v>
      </c>
      <c r="AE94" t="s">
        <v>986</v>
      </c>
      <c r="AF94" t="s">
        <v>752</v>
      </c>
      <c r="AG94" t="s">
        <v>904</v>
      </c>
      <c r="AH94" t="s">
        <v>1727</v>
      </c>
      <c r="AI94" t="s">
        <v>2</v>
      </c>
      <c r="AJ94" t="s">
        <v>1728</v>
      </c>
      <c r="AK94" t="s">
        <v>1655</v>
      </c>
    </row>
    <row r="95" spans="1:37" hidden="1" x14ac:dyDescent="0.3">
      <c r="A95" t="s">
        <v>287</v>
      </c>
      <c r="B95" s="56">
        <v>45789.596880709876</v>
      </c>
      <c r="C95" t="s">
        <v>288</v>
      </c>
      <c r="D95" t="s">
        <v>289</v>
      </c>
      <c r="E95" s="7">
        <v>34396</v>
      </c>
      <c r="F95" t="s">
        <v>1816</v>
      </c>
      <c r="G95" t="s">
        <v>118</v>
      </c>
      <c r="H95" t="s">
        <v>102</v>
      </c>
      <c r="I95" t="s">
        <v>291</v>
      </c>
      <c r="J95" t="s">
        <v>5</v>
      </c>
      <c r="K95" t="s">
        <v>135</v>
      </c>
      <c r="L95" t="s">
        <v>122</v>
      </c>
      <c r="M95" t="s">
        <v>727</v>
      </c>
      <c r="N95" t="s">
        <v>774</v>
      </c>
      <c r="O95" t="s">
        <v>118</v>
      </c>
      <c r="P95" t="s">
        <v>119</v>
      </c>
      <c r="Q95" t="s">
        <v>293</v>
      </c>
      <c r="R95" t="s">
        <v>122</v>
      </c>
      <c r="S95" t="s">
        <v>106</v>
      </c>
      <c r="T95" t="s">
        <v>714</v>
      </c>
      <c r="U95" t="s">
        <v>731</v>
      </c>
      <c r="V95" t="s">
        <v>731</v>
      </c>
      <c r="W95" t="s">
        <v>1817</v>
      </c>
      <c r="X95" t="s">
        <v>1818</v>
      </c>
      <c r="Y95" t="s">
        <v>1819</v>
      </c>
      <c r="Z95" t="s">
        <v>1820</v>
      </c>
      <c r="AB95" t="s">
        <v>733</v>
      </c>
      <c r="AC95" t="s">
        <v>1105</v>
      </c>
      <c r="AD95" t="s">
        <v>1008</v>
      </c>
      <c r="AE95" t="s">
        <v>1008</v>
      </c>
      <c r="AF95" t="s">
        <v>752</v>
      </c>
      <c r="AG95" t="s">
        <v>731</v>
      </c>
      <c r="AH95" t="s">
        <v>1821</v>
      </c>
      <c r="AI95" t="s">
        <v>2</v>
      </c>
      <c r="AJ95" t="s">
        <v>1822</v>
      </c>
      <c r="AK95" t="s">
        <v>1654</v>
      </c>
    </row>
    <row r="96" spans="1:37" hidden="1" x14ac:dyDescent="0.3">
      <c r="A96" t="s">
        <v>264</v>
      </c>
      <c r="B96" s="56">
        <v>45789.610606867282</v>
      </c>
      <c r="C96" t="s">
        <v>265</v>
      </c>
      <c r="D96" t="s">
        <v>266</v>
      </c>
      <c r="E96" s="7">
        <v>36315</v>
      </c>
      <c r="F96" t="s">
        <v>1823</v>
      </c>
      <c r="G96" t="s">
        <v>148</v>
      </c>
      <c r="H96" t="s">
        <v>102</v>
      </c>
      <c r="I96" t="s">
        <v>267</v>
      </c>
      <c r="J96" t="s">
        <v>5</v>
      </c>
      <c r="K96" t="s">
        <v>123</v>
      </c>
      <c r="L96" t="s">
        <v>104</v>
      </c>
      <c r="M96" t="s">
        <v>1824</v>
      </c>
      <c r="N96" t="s">
        <v>735</v>
      </c>
      <c r="O96" t="s">
        <v>167</v>
      </c>
      <c r="P96" t="s">
        <v>119</v>
      </c>
      <c r="Q96" t="s">
        <v>268</v>
      </c>
      <c r="R96" t="s">
        <v>1825</v>
      </c>
      <c r="S96" t="s">
        <v>106</v>
      </c>
      <c r="T96" t="s">
        <v>713</v>
      </c>
      <c r="U96" t="s">
        <v>1826</v>
      </c>
      <c r="V96" t="s">
        <v>731</v>
      </c>
      <c r="W96" t="s">
        <v>1827</v>
      </c>
      <c r="X96" t="s">
        <v>1828</v>
      </c>
      <c r="Y96" t="s">
        <v>1231</v>
      </c>
      <c r="Z96" t="s">
        <v>1829</v>
      </c>
      <c r="AB96" t="s">
        <v>1</v>
      </c>
      <c r="AC96" t="s">
        <v>734</v>
      </c>
      <c r="AD96" t="s">
        <v>800</v>
      </c>
      <c r="AE96" t="s">
        <v>880</v>
      </c>
      <c r="AF96" t="s">
        <v>752</v>
      </c>
      <c r="AG96" t="s">
        <v>731</v>
      </c>
      <c r="AH96" t="s">
        <v>1830</v>
      </c>
      <c r="AI96" t="s">
        <v>2</v>
      </c>
      <c r="AJ96" t="s">
        <v>1831</v>
      </c>
      <c r="AK96" t="s">
        <v>1669</v>
      </c>
    </row>
    <row r="97" spans="1:37" hidden="1" x14ac:dyDescent="0.3">
      <c r="A97" t="s">
        <v>1883</v>
      </c>
      <c r="B97" s="56">
        <v>45789.64922511574</v>
      </c>
      <c r="C97" t="s">
        <v>1832</v>
      </c>
      <c r="D97" t="s">
        <v>1833</v>
      </c>
      <c r="E97" s="7">
        <v>32085</v>
      </c>
      <c r="F97" t="s">
        <v>1834</v>
      </c>
      <c r="G97" t="s">
        <v>328</v>
      </c>
      <c r="H97" t="s">
        <v>102</v>
      </c>
      <c r="I97" t="s">
        <v>1835</v>
      </c>
      <c r="J97" t="s">
        <v>4</v>
      </c>
      <c r="K97" t="s">
        <v>226</v>
      </c>
      <c r="L97" t="s">
        <v>121</v>
      </c>
      <c r="M97" t="s">
        <v>773</v>
      </c>
      <c r="N97" t="s">
        <v>736</v>
      </c>
      <c r="O97" t="s">
        <v>111</v>
      </c>
      <c r="P97" t="s">
        <v>119</v>
      </c>
      <c r="Q97" t="s">
        <v>1836</v>
      </c>
      <c r="R97" t="s">
        <v>110</v>
      </c>
      <c r="S97" t="s">
        <v>106</v>
      </c>
      <c r="T97" t="s">
        <v>713</v>
      </c>
      <c r="U97" t="s">
        <v>731</v>
      </c>
      <c r="V97" t="s">
        <v>731</v>
      </c>
      <c r="W97" t="s">
        <v>1837</v>
      </c>
      <c r="AB97" t="s">
        <v>1</v>
      </c>
      <c r="AC97" t="s">
        <v>1272</v>
      </c>
      <c r="AD97" t="s">
        <v>880</v>
      </c>
      <c r="AE97" t="s">
        <v>1706</v>
      </c>
      <c r="AF97" t="s">
        <v>752</v>
      </c>
      <c r="AG97" t="s">
        <v>731</v>
      </c>
      <c r="AH97" t="s">
        <v>1838</v>
      </c>
      <c r="AI97" t="s">
        <v>2</v>
      </c>
      <c r="AJ97" t="s">
        <v>1839</v>
      </c>
      <c r="AK97" t="s">
        <v>1675</v>
      </c>
    </row>
    <row r="98" spans="1:37" hidden="1" x14ac:dyDescent="0.3">
      <c r="A98" t="s">
        <v>1745</v>
      </c>
      <c r="B98" s="56">
        <v>45789.667372145064</v>
      </c>
      <c r="C98" t="s">
        <v>1746</v>
      </c>
      <c r="D98" t="s">
        <v>1747</v>
      </c>
      <c r="E98" s="7">
        <v>26896</v>
      </c>
      <c r="F98" t="s">
        <v>1748</v>
      </c>
      <c r="G98" t="s">
        <v>1749</v>
      </c>
      <c r="H98" t="s">
        <v>102</v>
      </c>
      <c r="I98" t="s">
        <v>1882</v>
      </c>
      <c r="J98" t="s">
        <v>4</v>
      </c>
      <c r="K98" t="s">
        <v>245</v>
      </c>
      <c r="L98" t="s">
        <v>122</v>
      </c>
      <c r="M98" t="s">
        <v>1750</v>
      </c>
      <c r="N98" t="s">
        <v>789</v>
      </c>
      <c r="O98" t="s">
        <v>111</v>
      </c>
      <c r="P98" t="s">
        <v>729</v>
      </c>
      <c r="Q98" t="s">
        <v>106</v>
      </c>
      <c r="R98" t="s">
        <v>106</v>
      </c>
      <c r="S98" t="s">
        <v>106</v>
      </c>
      <c r="T98" t="s">
        <v>713</v>
      </c>
      <c r="U98" t="s">
        <v>731</v>
      </c>
      <c r="V98" t="s">
        <v>731</v>
      </c>
      <c r="W98" t="s">
        <v>1751</v>
      </c>
      <c r="AB98" t="s">
        <v>733</v>
      </c>
      <c r="AC98" t="s">
        <v>1752</v>
      </c>
      <c r="AD98" t="s">
        <v>1753</v>
      </c>
      <c r="AE98" t="s">
        <v>1754</v>
      </c>
      <c r="AF98" t="s">
        <v>752</v>
      </c>
      <c r="AG98" t="s">
        <v>2729</v>
      </c>
      <c r="AH98" t="s">
        <v>1755</v>
      </c>
      <c r="AI98" t="s">
        <v>2</v>
      </c>
      <c r="AJ98" t="s">
        <v>1756</v>
      </c>
      <c r="AK98" t="s">
        <v>1757</v>
      </c>
    </row>
    <row r="99" spans="1:37" hidden="1" x14ac:dyDescent="0.3">
      <c r="A99" t="s">
        <v>303</v>
      </c>
      <c r="B99" s="56">
        <v>45789.743734799384</v>
      </c>
      <c r="C99" t="s">
        <v>304</v>
      </c>
      <c r="D99" t="s">
        <v>1840</v>
      </c>
      <c r="E99" s="7">
        <v>27129</v>
      </c>
      <c r="F99" t="s">
        <v>107</v>
      </c>
      <c r="G99" t="s">
        <v>108</v>
      </c>
      <c r="H99" t="s">
        <v>102</v>
      </c>
      <c r="I99" t="s">
        <v>1841</v>
      </c>
      <c r="J99" t="s">
        <v>5</v>
      </c>
      <c r="K99" t="s">
        <v>109</v>
      </c>
      <c r="L99" t="s">
        <v>110</v>
      </c>
      <c r="M99" t="s">
        <v>1842</v>
      </c>
      <c r="N99" t="s">
        <v>1008</v>
      </c>
      <c r="O99" t="s">
        <v>111</v>
      </c>
      <c r="P99" t="s">
        <v>141</v>
      </c>
      <c r="Q99" t="s">
        <v>1843</v>
      </c>
      <c r="R99" t="s">
        <v>110</v>
      </c>
      <c r="S99" t="s">
        <v>110</v>
      </c>
      <c r="T99" t="s">
        <v>713</v>
      </c>
      <c r="U99" t="s">
        <v>731</v>
      </c>
      <c r="V99" t="s">
        <v>731</v>
      </c>
      <c r="W99" t="s">
        <v>1844</v>
      </c>
      <c r="X99" t="s">
        <v>1845</v>
      </c>
      <c r="Y99" t="s">
        <v>1091</v>
      </c>
      <c r="Z99" t="s">
        <v>1846</v>
      </c>
      <c r="AB99" t="s">
        <v>733</v>
      </c>
      <c r="AC99" t="s">
        <v>1847</v>
      </c>
      <c r="AD99" t="s">
        <v>835</v>
      </c>
      <c r="AE99" t="s">
        <v>1848</v>
      </c>
      <c r="AF99" t="s">
        <v>790</v>
      </c>
      <c r="AG99" t="s">
        <v>753</v>
      </c>
      <c r="AH99" t="s">
        <v>1043</v>
      </c>
      <c r="AI99" t="s">
        <v>2</v>
      </c>
      <c r="AJ99" t="s">
        <v>1849</v>
      </c>
      <c r="AK99" t="s">
        <v>1757</v>
      </c>
    </row>
    <row r="100" spans="1:37" hidden="1" x14ac:dyDescent="0.3">
      <c r="A100" t="s">
        <v>175</v>
      </c>
      <c r="B100" s="56">
        <v>45789.79092777778</v>
      </c>
      <c r="C100" t="s">
        <v>176</v>
      </c>
      <c r="D100" t="s">
        <v>263</v>
      </c>
      <c r="E100" s="7">
        <v>32742</v>
      </c>
      <c r="F100" t="s">
        <v>1850</v>
      </c>
      <c r="G100" t="s">
        <v>148</v>
      </c>
      <c r="H100" t="s">
        <v>102</v>
      </c>
      <c r="I100" t="s">
        <v>178</v>
      </c>
      <c r="J100" t="s">
        <v>5</v>
      </c>
      <c r="K100" t="s">
        <v>1851</v>
      </c>
      <c r="L100" t="s">
        <v>110</v>
      </c>
      <c r="M100" t="s">
        <v>1852</v>
      </c>
      <c r="N100" t="s">
        <v>1159</v>
      </c>
      <c r="O100" t="s">
        <v>1866</v>
      </c>
      <c r="P100" t="s">
        <v>141</v>
      </c>
      <c r="Q100" t="s">
        <v>179</v>
      </c>
      <c r="R100" t="s">
        <v>110</v>
      </c>
      <c r="S100" t="s">
        <v>110</v>
      </c>
      <c r="T100" t="s">
        <v>713</v>
      </c>
      <c r="U100" t="s">
        <v>731</v>
      </c>
      <c r="V100" t="s">
        <v>731</v>
      </c>
      <c r="W100" t="s">
        <v>1853</v>
      </c>
      <c r="AA100" t="s">
        <v>733</v>
      </c>
      <c r="AB100" t="s">
        <v>733</v>
      </c>
      <c r="AC100" t="s">
        <v>1854</v>
      </c>
      <c r="AD100" t="s">
        <v>1008</v>
      </c>
      <c r="AE100" t="s">
        <v>1008</v>
      </c>
      <c r="AF100" t="s">
        <v>752</v>
      </c>
      <c r="AG100" t="s">
        <v>753</v>
      </c>
      <c r="AH100" t="s">
        <v>1855</v>
      </c>
      <c r="AI100" t="s">
        <v>2</v>
      </c>
      <c r="AJ100" t="s">
        <v>1856</v>
      </c>
      <c r="AK100" t="s">
        <v>1658</v>
      </c>
    </row>
    <row r="101" spans="1:37" hidden="1" x14ac:dyDescent="0.3">
      <c r="A101" t="s">
        <v>686</v>
      </c>
      <c r="B101" s="56">
        <v>45789.859839891978</v>
      </c>
      <c r="C101" t="s">
        <v>687</v>
      </c>
      <c r="D101" t="s">
        <v>688</v>
      </c>
      <c r="E101" s="7">
        <v>35970</v>
      </c>
      <c r="F101" t="s">
        <v>1857</v>
      </c>
      <c r="G101" t="s">
        <v>124</v>
      </c>
      <c r="H101" t="s">
        <v>102</v>
      </c>
      <c r="I101" t="s">
        <v>1858</v>
      </c>
      <c r="J101" t="s">
        <v>5</v>
      </c>
      <c r="K101" t="s">
        <v>692</v>
      </c>
      <c r="L101" t="s">
        <v>110</v>
      </c>
      <c r="M101" t="s">
        <v>1859</v>
      </c>
      <c r="N101" t="s">
        <v>800</v>
      </c>
      <c r="O101" t="s">
        <v>1004</v>
      </c>
      <c r="P101" t="s">
        <v>119</v>
      </c>
      <c r="Q101" t="s">
        <v>693</v>
      </c>
      <c r="R101" t="s">
        <v>110</v>
      </c>
      <c r="S101" t="s">
        <v>106</v>
      </c>
      <c r="T101" t="s">
        <v>713</v>
      </c>
      <c r="U101" t="s">
        <v>731</v>
      </c>
      <c r="V101" t="s">
        <v>731</v>
      </c>
      <c r="W101" t="s">
        <v>1860</v>
      </c>
      <c r="AB101" t="s">
        <v>733</v>
      </c>
      <c r="AC101" t="s">
        <v>1191</v>
      </c>
      <c r="AD101" t="s">
        <v>800</v>
      </c>
      <c r="AE101" t="s">
        <v>1861</v>
      </c>
      <c r="AF101" t="s">
        <v>752</v>
      </c>
      <c r="AG101" t="s">
        <v>731</v>
      </c>
      <c r="AH101" t="s">
        <v>1862</v>
      </c>
      <c r="AI101" t="s">
        <v>2</v>
      </c>
      <c r="AJ101" t="s">
        <v>1863</v>
      </c>
      <c r="AK101" t="s">
        <v>1670</v>
      </c>
    </row>
    <row r="102" spans="1:37" hidden="1" x14ac:dyDescent="0.3">
      <c r="A102" t="s">
        <v>138</v>
      </c>
      <c r="B102" s="56">
        <v>45789.868735532407</v>
      </c>
      <c r="C102" t="s">
        <v>1864</v>
      </c>
      <c r="D102" t="s">
        <v>137</v>
      </c>
      <c r="E102" s="7">
        <v>32576</v>
      </c>
      <c r="F102" t="s">
        <v>1865</v>
      </c>
      <c r="G102" t="s">
        <v>148</v>
      </c>
      <c r="H102" t="s">
        <v>102</v>
      </c>
      <c r="I102" t="s">
        <v>139</v>
      </c>
      <c r="J102" t="s">
        <v>5</v>
      </c>
      <c r="K102" t="s">
        <v>1866</v>
      </c>
      <c r="L102" t="s">
        <v>115</v>
      </c>
      <c r="M102" t="s">
        <v>1867</v>
      </c>
      <c r="N102" t="s">
        <v>1868</v>
      </c>
      <c r="O102" t="s">
        <v>111</v>
      </c>
      <c r="P102" t="s">
        <v>141</v>
      </c>
      <c r="Q102" t="s">
        <v>142</v>
      </c>
      <c r="R102" t="s">
        <v>115</v>
      </c>
      <c r="S102" t="s">
        <v>115</v>
      </c>
      <c r="T102" t="s">
        <v>713</v>
      </c>
      <c r="U102" t="s">
        <v>731</v>
      </c>
      <c r="V102" t="s">
        <v>731</v>
      </c>
      <c r="W102" t="s">
        <v>1869</v>
      </c>
      <c r="X102" t="s">
        <v>1870</v>
      </c>
      <c r="Y102" t="s">
        <v>1871</v>
      </c>
      <c r="Z102" t="s">
        <v>1872</v>
      </c>
      <c r="AB102" t="s">
        <v>733</v>
      </c>
      <c r="AC102" t="s">
        <v>1873</v>
      </c>
      <c r="AD102" t="s">
        <v>1008</v>
      </c>
      <c r="AE102" t="s">
        <v>1008</v>
      </c>
      <c r="AF102" t="s">
        <v>752</v>
      </c>
      <c r="AG102" t="s">
        <v>731</v>
      </c>
      <c r="AH102" t="s">
        <v>1874</v>
      </c>
      <c r="AI102" t="s">
        <v>2</v>
      </c>
      <c r="AJ102" t="s">
        <v>1875</v>
      </c>
      <c r="AK102" t="s">
        <v>1671</v>
      </c>
    </row>
    <row r="103" spans="1:37" hidden="1" x14ac:dyDescent="0.3">
      <c r="A103" t="s">
        <v>1758</v>
      </c>
      <c r="B103" s="56">
        <v>45789.872541396602</v>
      </c>
      <c r="C103" t="s">
        <v>1759</v>
      </c>
      <c r="D103" t="s">
        <v>1760</v>
      </c>
      <c r="E103" s="7">
        <v>32056</v>
      </c>
      <c r="F103" t="s">
        <v>1761</v>
      </c>
      <c r="G103" t="s">
        <v>148</v>
      </c>
      <c r="H103" t="s">
        <v>102</v>
      </c>
      <c r="I103" t="s">
        <v>1762</v>
      </c>
      <c r="J103" t="s">
        <v>4</v>
      </c>
      <c r="K103" t="s">
        <v>113</v>
      </c>
      <c r="L103" t="s">
        <v>115</v>
      </c>
      <c r="M103" t="s">
        <v>760</v>
      </c>
      <c r="N103" t="s">
        <v>736</v>
      </c>
      <c r="O103" t="s">
        <v>1890</v>
      </c>
      <c r="P103" t="s">
        <v>729</v>
      </c>
      <c r="Q103" t="s">
        <v>106</v>
      </c>
      <c r="R103" t="s">
        <v>106</v>
      </c>
      <c r="S103" t="s">
        <v>106</v>
      </c>
      <c r="T103" t="s">
        <v>713</v>
      </c>
      <c r="U103" t="s">
        <v>731</v>
      </c>
      <c r="V103" t="s">
        <v>731</v>
      </c>
      <c r="W103" t="s">
        <v>1763</v>
      </c>
      <c r="X103" t="s">
        <v>1764</v>
      </c>
      <c r="Y103" t="s">
        <v>1029</v>
      </c>
      <c r="Z103" t="s">
        <v>1765</v>
      </c>
      <c r="AA103" t="s">
        <v>1766</v>
      </c>
      <c r="AB103" t="s">
        <v>1</v>
      </c>
      <c r="AC103" t="s">
        <v>1767</v>
      </c>
      <c r="AD103" t="s">
        <v>1768</v>
      </c>
      <c r="AE103" t="s">
        <v>736</v>
      </c>
      <c r="AF103" t="s">
        <v>752</v>
      </c>
      <c r="AG103" t="s">
        <v>904</v>
      </c>
      <c r="AH103" t="s">
        <v>1769</v>
      </c>
      <c r="AI103" t="s">
        <v>2</v>
      </c>
      <c r="AJ103" t="s">
        <v>1770</v>
      </c>
      <c r="AK103" t="s">
        <v>1675</v>
      </c>
    </row>
    <row r="104" spans="1:37" hidden="1" x14ac:dyDescent="0.3">
      <c r="A104" t="s">
        <v>1771</v>
      </c>
      <c r="B104" s="56">
        <v>45789.973480979941</v>
      </c>
      <c r="C104" t="s">
        <v>1772</v>
      </c>
      <c r="D104" t="s">
        <v>1773</v>
      </c>
      <c r="E104" s="7">
        <v>37093</v>
      </c>
      <c r="F104" t="s">
        <v>1774</v>
      </c>
      <c r="G104" t="s">
        <v>118</v>
      </c>
      <c r="H104" t="s">
        <v>102</v>
      </c>
      <c r="I104" t="s">
        <v>1775</v>
      </c>
      <c r="J104" t="s">
        <v>4</v>
      </c>
      <c r="K104" t="s">
        <v>135</v>
      </c>
      <c r="L104" t="s">
        <v>122</v>
      </c>
      <c r="M104" t="s">
        <v>820</v>
      </c>
      <c r="N104" t="s">
        <v>736</v>
      </c>
      <c r="O104" t="s">
        <v>118</v>
      </c>
      <c r="P104" t="s">
        <v>729</v>
      </c>
      <c r="Q104" t="s">
        <v>106</v>
      </c>
      <c r="R104" t="s">
        <v>106</v>
      </c>
      <c r="S104" t="s">
        <v>106</v>
      </c>
      <c r="T104" t="s">
        <v>730</v>
      </c>
      <c r="U104" t="s">
        <v>731</v>
      </c>
      <c r="V104" t="s">
        <v>731</v>
      </c>
      <c r="W104" t="s">
        <v>1776</v>
      </c>
      <c r="AB104" t="s">
        <v>733</v>
      </c>
      <c r="AC104" t="s">
        <v>1777</v>
      </c>
      <c r="AD104" t="s">
        <v>735</v>
      </c>
      <c r="AE104" t="s">
        <v>736</v>
      </c>
      <c r="AF104" t="s">
        <v>752</v>
      </c>
      <c r="AG104" t="s">
        <v>753</v>
      </c>
      <c r="AH104" t="s">
        <v>1778</v>
      </c>
      <c r="AI104" t="s">
        <v>2</v>
      </c>
      <c r="AJ104" t="s">
        <v>1779</v>
      </c>
      <c r="AK104" t="s">
        <v>1656</v>
      </c>
    </row>
    <row r="105" spans="1:37" hidden="1" x14ac:dyDescent="0.3">
      <c r="A105" t="s">
        <v>1780</v>
      </c>
      <c r="B105" s="56">
        <v>45790.02473410494</v>
      </c>
      <c r="C105" t="s">
        <v>1781</v>
      </c>
      <c r="D105" t="s">
        <v>1782</v>
      </c>
      <c r="E105" s="7">
        <v>37767</v>
      </c>
      <c r="F105" t="s">
        <v>1783</v>
      </c>
      <c r="G105" t="s">
        <v>1553</v>
      </c>
      <c r="H105" t="s">
        <v>102</v>
      </c>
      <c r="I105" t="s">
        <v>1784</v>
      </c>
      <c r="J105" t="s">
        <v>4</v>
      </c>
      <c r="K105" t="s">
        <v>135</v>
      </c>
      <c r="L105" t="s">
        <v>122</v>
      </c>
      <c r="M105" t="s">
        <v>727</v>
      </c>
      <c r="N105" t="s">
        <v>944</v>
      </c>
      <c r="O105" t="s">
        <v>118</v>
      </c>
      <c r="P105" t="s">
        <v>729</v>
      </c>
      <c r="Q105" t="s">
        <v>106</v>
      </c>
      <c r="R105" t="s">
        <v>106</v>
      </c>
      <c r="S105" t="s">
        <v>106</v>
      </c>
      <c r="T105" t="s">
        <v>730</v>
      </c>
      <c r="U105" t="s">
        <v>731</v>
      </c>
      <c r="V105" t="s">
        <v>731</v>
      </c>
      <c r="W105" t="s">
        <v>1785</v>
      </c>
      <c r="AB105" t="s">
        <v>733</v>
      </c>
      <c r="AC105" t="s">
        <v>1172</v>
      </c>
      <c r="AD105" t="s">
        <v>764</v>
      </c>
      <c r="AE105" t="s">
        <v>944</v>
      </c>
      <c r="AF105" t="s">
        <v>752</v>
      </c>
      <c r="AG105" t="s">
        <v>731</v>
      </c>
      <c r="AH105" t="s">
        <v>1786</v>
      </c>
      <c r="AI105" t="s">
        <v>2</v>
      </c>
      <c r="AJ105" t="s">
        <v>1787</v>
      </c>
      <c r="AK105" t="s">
        <v>1659</v>
      </c>
    </row>
    <row r="106" spans="1:37" hidden="1" x14ac:dyDescent="0.3">
      <c r="A106" t="s">
        <v>251</v>
      </c>
      <c r="B106" s="56">
        <v>45790.560010802466</v>
      </c>
      <c r="C106" t="s">
        <v>252</v>
      </c>
      <c r="D106" t="s">
        <v>1876</v>
      </c>
      <c r="E106" s="7">
        <v>34703</v>
      </c>
      <c r="F106" t="s">
        <v>1877</v>
      </c>
      <c r="G106" t="s">
        <v>118</v>
      </c>
      <c r="H106" t="s">
        <v>102</v>
      </c>
      <c r="I106" t="s">
        <v>254</v>
      </c>
      <c r="J106" t="s">
        <v>5</v>
      </c>
      <c r="K106" t="s">
        <v>135</v>
      </c>
      <c r="L106" t="s">
        <v>104</v>
      </c>
      <c r="M106" t="s">
        <v>727</v>
      </c>
      <c r="N106" t="s">
        <v>835</v>
      </c>
      <c r="O106" t="s">
        <v>118</v>
      </c>
      <c r="P106" t="s">
        <v>119</v>
      </c>
      <c r="Q106" t="s">
        <v>255</v>
      </c>
      <c r="R106" t="s">
        <v>104</v>
      </c>
      <c r="S106" t="s">
        <v>106</v>
      </c>
      <c r="T106" t="s">
        <v>713</v>
      </c>
      <c r="U106" t="s">
        <v>731</v>
      </c>
      <c r="V106" t="s">
        <v>731</v>
      </c>
      <c r="W106" t="s">
        <v>1878</v>
      </c>
      <c r="AB106" t="s">
        <v>733</v>
      </c>
      <c r="AC106" t="s">
        <v>1879</v>
      </c>
      <c r="AD106" t="s">
        <v>969</v>
      </c>
      <c r="AE106" t="s">
        <v>1008</v>
      </c>
      <c r="AF106" t="s">
        <v>752</v>
      </c>
      <c r="AG106" t="s">
        <v>731</v>
      </c>
      <c r="AH106" t="s">
        <v>1880</v>
      </c>
      <c r="AI106" t="s">
        <v>2</v>
      </c>
      <c r="AJ106" t="s">
        <v>1881</v>
      </c>
      <c r="AK106" t="s">
        <v>1666</v>
      </c>
    </row>
    <row r="107" spans="1:37" hidden="1" x14ac:dyDescent="0.3">
      <c r="A107" t="s">
        <v>1788</v>
      </c>
      <c r="B107" s="56">
        <v>45790.583454822532</v>
      </c>
      <c r="C107" t="s">
        <v>1789</v>
      </c>
      <c r="D107" t="s">
        <v>1790</v>
      </c>
      <c r="E107" s="7">
        <v>36012</v>
      </c>
      <c r="F107" t="s">
        <v>1791</v>
      </c>
      <c r="G107" t="s">
        <v>118</v>
      </c>
      <c r="H107" t="s">
        <v>102</v>
      </c>
      <c r="I107" t="s">
        <v>1792</v>
      </c>
      <c r="J107" t="s">
        <v>4</v>
      </c>
      <c r="K107" t="s">
        <v>311</v>
      </c>
      <c r="L107" t="s">
        <v>110</v>
      </c>
      <c r="M107" t="s">
        <v>727</v>
      </c>
      <c r="N107" t="s">
        <v>844</v>
      </c>
      <c r="O107" t="s">
        <v>105</v>
      </c>
      <c r="P107" t="s">
        <v>119</v>
      </c>
      <c r="Q107" t="s">
        <v>106</v>
      </c>
      <c r="R107" t="s">
        <v>106</v>
      </c>
      <c r="S107" t="s">
        <v>106</v>
      </c>
      <c r="T107" t="s">
        <v>730</v>
      </c>
      <c r="U107" t="s">
        <v>731</v>
      </c>
      <c r="V107" t="s">
        <v>731</v>
      </c>
      <c r="W107" t="s">
        <v>1793</v>
      </c>
      <c r="X107" t="s">
        <v>1794</v>
      </c>
      <c r="Y107" t="s">
        <v>1794</v>
      </c>
      <c r="Z107" t="s">
        <v>1794</v>
      </c>
      <c r="AA107" t="s">
        <v>733</v>
      </c>
      <c r="AB107" t="s">
        <v>733</v>
      </c>
      <c r="AC107" t="s">
        <v>1795</v>
      </c>
      <c r="AD107" t="s">
        <v>986</v>
      </c>
      <c r="AE107" t="s">
        <v>736</v>
      </c>
      <c r="AF107" t="s">
        <v>752</v>
      </c>
      <c r="AG107" t="s">
        <v>731</v>
      </c>
      <c r="AH107" t="s">
        <v>1796</v>
      </c>
      <c r="AI107" t="s">
        <v>2</v>
      </c>
      <c r="AJ107" t="s">
        <v>1797</v>
      </c>
      <c r="AK107" t="s">
        <v>1669</v>
      </c>
    </row>
    <row r="108" spans="1:37" hidden="1" x14ac:dyDescent="0.3">
      <c r="A108" t="s">
        <v>1798</v>
      </c>
      <c r="B108" s="56">
        <v>45790.771286689815</v>
      </c>
      <c r="C108" t="s">
        <v>1799</v>
      </c>
      <c r="D108" t="s">
        <v>1800</v>
      </c>
      <c r="E108" s="7">
        <v>28692</v>
      </c>
      <c r="F108" t="s">
        <v>1801</v>
      </c>
      <c r="G108" t="s">
        <v>367</v>
      </c>
      <c r="H108" t="s">
        <v>102</v>
      </c>
      <c r="I108" t="s">
        <v>1802</v>
      </c>
      <c r="J108" t="s">
        <v>4</v>
      </c>
      <c r="K108" t="s">
        <v>114</v>
      </c>
      <c r="L108" t="s">
        <v>110</v>
      </c>
      <c r="M108" t="s">
        <v>1547</v>
      </c>
      <c r="N108" t="s">
        <v>944</v>
      </c>
      <c r="O108" t="s">
        <v>116</v>
      </c>
      <c r="P108" t="s">
        <v>729</v>
      </c>
      <c r="Q108" t="s">
        <v>106</v>
      </c>
      <c r="R108" t="s">
        <v>106</v>
      </c>
      <c r="S108" t="s">
        <v>106</v>
      </c>
      <c r="T108" t="s">
        <v>713</v>
      </c>
      <c r="U108" t="s">
        <v>731</v>
      </c>
      <c r="V108" t="s">
        <v>731</v>
      </c>
      <c r="W108" t="s">
        <v>1803</v>
      </c>
      <c r="AA108" t="s">
        <v>733</v>
      </c>
      <c r="AB108" t="s">
        <v>1</v>
      </c>
      <c r="AC108" t="s">
        <v>1549</v>
      </c>
      <c r="AD108" t="s">
        <v>733</v>
      </c>
      <c r="AE108" t="s">
        <v>733</v>
      </c>
      <c r="AF108" t="s">
        <v>752</v>
      </c>
      <c r="AG108" t="s">
        <v>753</v>
      </c>
      <c r="AH108" t="s">
        <v>1804</v>
      </c>
      <c r="AI108" t="s">
        <v>2</v>
      </c>
      <c r="AJ108" t="s">
        <v>1805</v>
      </c>
      <c r="AK108" t="s">
        <v>1806</v>
      </c>
    </row>
    <row r="109" spans="1:37" hidden="1" x14ac:dyDescent="0.3">
      <c r="A109" t="s">
        <v>1807</v>
      </c>
      <c r="B109" s="56">
        <v>45790.909765817902</v>
      </c>
      <c r="C109" t="s">
        <v>1808</v>
      </c>
      <c r="D109" t="s">
        <v>1809</v>
      </c>
      <c r="E109" s="7">
        <v>37309</v>
      </c>
      <c r="F109" t="s">
        <v>1810</v>
      </c>
      <c r="G109" t="s">
        <v>118</v>
      </c>
      <c r="H109" t="s">
        <v>102</v>
      </c>
      <c r="I109" t="s">
        <v>1811</v>
      </c>
      <c r="J109" t="s">
        <v>4</v>
      </c>
      <c r="K109" t="s">
        <v>162</v>
      </c>
      <c r="L109" t="s">
        <v>115</v>
      </c>
      <c r="M109" t="s">
        <v>727</v>
      </c>
      <c r="N109" t="s">
        <v>736</v>
      </c>
      <c r="O109" t="s">
        <v>118</v>
      </c>
      <c r="P109" t="s">
        <v>729</v>
      </c>
      <c r="Q109" t="s">
        <v>106</v>
      </c>
      <c r="R109" t="s">
        <v>106</v>
      </c>
      <c r="S109" t="s">
        <v>106</v>
      </c>
      <c r="T109" t="s">
        <v>120</v>
      </c>
      <c r="U109" t="s">
        <v>731</v>
      </c>
      <c r="V109" t="s">
        <v>731</v>
      </c>
      <c r="W109" t="s">
        <v>1812</v>
      </c>
      <c r="AB109" t="s">
        <v>733</v>
      </c>
      <c r="AC109" t="s">
        <v>1813</v>
      </c>
      <c r="AD109" t="s">
        <v>981</v>
      </c>
      <c r="AE109" t="s">
        <v>736</v>
      </c>
      <c r="AF109" t="s">
        <v>752</v>
      </c>
      <c r="AG109" t="s">
        <v>731</v>
      </c>
      <c r="AH109" t="s">
        <v>1814</v>
      </c>
      <c r="AI109" t="s">
        <v>2</v>
      </c>
      <c r="AJ109" t="s">
        <v>1815</v>
      </c>
      <c r="AK109" t="s">
        <v>1656</v>
      </c>
    </row>
    <row r="110" spans="1:37" hidden="1" x14ac:dyDescent="0.3">
      <c r="A110" t="s">
        <v>546</v>
      </c>
      <c r="B110" s="56">
        <v>45790.929617554015</v>
      </c>
      <c r="C110" t="s">
        <v>545</v>
      </c>
      <c r="D110" t="s">
        <v>547</v>
      </c>
      <c r="E110" s="7">
        <v>34286</v>
      </c>
      <c r="F110" t="s">
        <v>548</v>
      </c>
      <c r="G110" t="s">
        <v>367</v>
      </c>
      <c r="H110" t="s">
        <v>102</v>
      </c>
      <c r="I110" t="s">
        <v>678</v>
      </c>
      <c r="J110" t="s">
        <v>5</v>
      </c>
      <c r="K110" t="s">
        <v>1972</v>
      </c>
      <c r="L110" t="s">
        <v>110</v>
      </c>
      <c r="M110" t="s">
        <v>1973</v>
      </c>
      <c r="N110" t="s">
        <v>1148</v>
      </c>
      <c r="O110" t="s">
        <v>116</v>
      </c>
      <c r="P110" t="s">
        <v>119</v>
      </c>
      <c r="Q110" t="s">
        <v>1974</v>
      </c>
      <c r="R110" t="s">
        <v>110</v>
      </c>
      <c r="S110" t="s">
        <v>110</v>
      </c>
      <c r="T110" t="s">
        <v>713</v>
      </c>
      <c r="U110" t="s">
        <v>731</v>
      </c>
      <c r="V110" t="s">
        <v>731</v>
      </c>
      <c r="W110" t="s">
        <v>1975</v>
      </c>
      <c r="X110" t="s">
        <v>1976</v>
      </c>
      <c r="Y110" t="s">
        <v>1334</v>
      </c>
      <c r="Z110" t="s">
        <v>1335</v>
      </c>
      <c r="AA110" t="s">
        <v>1977</v>
      </c>
      <c r="AB110" t="s">
        <v>1</v>
      </c>
      <c r="AC110" t="s">
        <v>1978</v>
      </c>
      <c r="AD110" t="s">
        <v>1008</v>
      </c>
      <c r="AE110" t="s">
        <v>1008</v>
      </c>
      <c r="AF110" t="s">
        <v>752</v>
      </c>
      <c r="AG110" t="s">
        <v>753</v>
      </c>
      <c r="AH110" t="s">
        <v>1979</v>
      </c>
      <c r="AI110" t="s">
        <v>2</v>
      </c>
      <c r="AJ110" t="s">
        <v>1980</v>
      </c>
      <c r="AK110" t="s">
        <v>1654</v>
      </c>
    </row>
    <row r="111" spans="1:37" hidden="1" x14ac:dyDescent="0.3">
      <c r="A111" t="s">
        <v>535</v>
      </c>
      <c r="B111" s="56">
        <v>45790.978639506175</v>
      </c>
      <c r="C111" t="s">
        <v>1981</v>
      </c>
      <c r="D111" t="s">
        <v>536</v>
      </c>
      <c r="E111" s="7">
        <v>35987</v>
      </c>
      <c r="F111" t="s">
        <v>1982</v>
      </c>
      <c r="G111" t="s">
        <v>118</v>
      </c>
      <c r="H111" t="s">
        <v>102</v>
      </c>
      <c r="I111" t="s">
        <v>666</v>
      </c>
      <c r="J111" t="s">
        <v>5</v>
      </c>
      <c r="K111" t="s">
        <v>1983</v>
      </c>
      <c r="L111" t="s">
        <v>115</v>
      </c>
      <c r="M111" t="s">
        <v>1984</v>
      </c>
      <c r="N111" t="s">
        <v>735</v>
      </c>
      <c r="O111" t="s">
        <v>1866</v>
      </c>
      <c r="P111" t="s">
        <v>119</v>
      </c>
      <c r="Q111" t="s">
        <v>667</v>
      </c>
      <c r="R111" t="s">
        <v>115</v>
      </c>
      <c r="S111" t="s">
        <v>106</v>
      </c>
      <c r="T111" t="s">
        <v>730</v>
      </c>
      <c r="U111" t="s">
        <v>731</v>
      </c>
      <c r="V111" t="s">
        <v>731</v>
      </c>
      <c r="W111" t="s">
        <v>1985</v>
      </c>
      <c r="AB111" t="s">
        <v>733</v>
      </c>
      <c r="AC111" t="s">
        <v>1986</v>
      </c>
      <c r="AD111" t="s">
        <v>1987</v>
      </c>
      <c r="AE111" t="s">
        <v>986</v>
      </c>
      <c r="AF111" t="s">
        <v>752</v>
      </c>
      <c r="AG111" t="s">
        <v>731</v>
      </c>
      <c r="AH111" t="s">
        <v>1988</v>
      </c>
      <c r="AI111" t="s">
        <v>2</v>
      </c>
      <c r="AJ111" t="s">
        <v>1989</v>
      </c>
      <c r="AK111" t="s">
        <v>1669</v>
      </c>
    </row>
    <row r="112" spans="1:37" hidden="1" x14ac:dyDescent="0.3">
      <c r="A112" t="s">
        <v>1891</v>
      </c>
      <c r="B112" s="56">
        <v>45791.521056172838</v>
      </c>
      <c r="C112" t="s">
        <v>1892</v>
      </c>
      <c r="D112" t="s">
        <v>1893</v>
      </c>
      <c r="E112" s="7">
        <v>37153</v>
      </c>
      <c r="F112" t="s">
        <v>1894</v>
      </c>
      <c r="G112" t="s">
        <v>112</v>
      </c>
      <c r="H112" t="s">
        <v>102</v>
      </c>
      <c r="I112" t="s">
        <v>1895</v>
      </c>
      <c r="J112" t="s">
        <v>4</v>
      </c>
      <c r="K112" t="s">
        <v>132</v>
      </c>
      <c r="L112" t="s">
        <v>104</v>
      </c>
      <c r="M112" t="s">
        <v>727</v>
      </c>
      <c r="N112" t="s">
        <v>944</v>
      </c>
      <c r="O112" t="s">
        <v>1890</v>
      </c>
      <c r="P112" t="s">
        <v>729</v>
      </c>
      <c r="Q112" t="s">
        <v>106</v>
      </c>
      <c r="R112" t="s">
        <v>106</v>
      </c>
      <c r="S112" t="s">
        <v>106</v>
      </c>
      <c r="T112" t="s">
        <v>713</v>
      </c>
      <c r="U112" t="s">
        <v>731</v>
      </c>
      <c r="V112" t="s">
        <v>731</v>
      </c>
      <c r="W112" t="s">
        <v>1896</v>
      </c>
      <c r="AB112" t="s">
        <v>733</v>
      </c>
      <c r="AC112" t="s">
        <v>1897</v>
      </c>
      <c r="AD112" t="s">
        <v>986</v>
      </c>
      <c r="AE112" t="s">
        <v>1435</v>
      </c>
      <c r="AF112" t="s">
        <v>752</v>
      </c>
      <c r="AG112" t="s">
        <v>731</v>
      </c>
      <c r="AH112" t="s">
        <v>1898</v>
      </c>
      <c r="AI112" t="s">
        <v>2</v>
      </c>
      <c r="AJ112" t="s">
        <v>1899</v>
      </c>
      <c r="AK112" t="s">
        <v>1656</v>
      </c>
    </row>
    <row r="113" spans="1:37" hidden="1" x14ac:dyDescent="0.3">
      <c r="A113" t="s">
        <v>1963</v>
      </c>
      <c r="B113" s="56">
        <v>45791.782496141976</v>
      </c>
      <c r="C113" t="s">
        <v>1964</v>
      </c>
      <c r="D113" t="s">
        <v>1965</v>
      </c>
      <c r="E113" s="7">
        <v>36943</v>
      </c>
      <c r="F113" t="s">
        <v>1966</v>
      </c>
      <c r="G113" t="s">
        <v>148</v>
      </c>
      <c r="H113" t="s">
        <v>102</v>
      </c>
      <c r="I113" t="s">
        <v>1967</v>
      </c>
      <c r="J113" t="s">
        <v>4</v>
      </c>
      <c r="K113" t="s">
        <v>113</v>
      </c>
      <c r="L113" t="s">
        <v>117</v>
      </c>
      <c r="M113" t="s">
        <v>1345</v>
      </c>
      <c r="N113" t="s">
        <v>736</v>
      </c>
      <c r="O113" t="s">
        <v>1890</v>
      </c>
      <c r="P113" t="s">
        <v>729</v>
      </c>
      <c r="Q113" t="s">
        <v>106</v>
      </c>
      <c r="R113" t="s">
        <v>106</v>
      </c>
      <c r="S113" t="s">
        <v>106</v>
      </c>
      <c r="T113" t="s">
        <v>120</v>
      </c>
      <c r="U113" t="s">
        <v>1968</v>
      </c>
      <c r="V113" t="s">
        <v>846</v>
      </c>
      <c r="W113" t="s">
        <v>1969</v>
      </c>
      <c r="AB113" t="s">
        <v>1</v>
      </c>
      <c r="AC113" t="s">
        <v>1970</v>
      </c>
      <c r="AD113" t="s">
        <v>1032</v>
      </c>
      <c r="AE113" t="s">
        <v>735</v>
      </c>
      <c r="AF113" t="s">
        <v>752</v>
      </c>
      <c r="AG113" t="s">
        <v>731</v>
      </c>
      <c r="AH113" t="s">
        <v>1855</v>
      </c>
      <c r="AI113" t="s">
        <v>2</v>
      </c>
      <c r="AJ113" t="s">
        <v>1971</v>
      </c>
      <c r="AK113" t="s">
        <v>1655</v>
      </c>
    </row>
    <row r="114" spans="1:37" hidden="1" x14ac:dyDescent="0.3">
      <c r="A114" t="s">
        <v>1900</v>
      </c>
      <c r="B114" s="56">
        <v>45791.822824614195</v>
      </c>
      <c r="C114" t="s">
        <v>1901</v>
      </c>
      <c r="D114" t="s">
        <v>1902</v>
      </c>
      <c r="E114" s="7">
        <v>32501</v>
      </c>
      <c r="F114" t="s">
        <v>1903</v>
      </c>
      <c r="G114" t="s">
        <v>148</v>
      </c>
      <c r="H114" t="s">
        <v>102</v>
      </c>
      <c r="I114" t="s">
        <v>1904</v>
      </c>
      <c r="J114" t="s">
        <v>4</v>
      </c>
      <c r="K114" t="s">
        <v>113</v>
      </c>
      <c r="L114" t="s">
        <v>110</v>
      </c>
      <c r="M114" t="s">
        <v>727</v>
      </c>
      <c r="N114" t="s">
        <v>944</v>
      </c>
      <c r="O114" t="s">
        <v>1890</v>
      </c>
      <c r="P114" t="s">
        <v>729</v>
      </c>
      <c r="Q114" t="s">
        <v>106</v>
      </c>
      <c r="R114" t="s">
        <v>106</v>
      </c>
      <c r="S114" t="s">
        <v>106</v>
      </c>
      <c r="T114" t="s">
        <v>713</v>
      </c>
      <c r="U114" t="s">
        <v>731</v>
      </c>
      <c r="V114" t="s">
        <v>731</v>
      </c>
      <c r="W114" t="s">
        <v>1905</v>
      </c>
      <c r="AB114" t="s">
        <v>1</v>
      </c>
      <c r="AC114" t="s">
        <v>1549</v>
      </c>
      <c r="AD114" t="s">
        <v>969</v>
      </c>
      <c r="AE114" t="s">
        <v>736</v>
      </c>
      <c r="AF114" t="s">
        <v>752</v>
      </c>
      <c r="AG114" t="s">
        <v>731</v>
      </c>
      <c r="AH114" t="s">
        <v>1906</v>
      </c>
      <c r="AI114" t="s">
        <v>2</v>
      </c>
      <c r="AJ114" t="s">
        <v>1907</v>
      </c>
      <c r="AK114" t="s">
        <v>1671</v>
      </c>
    </row>
    <row r="115" spans="1:37" hidden="1" x14ac:dyDescent="0.3">
      <c r="A115" t="s">
        <v>1908</v>
      </c>
      <c r="B115" s="56">
        <v>45791.837553935184</v>
      </c>
      <c r="C115" t="s">
        <v>1909</v>
      </c>
      <c r="D115" t="s">
        <v>1910</v>
      </c>
      <c r="E115" s="7">
        <v>36099</v>
      </c>
      <c r="F115" t="s">
        <v>1911</v>
      </c>
      <c r="G115" t="s">
        <v>1912</v>
      </c>
      <c r="H115" t="s">
        <v>102</v>
      </c>
      <c r="I115" t="s">
        <v>1913</v>
      </c>
      <c r="J115" t="s">
        <v>4</v>
      </c>
      <c r="K115" t="s">
        <v>1914</v>
      </c>
      <c r="L115" t="s">
        <v>110</v>
      </c>
      <c r="M115" t="s">
        <v>1915</v>
      </c>
      <c r="N115" t="s">
        <v>944</v>
      </c>
      <c r="O115" t="s">
        <v>111</v>
      </c>
      <c r="P115" t="s">
        <v>729</v>
      </c>
      <c r="Q115" t="s">
        <v>106</v>
      </c>
      <c r="R115" t="s">
        <v>106</v>
      </c>
      <c r="S115" t="s">
        <v>106</v>
      </c>
      <c r="T115" t="s">
        <v>713</v>
      </c>
      <c r="U115" t="s">
        <v>1916</v>
      </c>
      <c r="V115" t="s">
        <v>731</v>
      </c>
      <c r="W115" t="s">
        <v>1917</v>
      </c>
      <c r="X115" t="s">
        <v>1918</v>
      </c>
      <c r="Y115" t="s">
        <v>1871</v>
      </c>
      <c r="Z115" t="s">
        <v>1919</v>
      </c>
      <c r="AA115" t="s">
        <v>1920</v>
      </c>
      <c r="AB115" t="s">
        <v>1</v>
      </c>
      <c r="AC115" t="s">
        <v>1921</v>
      </c>
      <c r="AD115" t="s">
        <v>835</v>
      </c>
      <c r="AE115" t="s">
        <v>944</v>
      </c>
      <c r="AF115" t="s">
        <v>752</v>
      </c>
      <c r="AG115" t="s">
        <v>731</v>
      </c>
      <c r="AH115" t="s">
        <v>1778</v>
      </c>
      <c r="AI115" t="s">
        <v>2</v>
      </c>
      <c r="AJ115" t="s">
        <v>1922</v>
      </c>
      <c r="AK115" t="s">
        <v>1669</v>
      </c>
    </row>
    <row r="116" spans="1:37" hidden="1" x14ac:dyDescent="0.3">
      <c r="A116" t="s">
        <v>1990</v>
      </c>
      <c r="B116" s="56">
        <v>45791.936858719135</v>
      </c>
      <c r="C116" t="s">
        <v>1991</v>
      </c>
      <c r="D116" t="s">
        <v>1992</v>
      </c>
      <c r="E116" s="7">
        <v>35802</v>
      </c>
      <c r="F116" t="s">
        <v>1993</v>
      </c>
      <c r="G116" t="s">
        <v>124</v>
      </c>
      <c r="H116" t="s">
        <v>102</v>
      </c>
      <c r="I116" t="s">
        <v>1994</v>
      </c>
      <c r="J116" t="s">
        <v>5</v>
      </c>
      <c r="K116" t="s">
        <v>1476</v>
      </c>
      <c r="L116" t="s">
        <v>117</v>
      </c>
      <c r="M116" t="s">
        <v>1995</v>
      </c>
      <c r="N116" t="s">
        <v>1996</v>
      </c>
      <c r="O116" t="s">
        <v>1004</v>
      </c>
      <c r="P116" t="s">
        <v>119</v>
      </c>
      <c r="Q116" t="s">
        <v>1997</v>
      </c>
      <c r="R116" t="s">
        <v>117</v>
      </c>
      <c r="S116" t="s">
        <v>106</v>
      </c>
      <c r="T116" t="s">
        <v>713</v>
      </c>
      <c r="U116" t="s">
        <v>731</v>
      </c>
      <c r="V116" t="s">
        <v>731</v>
      </c>
      <c r="W116" t="s">
        <v>1998</v>
      </c>
      <c r="AB116" t="s">
        <v>1</v>
      </c>
      <c r="AC116" t="s">
        <v>1999</v>
      </c>
      <c r="AD116" t="s">
        <v>1008</v>
      </c>
      <c r="AE116" t="s">
        <v>764</v>
      </c>
      <c r="AF116" t="s">
        <v>752</v>
      </c>
      <c r="AG116" t="s">
        <v>731</v>
      </c>
      <c r="AH116" t="s">
        <v>2000</v>
      </c>
      <c r="AI116" t="s">
        <v>2</v>
      </c>
      <c r="AJ116" t="s">
        <v>2001</v>
      </c>
      <c r="AK116" t="s">
        <v>1670</v>
      </c>
    </row>
    <row r="117" spans="1:37" hidden="1" x14ac:dyDescent="0.3">
      <c r="A117" t="s">
        <v>147</v>
      </c>
      <c r="B117" s="56">
        <v>45792.914086728393</v>
      </c>
      <c r="C117" t="s">
        <v>146</v>
      </c>
      <c r="D117" t="s">
        <v>484</v>
      </c>
      <c r="E117" s="7">
        <v>35552</v>
      </c>
      <c r="F117" t="s">
        <v>2002</v>
      </c>
      <c r="G117" t="s">
        <v>148</v>
      </c>
      <c r="H117" t="s">
        <v>102</v>
      </c>
      <c r="I117" t="s">
        <v>149</v>
      </c>
      <c r="J117" t="s">
        <v>5</v>
      </c>
      <c r="K117" t="s">
        <v>150</v>
      </c>
      <c r="L117" t="s">
        <v>121</v>
      </c>
      <c r="M117" t="s">
        <v>2003</v>
      </c>
      <c r="N117" t="s">
        <v>844</v>
      </c>
      <c r="O117" t="s">
        <v>1890</v>
      </c>
      <c r="P117" t="s">
        <v>119</v>
      </c>
      <c r="Q117" t="s">
        <v>151</v>
      </c>
      <c r="R117" t="s">
        <v>152</v>
      </c>
      <c r="S117" t="s">
        <v>106</v>
      </c>
      <c r="T117" t="s">
        <v>713</v>
      </c>
      <c r="U117" t="s">
        <v>2004</v>
      </c>
      <c r="V117" t="s">
        <v>731</v>
      </c>
      <c r="W117" t="s">
        <v>1861</v>
      </c>
      <c r="AB117" t="s">
        <v>1</v>
      </c>
      <c r="AC117" t="s">
        <v>2005</v>
      </c>
      <c r="AD117" t="s">
        <v>915</v>
      </c>
      <c r="AE117" t="s">
        <v>800</v>
      </c>
      <c r="AF117" t="s">
        <v>752</v>
      </c>
      <c r="AG117" t="s">
        <v>753</v>
      </c>
      <c r="AH117" t="s">
        <v>2006</v>
      </c>
      <c r="AI117" t="s">
        <v>2</v>
      </c>
      <c r="AJ117" t="s">
        <v>2007</v>
      </c>
      <c r="AK117" t="s">
        <v>1673</v>
      </c>
    </row>
    <row r="118" spans="1:37" hidden="1" x14ac:dyDescent="0.3">
      <c r="A118" t="s">
        <v>1923</v>
      </c>
      <c r="B118" s="56">
        <v>45792.952212692901</v>
      </c>
      <c r="C118" t="s">
        <v>1924</v>
      </c>
      <c r="D118" t="s">
        <v>1925</v>
      </c>
      <c r="E118" s="7">
        <v>34453</v>
      </c>
      <c r="F118" t="s">
        <v>1926</v>
      </c>
      <c r="G118" t="s">
        <v>112</v>
      </c>
      <c r="H118" t="s">
        <v>102</v>
      </c>
      <c r="I118" t="s">
        <v>1927</v>
      </c>
      <c r="J118" t="s">
        <v>4</v>
      </c>
      <c r="K118" t="s">
        <v>1928</v>
      </c>
      <c r="L118" t="s">
        <v>121</v>
      </c>
      <c r="M118" t="s">
        <v>1929</v>
      </c>
      <c r="N118" t="s">
        <v>736</v>
      </c>
      <c r="O118" t="s">
        <v>1890</v>
      </c>
      <c r="P118" t="s">
        <v>729</v>
      </c>
      <c r="Q118" t="s">
        <v>106</v>
      </c>
      <c r="R118" t="s">
        <v>106</v>
      </c>
      <c r="S118" t="s">
        <v>106</v>
      </c>
      <c r="T118" t="s">
        <v>730</v>
      </c>
      <c r="U118" t="s">
        <v>1930</v>
      </c>
      <c r="V118" t="s">
        <v>731</v>
      </c>
      <c r="W118" t="s">
        <v>1931</v>
      </c>
      <c r="X118" t="s">
        <v>1932</v>
      </c>
      <c r="Y118" t="s">
        <v>1933</v>
      </c>
      <c r="Z118" t="s">
        <v>1934</v>
      </c>
      <c r="AA118" t="s">
        <v>1935</v>
      </c>
      <c r="AB118" t="s">
        <v>733</v>
      </c>
      <c r="AC118" t="s">
        <v>1936</v>
      </c>
      <c r="AD118" t="s">
        <v>1937</v>
      </c>
      <c r="AE118" t="s">
        <v>1938</v>
      </c>
      <c r="AF118" t="s">
        <v>752</v>
      </c>
      <c r="AG118" t="s">
        <v>1939</v>
      </c>
      <c r="AH118" t="s">
        <v>1940</v>
      </c>
      <c r="AI118" t="s">
        <v>2</v>
      </c>
      <c r="AJ118" t="s">
        <v>1941</v>
      </c>
      <c r="AK118" t="s">
        <v>1654</v>
      </c>
    </row>
    <row r="119" spans="1:37" hidden="1" x14ac:dyDescent="0.3">
      <c r="A119" t="s">
        <v>1942</v>
      </c>
      <c r="B119" s="56">
        <v>45792.968961844133</v>
      </c>
      <c r="C119" t="s">
        <v>1943</v>
      </c>
      <c r="D119" t="s">
        <v>1944</v>
      </c>
      <c r="E119" s="7">
        <v>36205</v>
      </c>
      <c r="F119" t="s">
        <v>1945</v>
      </c>
      <c r="G119" t="s">
        <v>112</v>
      </c>
      <c r="H119" t="s">
        <v>102</v>
      </c>
      <c r="I119" t="s">
        <v>1946</v>
      </c>
      <c r="J119" t="s">
        <v>4</v>
      </c>
      <c r="K119" t="s">
        <v>1928</v>
      </c>
      <c r="L119" t="s">
        <v>110</v>
      </c>
      <c r="M119" t="s">
        <v>1947</v>
      </c>
      <c r="N119" t="s">
        <v>735</v>
      </c>
      <c r="O119" t="s">
        <v>1890</v>
      </c>
      <c r="P119" t="s">
        <v>729</v>
      </c>
      <c r="Q119" t="s">
        <v>106</v>
      </c>
      <c r="R119" t="s">
        <v>106</v>
      </c>
      <c r="S119" t="s">
        <v>106</v>
      </c>
      <c r="T119" t="s">
        <v>730</v>
      </c>
      <c r="U119" t="s">
        <v>1948</v>
      </c>
      <c r="V119" t="s">
        <v>731</v>
      </c>
      <c r="W119" t="s">
        <v>1949</v>
      </c>
      <c r="AB119" t="s">
        <v>733</v>
      </c>
      <c r="AC119" t="s">
        <v>1950</v>
      </c>
      <c r="AD119" t="s">
        <v>986</v>
      </c>
      <c r="AE119" t="s">
        <v>735</v>
      </c>
      <c r="AF119" t="s">
        <v>752</v>
      </c>
      <c r="AG119" t="s">
        <v>731</v>
      </c>
      <c r="AH119" t="s">
        <v>1951</v>
      </c>
      <c r="AI119" t="s">
        <v>2</v>
      </c>
      <c r="AJ119" t="s">
        <v>1952</v>
      </c>
      <c r="AK119" t="s">
        <v>1669</v>
      </c>
    </row>
    <row r="120" spans="1:37" hidden="1" x14ac:dyDescent="0.3">
      <c r="A120" t="s">
        <v>1953</v>
      </c>
      <c r="B120" s="56">
        <v>45793.497970293211</v>
      </c>
      <c r="C120" t="s">
        <v>1954</v>
      </c>
      <c r="D120" t="s">
        <v>1955</v>
      </c>
      <c r="E120" s="7">
        <v>38000</v>
      </c>
      <c r="F120" t="s">
        <v>1956</v>
      </c>
      <c r="G120" t="s">
        <v>124</v>
      </c>
      <c r="H120" t="s">
        <v>102</v>
      </c>
      <c r="I120" t="s">
        <v>1957</v>
      </c>
      <c r="J120" t="s">
        <v>4</v>
      </c>
      <c r="K120" t="s">
        <v>692</v>
      </c>
      <c r="L120" t="s">
        <v>110</v>
      </c>
      <c r="M120" t="s">
        <v>1958</v>
      </c>
      <c r="N120" t="s">
        <v>736</v>
      </c>
      <c r="O120" t="s">
        <v>1004</v>
      </c>
      <c r="P120" t="s">
        <v>729</v>
      </c>
      <c r="Q120" t="s">
        <v>106</v>
      </c>
      <c r="R120" t="s">
        <v>106</v>
      </c>
      <c r="S120" t="s">
        <v>106</v>
      </c>
      <c r="T120" t="s">
        <v>120</v>
      </c>
      <c r="U120" t="s">
        <v>731</v>
      </c>
      <c r="V120" t="s">
        <v>731</v>
      </c>
      <c r="W120" t="s">
        <v>1959</v>
      </c>
      <c r="AB120" t="s">
        <v>733</v>
      </c>
      <c r="AC120" t="s">
        <v>1960</v>
      </c>
      <c r="AD120" t="s">
        <v>764</v>
      </c>
      <c r="AE120" t="s">
        <v>736</v>
      </c>
      <c r="AF120" t="s">
        <v>752</v>
      </c>
      <c r="AG120" t="s">
        <v>731</v>
      </c>
      <c r="AH120" t="s">
        <v>1961</v>
      </c>
      <c r="AI120" t="s">
        <v>2</v>
      </c>
      <c r="AJ120" t="s">
        <v>1962</v>
      </c>
      <c r="AK120" t="s">
        <v>1665</v>
      </c>
    </row>
    <row r="121" spans="1:37" hidden="1" x14ac:dyDescent="0.3">
      <c r="A121" t="s">
        <v>2018</v>
      </c>
      <c r="B121" s="56">
        <v>45794.008785416663</v>
      </c>
      <c r="C121" t="s">
        <v>2019</v>
      </c>
      <c r="D121" t="s">
        <v>2020</v>
      </c>
      <c r="E121" s="7">
        <v>35905</v>
      </c>
      <c r="F121" t="s">
        <v>2021</v>
      </c>
      <c r="G121" t="s">
        <v>112</v>
      </c>
      <c r="H121" t="s">
        <v>102</v>
      </c>
      <c r="I121" t="s">
        <v>2022</v>
      </c>
      <c r="J121" t="s">
        <v>4</v>
      </c>
      <c r="K121" t="s">
        <v>1928</v>
      </c>
      <c r="L121" t="s">
        <v>117</v>
      </c>
      <c r="M121" t="s">
        <v>773</v>
      </c>
      <c r="N121" t="s">
        <v>736</v>
      </c>
      <c r="O121" t="s">
        <v>1890</v>
      </c>
      <c r="P121" t="s">
        <v>729</v>
      </c>
      <c r="Q121" t="s">
        <v>106</v>
      </c>
      <c r="R121" t="s">
        <v>106</v>
      </c>
      <c r="S121" t="s">
        <v>106</v>
      </c>
      <c r="T121" t="s">
        <v>730</v>
      </c>
      <c r="U121" t="s">
        <v>731</v>
      </c>
      <c r="V121" t="s">
        <v>731</v>
      </c>
      <c r="W121" t="s">
        <v>2023</v>
      </c>
      <c r="AB121" t="s">
        <v>733</v>
      </c>
      <c r="AC121" t="s">
        <v>2024</v>
      </c>
      <c r="AD121" t="s">
        <v>880</v>
      </c>
      <c r="AE121" t="s">
        <v>789</v>
      </c>
      <c r="AF121" t="s">
        <v>752</v>
      </c>
      <c r="AG121" t="s">
        <v>731</v>
      </c>
      <c r="AH121" t="s">
        <v>1638</v>
      </c>
      <c r="AI121" t="s">
        <v>2</v>
      </c>
      <c r="AJ121" t="s">
        <v>2025</v>
      </c>
      <c r="AK121" t="s">
        <v>1670</v>
      </c>
    </row>
    <row r="122" spans="1:37" hidden="1" x14ac:dyDescent="0.3">
      <c r="A122" t="s">
        <v>525</v>
      </c>
      <c r="B122" s="56">
        <v>45794.577861033948</v>
      </c>
      <c r="C122" t="s">
        <v>524</v>
      </c>
      <c r="D122" t="s">
        <v>526</v>
      </c>
      <c r="E122" s="7">
        <v>28657</v>
      </c>
      <c r="F122" t="s">
        <v>2034</v>
      </c>
      <c r="G122" t="s">
        <v>367</v>
      </c>
      <c r="H122" t="s">
        <v>102</v>
      </c>
      <c r="I122" t="s">
        <v>655</v>
      </c>
      <c r="J122" t="s">
        <v>5</v>
      </c>
      <c r="K122" t="s">
        <v>2035</v>
      </c>
      <c r="L122" t="s">
        <v>121</v>
      </c>
      <c r="M122" t="s">
        <v>2036</v>
      </c>
      <c r="N122" t="s">
        <v>1706</v>
      </c>
      <c r="O122" t="s">
        <v>116</v>
      </c>
      <c r="P122" t="s">
        <v>119</v>
      </c>
      <c r="Q122" t="s">
        <v>656</v>
      </c>
      <c r="R122" t="s">
        <v>121</v>
      </c>
      <c r="S122" t="s">
        <v>106</v>
      </c>
      <c r="T122" t="s">
        <v>713</v>
      </c>
      <c r="U122" t="s">
        <v>731</v>
      </c>
      <c r="V122" t="s">
        <v>731</v>
      </c>
      <c r="W122" t="s">
        <v>2037</v>
      </c>
      <c r="X122" t="s">
        <v>2038</v>
      </c>
      <c r="Y122" t="s">
        <v>1334</v>
      </c>
      <c r="Z122" t="s">
        <v>2039</v>
      </c>
      <c r="AB122" t="s">
        <v>1</v>
      </c>
      <c r="AC122" t="s">
        <v>2040</v>
      </c>
      <c r="AD122" t="s">
        <v>2041</v>
      </c>
      <c r="AE122" t="s">
        <v>1686</v>
      </c>
      <c r="AF122" t="s">
        <v>752</v>
      </c>
      <c r="AG122" t="s">
        <v>904</v>
      </c>
      <c r="AH122" t="s">
        <v>2042</v>
      </c>
      <c r="AI122" t="s">
        <v>2</v>
      </c>
      <c r="AJ122" t="s">
        <v>2043</v>
      </c>
      <c r="AK122" t="s">
        <v>2909</v>
      </c>
    </row>
    <row r="123" spans="1:37" hidden="1" x14ac:dyDescent="0.3">
      <c r="A123" t="s">
        <v>228</v>
      </c>
      <c r="B123" s="56">
        <v>45794.82606265432</v>
      </c>
      <c r="C123" t="s">
        <v>229</v>
      </c>
      <c r="D123" t="s">
        <v>230</v>
      </c>
      <c r="E123" s="7">
        <v>27042</v>
      </c>
      <c r="F123" t="s">
        <v>2044</v>
      </c>
      <c r="G123" t="s">
        <v>231</v>
      </c>
      <c r="H123" t="s">
        <v>102</v>
      </c>
      <c r="I123" t="s">
        <v>232</v>
      </c>
      <c r="J123" t="s">
        <v>5</v>
      </c>
      <c r="K123" t="s">
        <v>235</v>
      </c>
      <c r="L123" t="s">
        <v>117</v>
      </c>
      <c r="M123" t="s">
        <v>2045</v>
      </c>
      <c r="N123" t="s">
        <v>945</v>
      </c>
      <c r="O123" t="s">
        <v>1004</v>
      </c>
      <c r="P123" t="s">
        <v>119</v>
      </c>
      <c r="Q123" t="s">
        <v>233</v>
      </c>
      <c r="R123" t="s">
        <v>117</v>
      </c>
      <c r="S123" t="s">
        <v>106</v>
      </c>
      <c r="T123" t="s">
        <v>713</v>
      </c>
      <c r="U123" t="s">
        <v>731</v>
      </c>
      <c r="V123" t="s">
        <v>2046</v>
      </c>
      <c r="W123" t="s">
        <v>2047</v>
      </c>
      <c r="AA123" t="s">
        <v>1977</v>
      </c>
      <c r="AB123" t="s">
        <v>1</v>
      </c>
      <c r="AC123" t="s">
        <v>2048</v>
      </c>
      <c r="AD123" t="s">
        <v>880</v>
      </c>
      <c r="AE123" t="s">
        <v>2049</v>
      </c>
      <c r="AF123" t="s">
        <v>790</v>
      </c>
      <c r="AG123" t="s">
        <v>753</v>
      </c>
      <c r="AH123" t="s">
        <v>2050</v>
      </c>
      <c r="AI123" t="s">
        <v>2</v>
      </c>
      <c r="AJ123" t="s">
        <v>2051</v>
      </c>
      <c r="AK123" t="s">
        <v>1757</v>
      </c>
    </row>
    <row r="124" spans="1:37" hidden="1" x14ac:dyDescent="0.3">
      <c r="A124" t="s">
        <v>2114</v>
      </c>
      <c r="B124" s="56">
        <v>45794.867059722223</v>
      </c>
      <c r="C124" t="s">
        <v>2115</v>
      </c>
      <c r="D124" t="s">
        <v>2116</v>
      </c>
      <c r="E124" s="7">
        <v>29939</v>
      </c>
      <c r="F124" t="s">
        <v>2117</v>
      </c>
      <c r="G124" t="s">
        <v>124</v>
      </c>
      <c r="H124" t="s">
        <v>102</v>
      </c>
      <c r="I124" t="s">
        <v>2118</v>
      </c>
      <c r="J124" t="s">
        <v>4</v>
      </c>
      <c r="K124" t="s">
        <v>692</v>
      </c>
      <c r="L124" t="s">
        <v>110</v>
      </c>
      <c r="M124" t="s">
        <v>760</v>
      </c>
      <c r="N124" t="s">
        <v>736</v>
      </c>
      <c r="O124" t="s">
        <v>1004</v>
      </c>
      <c r="P124" t="s">
        <v>729</v>
      </c>
      <c r="Q124" t="s">
        <v>106</v>
      </c>
      <c r="R124" t="s">
        <v>106</v>
      </c>
      <c r="S124" t="s">
        <v>106</v>
      </c>
      <c r="T124" t="s">
        <v>713</v>
      </c>
      <c r="U124" t="s">
        <v>2119</v>
      </c>
      <c r="V124" t="s">
        <v>731</v>
      </c>
      <c r="W124" t="s">
        <v>2120</v>
      </c>
      <c r="AB124" t="s">
        <v>733</v>
      </c>
      <c r="AC124" t="s">
        <v>2121</v>
      </c>
      <c r="AD124" t="s">
        <v>2122</v>
      </c>
      <c r="AE124" t="s">
        <v>736</v>
      </c>
      <c r="AF124" t="s">
        <v>790</v>
      </c>
      <c r="AG124" t="s">
        <v>2123</v>
      </c>
      <c r="AH124" t="s">
        <v>2124</v>
      </c>
      <c r="AI124" t="s">
        <v>2</v>
      </c>
      <c r="AJ124" t="s">
        <v>2125</v>
      </c>
      <c r="AK124" t="s">
        <v>2126</v>
      </c>
    </row>
    <row r="125" spans="1:37" hidden="1" x14ac:dyDescent="0.3">
      <c r="A125" t="s">
        <v>2054</v>
      </c>
      <c r="B125" s="56">
        <v>45795.734300733027</v>
      </c>
      <c r="C125" t="s">
        <v>2055</v>
      </c>
      <c r="D125" t="s">
        <v>2056</v>
      </c>
      <c r="E125" s="7">
        <v>35911</v>
      </c>
      <c r="F125" t="s">
        <v>2057</v>
      </c>
      <c r="G125" t="s">
        <v>112</v>
      </c>
      <c r="H125" t="s">
        <v>102</v>
      </c>
      <c r="I125" t="s">
        <v>2058</v>
      </c>
      <c r="J125" t="s">
        <v>4</v>
      </c>
      <c r="K125" t="s">
        <v>150</v>
      </c>
      <c r="L125" t="s">
        <v>121</v>
      </c>
      <c r="M125" t="s">
        <v>727</v>
      </c>
      <c r="N125" t="s">
        <v>912</v>
      </c>
      <c r="O125" t="s">
        <v>1890</v>
      </c>
      <c r="P125" t="s">
        <v>729</v>
      </c>
      <c r="Q125" t="s">
        <v>106</v>
      </c>
      <c r="R125" t="s">
        <v>106</v>
      </c>
      <c r="S125" t="s">
        <v>106</v>
      </c>
      <c r="T125" t="s">
        <v>713</v>
      </c>
      <c r="U125" t="s">
        <v>731</v>
      </c>
      <c r="V125" t="s">
        <v>731</v>
      </c>
      <c r="W125" t="s">
        <v>2059</v>
      </c>
      <c r="AB125" t="s">
        <v>1</v>
      </c>
      <c r="AC125" t="s">
        <v>1705</v>
      </c>
      <c r="AD125" t="s">
        <v>880</v>
      </c>
      <c r="AE125" t="s">
        <v>986</v>
      </c>
      <c r="AF125" t="s">
        <v>752</v>
      </c>
      <c r="AG125" t="s">
        <v>753</v>
      </c>
      <c r="AH125" t="s">
        <v>2060</v>
      </c>
      <c r="AI125" t="s">
        <v>2</v>
      </c>
      <c r="AJ125" t="s">
        <v>2061</v>
      </c>
      <c r="AK125" t="s">
        <v>1670</v>
      </c>
    </row>
    <row r="126" spans="1:37" hidden="1" x14ac:dyDescent="0.3">
      <c r="A126" t="s">
        <v>2062</v>
      </c>
      <c r="B126" s="56">
        <v>45795.758965586421</v>
      </c>
      <c r="C126" t="s">
        <v>2063</v>
      </c>
      <c r="D126" t="s">
        <v>2064</v>
      </c>
      <c r="E126" s="7">
        <v>35751</v>
      </c>
      <c r="F126" t="s">
        <v>2065</v>
      </c>
      <c r="G126" t="s">
        <v>148</v>
      </c>
      <c r="H126" t="s">
        <v>102</v>
      </c>
      <c r="I126" t="s">
        <v>2066</v>
      </c>
      <c r="J126" t="s">
        <v>4</v>
      </c>
      <c r="K126" t="s">
        <v>150</v>
      </c>
      <c r="L126" t="s">
        <v>122</v>
      </c>
      <c r="M126" t="s">
        <v>2067</v>
      </c>
      <c r="N126" t="s">
        <v>2068</v>
      </c>
      <c r="O126" t="s">
        <v>1890</v>
      </c>
      <c r="P126" t="s">
        <v>729</v>
      </c>
      <c r="Q126" t="s">
        <v>106</v>
      </c>
      <c r="R126" t="s">
        <v>106</v>
      </c>
      <c r="S126" t="s">
        <v>106</v>
      </c>
      <c r="T126" t="s">
        <v>120</v>
      </c>
      <c r="U126" t="s">
        <v>731</v>
      </c>
      <c r="V126" t="s">
        <v>731</v>
      </c>
      <c r="W126" t="s">
        <v>2069</v>
      </c>
      <c r="X126" t="s">
        <v>2070</v>
      </c>
      <c r="Y126" t="s">
        <v>1091</v>
      </c>
      <c r="Z126" t="s">
        <v>2071</v>
      </c>
      <c r="AA126" t="s">
        <v>2072</v>
      </c>
      <c r="AB126" t="s">
        <v>1</v>
      </c>
      <c r="AC126" t="s">
        <v>2073</v>
      </c>
      <c r="AD126" t="s">
        <v>1148</v>
      </c>
      <c r="AE126" t="s">
        <v>2074</v>
      </c>
      <c r="AF126" t="s">
        <v>752</v>
      </c>
      <c r="AG126" t="s">
        <v>753</v>
      </c>
      <c r="AH126" t="s">
        <v>2075</v>
      </c>
      <c r="AI126" t="s">
        <v>2</v>
      </c>
      <c r="AJ126" t="s">
        <v>2076</v>
      </c>
      <c r="AK126" t="s">
        <v>1670</v>
      </c>
    </row>
    <row r="127" spans="1:37" hidden="1" x14ac:dyDescent="0.3">
      <c r="A127" t="s">
        <v>2141</v>
      </c>
      <c r="B127" s="56">
        <v>45795.8192498071</v>
      </c>
      <c r="C127" t="s">
        <v>2142</v>
      </c>
      <c r="D127" t="s">
        <v>2143</v>
      </c>
      <c r="E127" s="7">
        <v>32002</v>
      </c>
      <c r="F127" t="s">
        <v>2144</v>
      </c>
      <c r="G127" t="s">
        <v>112</v>
      </c>
      <c r="H127" t="s">
        <v>102</v>
      </c>
      <c r="I127" t="s">
        <v>2145</v>
      </c>
      <c r="J127" t="s">
        <v>4</v>
      </c>
      <c r="K127" t="s">
        <v>1928</v>
      </c>
      <c r="L127" t="s">
        <v>117</v>
      </c>
      <c r="M127" t="s">
        <v>727</v>
      </c>
      <c r="N127" t="s">
        <v>1094</v>
      </c>
      <c r="O127" t="s">
        <v>1890</v>
      </c>
      <c r="P127" t="s">
        <v>119</v>
      </c>
      <c r="Q127" t="s">
        <v>2146</v>
      </c>
      <c r="R127" t="s">
        <v>110</v>
      </c>
      <c r="S127" t="s">
        <v>106</v>
      </c>
      <c r="T127" t="s">
        <v>730</v>
      </c>
      <c r="U127" t="s">
        <v>731</v>
      </c>
      <c r="V127" t="s">
        <v>731</v>
      </c>
      <c r="W127" t="s">
        <v>2147</v>
      </c>
      <c r="X127" t="s">
        <v>2148</v>
      </c>
      <c r="Y127" t="s">
        <v>1091</v>
      </c>
      <c r="Z127" t="s">
        <v>1092</v>
      </c>
      <c r="AB127" t="s">
        <v>733</v>
      </c>
      <c r="AC127" t="s">
        <v>1705</v>
      </c>
      <c r="AD127" t="s">
        <v>2149</v>
      </c>
      <c r="AE127" t="s">
        <v>778</v>
      </c>
      <c r="AF127" t="s">
        <v>790</v>
      </c>
      <c r="AG127" t="s">
        <v>1939</v>
      </c>
      <c r="AH127" t="s">
        <v>2150</v>
      </c>
      <c r="AI127" t="s">
        <v>2</v>
      </c>
      <c r="AJ127" t="s">
        <v>2151</v>
      </c>
      <c r="AK127" t="s">
        <v>1675</v>
      </c>
    </row>
    <row r="128" spans="1:37" hidden="1" x14ac:dyDescent="0.3">
      <c r="A128" t="s">
        <v>2077</v>
      </c>
      <c r="B128" s="56">
        <v>45795.887010609571</v>
      </c>
      <c r="C128" t="s">
        <v>2078</v>
      </c>
      <c r="D128" t="s">
        <v>2079</v>
      </c>
      <c r="E128" s="7">
        <v>37266</v>
      </c>
      <c r="F128" t="s">
        <v>2080</v>
      </c>
      <c r="G128" t="s">
        <v>124</v>
      </c>
      <c r="H128" t="s">
        <v>102</v>
      </c>
      <c r="I128" t="s">
        <v>2081</v>
      </c>
      <c r="J128" t="s">
        <v>4</v>
      </c>
      <c r="K128" t="s">
        <v>692</v>
      </c>
      <c r="L128" t="s">
        <v>115</v>
      </c>
      <c r="M128" t="s">
        <v>2082</v>
      </c>
      <c r="N128" t="s">
        <v>844</v>
      </c>
      <c r="O128" t="s">
        <v>1004</v>
      </c>
      <c r="P128" t="s">
        <v>729</v>
      </c>
      <c r="Q128" t="s">
        <v>106</v>
      </c>
      <c r="R128" t="s">
        <v>106</v>
      </c>
      <c r="S128" t="s">
        <v>106</v>
      </c>
      <c r="T128" t="s">
        <v>713</v>
      </c>
      <c r="U128" t="s">
        <v>731</v>
      </c>
      <c r="V128" t="s">
        <v>731</v>
      </c>
      <c r="W128" t="s">
        <v>2083</v>
      </c>
      <c r="AB128" t="s">
        <v>1</v>
      </c>
      <c r="AC128" t="s">
        <v>2084</v>
      </c>
      <c r="AD128" t="s">
        <v>986</v>
      </c>
      <c r="AE128" t="s">
        <v>2085</v>
      </c>
      <c r="AF128" t="s">
        <v>752</v>
      </c>
      <c r="AG128" t="s">
        <v>731</v>
      </c>
      <c r="AH128" t="s">
        <v>1689</v>
      </c>
      <c r="AI128" t="s">
        <v>2</v>
      </c>
      <c r="AJ128" t="s">
        <v>2086</v>
      </c>
      <c r="AK128" t="s">
        <v>1656</v>
      </c>
    </row>
    <row r="129" spans="1:37" hidden="1" x14ac:dyDescent="0.3">
      <c r="A129" t="s">
        <v>2152</v>
      </c>
      <c r="B129" s="56">
        <v>45796.382619212964</v>
      </c>
      <c r="C129" t="s">
        <v>2153</v>
      </c>
      <c r="D129" t="s">
        <v>2154</v>
      </c>
      <c r="E129" s="7">
        <v>36241</v>
      </c>
      <c r="F129" t="s">
        <v>2155</v>
      </c>
      <c r="G129" t="s">
        <v>124</v>
      </c>
      <c r="H129" t="s">
        <v>102</v>
      </c>
      <c r="I129" t="s">
        <v>2156</v>
      </c>
      <c r="J129" t="s">
        <v>5</v>
      </c>
      <c r="K129" t="s">
        <v>1476</v>
      </c>
      <c r="L129" t="s">
        <v>117</v>
      </c>
      <c r="M129" t="s">
        <v>2157</v>
      </c>
      <c r="N129" t="s">
        <v>735</v>
      </c>
      <c r="O129" t="s">
        <v>1004</v>
      </c>
      <c r="P129" t="s">
        <v>119</v>
      </c>
      <c r="Q129" t="s">
        <v>2158</v>
      </c>
      <c r="R129" t="s">
        <v>117</v>
      </c>
      <c r="S129" t="s">
        <v>106</v>
      </c>
      <c r="T129" t="s">
        <v>713</v>
      </c>
      <c r="U129" t="s">
        <v>731</v>
      </c>
      <c r="V129" t="s">
        <v>731</v>
      </c>
      <c r="W129" t="s">
        <v>2159</v>
      </c>
      <c r="AB129" t="s">
        <v>1</v>
      </c>
      <c r="AC129" t="s">
        <v>1685</v>
      </c>
      <c r="AD129" t="s">
        <v>800</v>
      </c>
      <c r="AE129" t="s">
        <v>764</v>
      </c>
      <c r="AF129" t="s">
        <v>752</v>
      </c>
      <c r="AG129" t="s">
        <v>904</v>
      </c>
      <c r="AH129" t="s">
        <v>2160</v>
      </c>
      <c r="AI129" t="s">
        <v>2</v>
      </c>
      <c r="AJ129" t="s">
        <v>2161</v>
      </c>
      <c r="AK129" t="s">
        <v>1669</v>
      </c>
    </row>
    <row r="130" spans="1:37" hidden="1" x14ac:dyDescent="0.3">
      <c r="A130" t="s">
        <v>2087</v>
      </c>
      <c r="B130" s="56">
        <v>45796.670062770063</v>
      </c>
      <c r="C130" t="s">
        <v>2088</v>
      </c>
      <c r="D130" t="s">
        <v>2089</v>
      </c>
      <c r="E130" s="7">
        <v>38326</v>
      </c>
      <c r="F130" t="s">
        <v>2090</v>
      </c>
      <c r="G130" t="s">
        <v>124</v>
      </c>
      <c r="H130" t="s">
        <v>102</v>
      </c>
      <c r="I130" t="s">
        <v>2091</v>
      </c>
      <c r="J130" t="s">
        <v>4</v>
      </c>
      <c r="K130" t="s">
        <v>692</v>
      </c>
      <c r="L130" t="s">
        <v>117</v>
      </c>
      <c r="M130" t="s">
        <v>889</v>
      </c>
      <c r="N130" t="s">
        <v>1443</v>
      </c>
      <c r="O130" t="s">
        <v>1004</v>
      </c>
      <c r="P130" t="s">
        <v>729</v>
      </c>
      <c r="Q130" t="s">
        <v>106</v>
      </c>
      <c r="R130" t="s">
        <v>106</v>
      </c>
      <c r="S130" t="s">
        <v>106</v>
      </c>
      <c r="T130" t="s">
        <v>730</v>
      </c>
      <c r="U130" t="s">
        <v>731</v>
      </c>
      <c r="V130" t="s">
        <v>731</v>
      </c>
      <c r="W130" t="s">
        <v>2092</v>
      </c>
      <c r="AB130" t="s">
        <v>733</v>
      </c>
      <c r="AC130" t="s">
        <v>763</v>
      </c>
      <c r="AD130" t="s">
        <v>880</v>
      </c>
      <c r="AE130" t="s">
        <v>1443</v>
      </c>
      <c r="AF130" t="s">
        <v>752</v>
      </c>
      <c r="AG130" t="s">
        <v>731</v>
      </c>
      <c r="AH130" t="s">
        <v>2093</v>
      </c>
      <c r="AI130" t="s">
        <v>2</v>
      </c>
      <c r="AJ130" t="s">
        <v>2094</v>
      </c>
      <c r="AK130" t="s">
        <v>1662</v>
      </c>
    </row>
    <row r="131" spans="1:37" hidden="1" x14ac:dyDescent="0.3">
      <c r="A131" t="s">
        <v>2095</v>
      </c>
      <c r="B131" s="56">
        <v>45796.852564891975</v>
      </c>
      <c r="C131" t="s">
        <v>2096</v>
      </c>
      <c r="D131" t="s">
        <v>2097</v>
      </c>
      <c r="E131" s="7">
        <v>37483</v>
      </c>
      <c r="F131" t="s">
        <v>2098</v>
      </c>
      <c r="G131" t="s">
        <v>2099</v>
      </c>
      <c r="H131" t="s">
        <v>102</v>
      </c>
      <c r="I131" t="s">
        <v>2100</v>
      </c>
      <c r="J131" t="s">
        <v>4</v>
      </c>
      <c r="K131" t="s">
        <v>2101</v>
      </c>
      <c r="L131" t="s">
        <v>117</v>
      </c>
      <c r="M131" t="s">
        <v>760</v>
      </c>
      <c r="N131" t="s">
        <v>986</v>
      </c>
      <c r="O131" t="s">
        <v>116</v>
      </c>
      <c r="P131" t="s">
        <v>729</v>
      </c>
      <c r="Q131" t="s">
        <v>106</v>
      </c>
      <c r="R131" t="s">
        <v>106</v>
      </c>
      <c r="S131" t="s">
        <v>106</v>
      </c>
      <c r="T131" t="s">
        <v>120</v>
      </c>
      <c r="U131" t="s">
        <v>731</v>
      </c>
      <c r="V131" t="s">
        <v>731</v>
      </c>
      <c r="W131" t="s">
        <v>2102</v>
      </c>
      <c r="AB131" t="s">
        <v>1</v>
      </c>
      <c r="AC131" t="s">
        <v>2103</v>
      </c>
      <c r="AD131" t="s">
        <v>789</v>
      </c>
      <c r="AE131" t="s">
        <v>986</v>
      </c>
      <c r="AF131" t="s">
        <v>752</v>
      </c>
      <c r="AG131" t="s">
        <v>731</v>
      </c>
      <c r="AH131" t="s">
        <v>2104</v>
      </c>
      <c r="AI131" t="s">
        <v>2</v>
      </c>
      <c r="AJ131" t="s">
        <v>2105</v>
      </c>
      <c r="AK131" t="s">
        <v>1659</v>
      </c>
    </row>
    <row r="132" spans="1:37" hidden="1" x14ac:dyDescent="0.3">
      <c r="A132" t="s">
        <v>2106</v>
      </c>
      <c r="B132" s="56">
        <v>45797.129446412036</v>
      </c>
      <c r="C132" t="s">
        <v>2107</v>
      </c>
      <c r="D132" t="s">
        <v>2108</v>
      </c>
      <c r="E132" s="7">
        <v>37685</v>
      </c>
      <c r="F132" t="s">
        <v>2109</v>
      </c>
      <c r="G132" t="s">
        <v>124</v>
      </c>
      <c r="H132" t="s">
        <v>102</v>
      </c>
      <c r="I132" t="s">
        <v>2110</v>
      </c>
      <c r="J132" t="s">
        <v>4</v>
      </c>
      <c r="K132" t="s">
        <v>692</v>
      </c>
      <c r="L132" t="s">
        <v>104</v>
      </c>
      <c r="M132" t="s">
        <v>760</v>
      </c>
      <c r="N132" t="s">
        <v>835</v>
      </c>
      <c r="O132" t="s">
        <v>1004</v>
      </c>
      <c r="P132" t="s">
        <v>729</v>
      </c>
      <c r="Q132" t="s">
        <v>106</v>
      </c>
      <c r="R132" t="s">
        <v>106</v>
      </c>
      <c r="S132" t="s">
        <v>106</v>
      </c>
      <c r="T132" t="s">
        <v>730</v>
      </c>
      <c r="U132" t="s">
        <v>731</v>
      </c>
      <c r="V132" t="s">
        <v>731</v>
      </c>
      <c r="W132" t="s">
        <v>2111</v>
      </c>
      <c r="AB132" t="s">
        <v>1</v>
      </c>
      <c r="AC132" t="s">
        <v>763</v>
      </c>
      <c r="AD132" t="s">
        <v>986</v>
      </c>
      <c r="AE132" t="s">
        <v>735</v>
      </c>
      <c r="AF132" t="s">
        <v>752</v>
      </c>
      <c r="AG132" t="s">
        <v>731</v>
      </c>
      <c r="AH132" t="s">
        <v>2112</v>
      </c>
      <c r="AI132" t="s">
        <v>2</v>
      </c>
      <c r="AJ132" t="s">
        <v>2113</v>
      </c>
      <c r="AK132" t="s">
        <v>1659</v>
      </c>
    </row>
    <row r="133" spans="1:37" hidden="1" x14ac:dyDescent="0.3">
      <c r="A133" t="s">
        <v>2127</v>
      </c>
      <c r="B133" s="56">
        <v>45797.432323070985</v>
      </c>
      <c r="C133" t="s">
        <v>2128</v>
      </c>
      <c r="D133" t="s">
        <v>2129</v>
      </c>
      <c r="E133" s="7">
        <v>29744</v>
      </c>
      <c r="F133" t="s">
        <v>2130</v>
      </c>
      <c r="G133" t="s">
        <v>328</v>
      </c>
      <c r="H133" t="s">
        <v>102</v>
      </c>
      <c r="I133" t="s">
        <v>2131</v>
      </c>
      <c r="J133" t="s">
        <v>4</v>
      </c>
      <c r="K133" t="s">
        <v>2132</v>
      </c>
      <c r="L133" t="s">
        <v>110</v>
      </c>
      <c r="M133" t="s">
        <v>899</v>
      </c>
      <c r="N133" t="s">
        <v>735</v>
      </c>
      <c r="O133" t="s">
        <v>111</v>
      </c>
      <c r="P133" t="s">
        <v>729</v>
      </c>
      <c r="Q133" t="s">
        <v>106</v>
      </c>
      <c r="R133" t="s">
        <v>106</v>
      </c>
      <c r="S133" t="s">
        <v>106</v>
      </c>
      <c r="T133" t="s">
        <v>713</v>
      </c>
      <c r="U133" t="s">
        <v>2133</v>
      </c>
      <c r="V133" t="s">
        <v>731</v>
      </c>
      <c r="W133" t="s">
        <v>2134</v>
      </c>
      <c r="X133" t="s">
        <v>2135</v>
      </c>
      <c r="Y133" t="s">
        <v>1029</v>
      </c>
      <c r="Z133" t="s">
        <v>2136</v>
      </c>
      <c r="AB133" t="s">
        <v>1</v>
      </c>
      <c r="AC133" t="s">
        <v>2137</v>
      </c>
      <c r="AD133" t="s">
        <v>2138</v>
      </c>
      <c r="AE133" t="s">
        <v>2139</v>
      </c>
      <c r="AF133" t="s">
        <v>790</v>
      </c>
      <c r="AG133" t="s">
        <v>731</v>
      </c>
      <c r="AH133" t="s">
        <v>1184</v>
      </c>
      <c r="AI133" t="s">
        <v>2</v>
      </c>
      <c r="AJ133" t="s">
        <v>2140</v>
      </c>
      <c r="AK133" t="s">
        <v>2321</v>
      </c>
    </row>
    <row r="134" spans="1:37" hidden="1" x14ac:dyDescent="0.3">
      <c r="A134" t="s">
        <v>559</v>
      </c>
      <c r="B134" s="56">
        <v>45797.511870447532</v>
      </c>
      <c r="C134" t="s">
        <v>558</v>
      </c>
      <c r="D134" t="s">
        <v>560</v>
      </c>
      <c r="E134" s="7">
        <v>37349</v>
      </c>
      <c r="F134" t="s">
        <v>2173</v>
      </c>
      <c r="G134" t="s">
        <v>466</v>
      </c>
      <c r="H134" t="s">
        <v>102</v>
      </c>
      <c r="I134" t="s">
        <v>672</v>
      </c>
      <c r="J134" t="s">
        <v>5</v>
      </c>
      <c r="K134" t="s">
        <v>413</v>
      </c>
      <c r="L134" t="s">
        <v>117</v>
      </c>
      <c r="M134" t="s">
        <v>2174</v>
      </c>
      <c r="N134" t="s">
        <v>835</v>
      </c>
      <c r="O134" t="s">
        <v>105</v>
      </c>
      <c r="P134" t="s">
        <v>119</v>
      </c>
      <c r="Q134" t="s">
        <v>673</v>
      </c>
      <c r="R134" t="s">
        <v>117</v>
      </c>
      <c r="S134" t="s">
        <v>106</v>
      </c>
      <c r="T134" t="s">
        <v>713</v>
      </c>
      <c r="U134" t="s">
        <v>731</v>
      </c>
      <c r="V134" t="s">
        <v>731</v>
      </c>
      <c r="W134" t="s">
        <v>2175</v>
      </c>
      <c r="AB134" t="s">
        <v>1</v>
      </c>
      <c r="AC134" t="s">
        <v>763</v>
      </c>
      <c r="AD134" t="s">
        <v>789</v>
      </c>
      <c r="AE134" t="s">
        <v>789</v>
      </c>
      <c r="AF134" t="s">
        <v>752</v>
      </c>
      <c r="AG134" t="s">
        <v>904</v>
      </c>
      <c r="AH134" t="s">
        <v>2176</v>
      </c>
      <c r="AI134" t="s">
        <v>2</v>
      </c>
      <c r="AJ134" t="s">
        <v>2177</v>
      </c>
      <c r="AK134" t="s">
        <v>1656</v>
      </c>
    </row>
    <row r="135" spans="1:37" hidden="1" x14ac:dyDescent="0.3">
      <c r="A135" t="s">
        <v>2334</v>
      </c>
      <c r="B135" s="56">
        <v>45797.548828587962</v>
      </c>
      <c r="C135" t="s">
        <v>2335</v>
      </c>
      <c r="D135" t="s">
        <v>2336</v>
      </c>
      <c r="E135" s="7">
        <v>37519</v>
      </c>
      <c r="F135" t="s">
        <v>2337</v>
      </c>
      <c r="G135" t="s">
        <v>148</v>
      </c>
      <c r="H135" t="s">
        <v>102</v>
      </c>
      <c r="I135" t="s">
        <v>2338</v>
      </c>
      <c r="J135" t="s">
        <v>4</v>
      </c>
      <c r="K135" t="s">
        <v>1125</v>
      </c>
      <c r="L135" t="s">
        <v>122</v>
      </c>
      <c r="M135" t="s">
        <v>2339</v>
      </c>
      <c r="N135" t="s">
        <v>835</v>
      </c>
      <c r="O135" t="s">
        <v>118</v>
      </c>
      <c r="P135" t="s">
        <v>729</v>
      </c>
      <c r="Q135" t="s">
        <v>106</v>
      </c>
      <c r="R135" t="s">
        <v>106</v>
      </c>
      <c r="S135" t="s">
        <v>106</v>
      </c>
      <c r="T135" t="s">
        <v>713</v>
      </c>
      <c r="U135" t="s">
        <v>2340</v>
      </c>
      <c r="V135" t="s">
        <v>731</v>
      </c>
      <c r="W135" t="s">
        <v>2341</v>
      </c>
      <c r="X135" t="s">
        <v>2342</v>
      </c>
      <c r="Y135" t="s">
        <v>1432</v>
      </c>
      <c r="Z135" t="s">
        <v>2343</v>
      </c>
      <c r="AB135" t="s">
        <v>1</v>
      </c>
      <c r="AC135" t="s">
        <v>2186</v>
      </c>
      <c r="AD135" t="s">
        <v>1148</v>
      </c>
      <c r="AE135" t="s">
        <v>835</v>
      </c>
      <c r="AF135" t="s">
        <v>752</v>
      </c>
      <c r="AG135" t="s">
        <v>904</v>
      </c>
      <c r="AH135" t="s">
        <v>2344</v>
      </c>
      <c r="AI135" t="s">
        <v>2</v>
      </c>
      <c r="AJ135" t="s">
        <v>2345</v>
      </c>
      <c r="AK135" t="s">
        <v>1659</v>
      </c>
    </row>
    <row r="136" spans="1:37" hidden="1" x14ac:dyDescent="0.3">
      <c r="A136" t="s">
        <v>2178</v>
      </c>
      <c r="B136" s="56">
        <v>45797.549251658951</v>
      </c>
      <c r="C136" t="s">
        <v>2179</v>
      </c>
      <c r="D136" t="s">
        <v>2180</v>
      </c>
      <c r="E136" s="7">
        <v>37111</v>
      </c>
      <c r="F136" t="s">
        <v>2181</v>
      </c>
      <c r="G136" t="s">
        <v>148</v>
      </c>
      <c r="H136" t="s">
        <v>102</v>
      </c>
      <c r="I136" t="s">
        <v>2182</v>
      </c>
      <c r="J136" t="s">
        <v>4</v>
      </c>
      <c r="K136" t="s">
        <v>1125</v>
      </c>
      <c r="L136" t="s">
        <v>110</v>
      </c>
      <c r="M136" t="s">
        <v>727</v>
      </c>
      <c r="N136" t="s">
        <v>774</v>
      </c>
      <c r="O136" t="s">
        <v>118</v>
      </c>
      <c r="P136" t="s">
        <v>729</v>
      </c>
      <c r="Q136" t="s">
        <v>106</v>
      </c>
      <c r="R136" t="s">
        <v>106</v>
      </c>
      <c r="S136" t="s">
        <v>106</v>
      </c>
      <c r="T136" t="s">
        <v>713</v>
      </c>
      <c r="U136" t="s">
        <v>731</v>
      </c>
      <c r="V136" t="s">
        <v>731</v>
      </c>
      <c r="W136" t="s">
        <v>2183</v>
      </c>
      <c r="X136" t="s">
        <v>2184</v>
      </c>
      <c r="Y136" t="s">
        <v>2185</v>
      </c>
      <c r="Z136" t="s">
        <v>1334</v>
      </c>
      <c r="AB136" t="s">
        <v>1</v>
      </c>
      <c r="AC136" t="s">
        <v>2186</v>
      </c>
      <c r="AD136" t="s">
        <v>1148</v>
      </c>
      <c r="AE136" t="s">
        <v>774</v>
      </c>
      <c r="AF136" t="s">
        <v>752</v>
      </c>
      <c r="AG136" t="s">
        <v>731</v>
      </c>
      <c r="AH136" t="s">
        <v>2187</v>
      </c>
      <c r="AI136" t="s">
        <v>2</v>
      </c>
      <c r="AJ136" t="s">
        <v>2188</v>
      </c>
      <c r="AK136" t="s">
        <v>1656</v>
      </c>
    </row>
    <row r="137" spans="1:37" hidden="1" x14ac:dyDescent="0.3">
      <c r="A137" t="s">
        <v>2189</v>
      </c>
      <c r="B137" s="56">
        <v>45797.588005516976</v>
      </c>
      <c r="C137" t="s">
        <v>2190</v>
      </c>
      <c r="D137" t="s">
        <v>2191</v>
      </c>
      <c r="E137" s="7">
        <v>37881</v>
      </c>
      <c r="F137" t="s">
        <v>2192</v>
      </c>
      <c r="G137" t="s">
        <v>1553</v>
      </c>
      <c r="H137" t="s">
        <v>102</v>
      </c>
      <c r="I137" t="s">
        <v>2193</v>
      </c>
      <c r="J137" t="s">
        <v>4</v>
      </c>
      <c r="K137" t="s">
        <v>1125</v>
      </c>
      <c r="L137" t="s">
        <v>122</v>
      </c>
      <c r="M137" t="s">
        <v>727</v>
      </c>
      <c r="N137" t="s">
        <v>835</v>
      </c>
      <c r="O137" t="s">
        <v>118</v>
      </c>
      <c r="P137" t="s">
        <v>729</v>
      </c>
      <c r="Q137" t="s">
        <v>106</v>
      </c>
      <c r="R137" t="s">
        <v>106</v>
      </c>
      <c r="S137" t="s">
        <v>106</v>
      </c>
      <c r="T137" t="s">
        <v>713</v>
      </c>
      <c r="U137" t="s">
        <v>731</v>
      </c>
      <c r="V137" t="s">
        <v>731</v>
      </c>
      <c r="W137" t="s">
        <v>2194</v>
      </c>
      <c r="AB137" t="s">
        <v>1</v>
      </c>
      <c r="AC137" t="s">
        <v>763</v>
      </c>
      <c r="AD137" t="s">
        <v>1008</v>
      </c>
      <c r="AE137" t="s">
        <v>835</v>
      </c>
      <c r="AF137" t="s">
        <v>752</v>
      </c>
      <c r="AG137" t="s">
        <v>904</v>
      </c>
      <c r="AH137" t="s">
        <v>2195</v>
      </c>
      <c r="AI137" t="s">
        <v>2</v>
      </c>
      <c r="AJ137" t="s">
        <v>2196</v>
      </c>
      <c r="AK137" t="s">
        <v>1665</v>
      </c>
    </row>
    <row r="138" spans="1:37" hidden="1" x14ac:dyDescent="0.3">
      <c r="A138" t="s">
        <v>2227</v>
      </c>
      <c r="B138" s="56">
        <v>45797.598368055558</v>
      </c>
      <c r="C138" t="s">
        <v>2228</v>
      </c>
      <c r="D138" t="s">
        <v>2229</v>
      </c>
      <c r="E138" s="7">
        <v>37210</v>
      </c>
      <c r="F138" t="s">
        <v>2230</v>
      </c>
      <c r="G138" t="s">
        <v>118</v>
      </c>
      <c r="H138" t="s">
        <v>102</v>
      </c>
      <c r="I138" t="s">
        <v>2231</v>
      </c>
      <c r="J138" t="s">
        <v>4</v>
      </c>
      <c r="K138" t="s">
        <v>103</v>
      </c>
      <c r="L138" t="s">
        <v>122</v>
      </c>
      <c r="M138" t="s">
        <v>760</v>
      </c>
      <c r="N138" t="s">
        <v>2232</v>
      </c>
      <c r="O138" t="s">
        <v>105</v>
      </c>
      <c r="P138" t="s">
        <v>729</v>
      </c>
      <c r="Q138" t="s">
        <v>106</v>
      </c>
      <c r="R138" t="s">
        <v>106</v>
      </c>
      <c r="S138" t="s">
        <v>106</v>
      </c>
      <c r="T138" t="s">
        <v>730</v>
      </c>
      <c r="U138" t="s">
        <v>731</v>
      </c>
      <c r="V138" t="s">
        <v>731</v>
      </c>
      <c r="W138" t="s">
        <v>2233</v>
      </c>
      <c r="X138" t="s">
        <v>2234</v>
      </c>
      <c r="Y138" t="s">
        <v>2234</v>
      </c>
      <c r="Z138" t="s">
        <v>2234</v>
      </c>
      <c r="AB138" t="s">
        <v>733</v>
      </c>
      <c r="AC138" t="s">
        <v>1182</v>
      </c>
      <c r="AD138" t="s">
        <v>800</v>
      </c>
      <c r="AE138" t="s">
        <v>735</v>
      </c>
      <c r="AF138" t="s">
        <v>752</v>
      </c>
      <c r="AG138" t="s">
        <v>731</v>
      </c>
      <c r="AH138" t="s">
        <v>2235</v>
      </c>
      <c r="AI138" t="s">
        <v>2</v>
      </c>
      <c r="AJ138" t="s">
        <v>2236</v>
      </c>
      <c r="AK138" t="s">
        <v>1656</v>
      </c>
    </row>
    <row r="139" spans="1:37" hidden="1" x14ac:dyDescent="0.3">
      <c r="A139" t="s">
        <v>2197</v>
      </c>
      <c r="B139" s="56">
        <v>45797.601306635799</v>
      </c>
      <c r="C139" t="s">
        <v>2198</v>
      </c>
      <c r="D139" t="s">
        <v>2199</v>
      </c>
      <c r="E139" s="7">
        <v>37201</v>
      </c>
      <c r="F139" t="s">
        <v>2200</v>
      </c>
      <c r="G139" t="s">
        <v>148</v>
      </c>
      <c r="H139" t="s">
        <v>102</v>
      </c>
      <c r="I139" t="s">
        <v>2201</v>
      </c>
      <c r="J139" t="s">
        <v>4</v>
      </c>
      <c r="K139" t="s">
        <v>132</v>
      </c>
      <c r="L139" t="s">
        <v>104</v>
      </c>
      <c r="M139" t="s">
        <v>727</v>
      </c>
      <c r="N139" t="s">
        <v>835</v>
      </c>
      <c r="O139" t="s">
        <v>1890</v>
      </c>
      <c r="P139" t="s">
        <v>729</v>
      </c>
      <c r="Q139" t="s">
        <v>106</v>
      </c>
      <c r="R139" t="s">
        <v>106</v>
      </c>
      <c r="S139" t="s">
        <v>106</v>
      </c>
      <c r="T139" t="s">
        <v>713</v>
      </c>
      <c r="U139" t="s">
        <v>731</v>
      </c>
      <c r="V139" t="s">
        <v>731</v>
      </c>
      <c r="W139" t="s">
        <v>2202</v>
      </c>
      <c r="AB139" t="s">
        <v>733</v>
      </c>
      <c r="AC139" t="s">
        <v>763</v>
      </c>
      <c r="AD139" t="s">
        <v>915</v>
      </c>
      <c r="AE139" t="s">
        <v>735</v>
      </c>
      <c r="AF139" t="s">
        <v>752</v>
      </c>
      <c r="AG139" t="s">
        <v>731</v>
      </c>
      <c r="AH139" t="s">
        <v>1222</v>
      </c>
      <c r="AI139" t="s">
        <v>2</v>
      </c>
      <c r="AJ139" t="s">
        <v>2203</v>
      </c>
      <c r="AK139" t="s">
        <v>1656</v>
      </c>
    </row>
    <row r="140" spans="1:37" hidden="1" x14ac:dyDescent="0.3">
      <c r="A140" t="s">
        <v>2237</v>
      </c>
      <c r="B140" s="56">
        <v>45797.605543981481</v>
      </c>
      <c r="C140" t="s">
        <v>2238</v>
      </c>
      <c r="D140" t="s">
        <v>2239</v>
      </c>
      <c r="E140" s="7">
        <v>31288</v>
      </c>
      <c r="F140" t="s">
        <v>2240</v>
      </c>
      <c r="G140" t="s">
        <v>112</v>
      </c>
      <c r="H140" t="s">
        <v>102</v>
      </c>
      <c r="I140" t="s">
        <v>2241</v>
      </c>
      <c r="J140" t="s">
        <v>4</v>
      </c>
      <c r="K140" t="s">
        <v>1928</v>
      </c>
      <c r="L140" t="s">
        <v>122</v>
      </c>
      <c r="M140" t="s">
        <v>2242</v>
      </c>
      <c r="N140" t="s">
        <v>986</v>
      </c>
      <c r="O140" t="s">
        <v>1890</v>
      </c>
      <c r="P140" t="s">
        <v>729</v>
      </c>
      <c r="Q140" t="s">
        <v>106</v>
      </c>
      <c r="R140" t="s">
        <v>106</v>
      </c>
      <c r="S140" t="s">
        <v>106</v>
      </c>
      <c r="T140" t="s">
        <v>713</v>
      </c>
      <c r="U140" t="s">
        <v>731</v>
      </c>
      <c r="V140" t="s">
        <v>731</v>
      </c>
      <c r="W140" t="s">
        <v>2243</v>
      </c>
      <c r="X140" t="s">
        <v>2244</v>
      </c>
      <c r="Y140" t="s">
        <v>1819</v>
      </c>
      <c r="Z140" t="s">
        <v>1820</v>
      </c>
      <c r="AB140" t="s">
        <v>733</v>
      </c>
      <c r="AC140" t="s">
        <v>2245</v>
      </c>
      <c r="AD140" t="s">
        <v>1008</v>
      </c>
      <c r="AE140" t="s">
        <v>986</v>
      </c>
      <c r="AF140" t="s">
        <v>752</v>
      </c>
      <c r="AG140" t="s">
        <v>731</v>
      </c>
      <c r="AH140" t="s">
        <v>2246</v>
      </c>
      <c r="AI140" t="s">
        <v>2</v>
      </c>
      <c r="AJ140" t="s">
        <v>2247</v>
      </c>
      <c r="AK140" t="s">
        <v>1672</v>
      </c>
    </row>
    <row r="141" spans="1:37" hidden="1" x14ac:dyDescent="0.3">
      <c r="A141" t="s">
        <v>2322</v>
      </c>
      <c r="B141" s="56">
        <v>45797.609231134258</v>
      </c>
      <c r="C141" t="s">
        <v>2323</v>
      </c>
      <c r="D141" t="s">
        <v>2324</v>
      </c>
      <c r="E141" s="7">
        <v>37322</v>
      </c>
      <c r="F141" t="s">
        <v>2325</v>
      </c>
      <c r="G141" t="s">
        <v>118</v>
      </c>
      <c r="H141" t="s">
        <v>102</v>
      </c>
      <c r="I141" t="s">
        <v>2326</v>
      </c>
      <c r="J141" t="s">
        <v>4</v>
      </c>
      <c r="K141" t="s">
        <v>692</v>
      </c>
      <c r="L141" t="s">
        <v>121</v>
      </c>
      <c r="M141" t="s">
        <v>2327</v>
      </c>
      <c r="N141" t="s">
        <v>735</v>
      </c>
      <c r="O141" t="s">
        <v>1004</v>
      </c>
      <c r="P141" t="s">
        <v>729</v>
      </c>
      <c r="Q141" t="s">
        <v>106</v>
      </c>
      <c r="R141" t="s">
        <v>106</v>
      </c>
      <c r="S141" t="s">
        <v>106</v>
      </c>
      <c r="T141" t="s">
        <v>713</v>
      </c>
      <c r="U141" t="s">
        <v>731</v>
      </c>
      <c r="V141" t="s">
        <v>731</v>
      </c>
      <c r="W141" t="s">
        <v>2328</v>
      </c>
      <c r="AA141" t="s">
        <v>2329</v>
      </c>
      <c r="AB141" t="s">
        <v>1</v>
      </c>
      <c r="AC141" t="s">
        <v>2330</v>
      </c>
      <c r="AD141" t="s">
        <v>1234</v>
      </c>
      <c r="AE141" t="s">
        <v>2331</v>
      </c>
      <c r="AF141" t="s">
        <v>752</v>
      </c>
      <c r="AG141" t="s">
        <v>753</v>
      </c>
      <c r="AH141" t="s">
        <v>2332</v>
      </c>
      <c r="AI141" t="s">
        <v>2</v>
      </c>
      <c r="AJ141" t="s">
        <v>2333</v>
      </c>
      <c r="AK141" t="s">
        <v>1656</v>
      </c>
    </row>
    <row r="142" spans="1:37" hidden="1" x14ac:dyDescent="0.3">
      <c r="A142" t="s">
        <v>2204</v>
      </c>
      <c r="B142" s="56">
        <v>45797.626599151234</v>
      </c>
      <c r="C142" t="s">
        <v>2205</v>
      </c>
      <c r="D142" t="s">
        <v>2206</v>
      </c>
      <c r="E142" s="7">
        <v>37586</v>
      </c>
      <c r="F142" t="s">
        <v>2207</v>
      </c>
      <c r="G142" t="s">
        <v>148</v>
      </c>
      <c r="H142" t="s">
        <v>102</v>
      </c>
      <c r="I142" t="s">
        <v>2208</v>
      </c>
      <c r="J142" t="s">
        <v>4</v>
      </c>
      <c r="K142" t="s">
        <v>1125</v>
      </c>
      <c r="L142" t="s">
        <v>122</v>
      </c>
      <c r="M142" t="s">
        <v>727</v>
      </c>
      <c r="N142" t="s">
        <v>835</v>
      </c>
      <c r="O142" t="s">
        <v>118</v>
      </c>
      <c r="P142" t="s">
        <v>729</v>
      </c>
      <c r="Q142" t="s">
        <v>106</v>
      </c>
      <c r="R142" t="s">
        <v>106</v>
      </c>
      <c r="S142" t="s">
        <v>106</v>
      </c>
      <c r="T142" t="s">
        <v>713</v>
      </c>
      <c r="U142" t="s">
        <v>731</v>
      </c>
      <c r="V142" t="s">
        <v>731</v>
      </c>
      <c r="W142" t="s">
        <v>2209</v>
      </c>
      <c r="AB142" t="s">
        <v>1</v>
      </c>
      <c r="AC142" t="s">
        <v>763</v>
      </c>
      <c r="AD142" t="s">
        <v>969</v>
      </c>
      <c r="AE142" t="s">
        <v>835</v>
      </c>
      <c r="AF142" t="s">
        <v>752</v>
      </c>
      <c r="AG142" t="s">
        <v>731</v>
      </c>
      <c r="AH142" t="s">
        <v>1304</v>
      </c>
      <c r="AI142" t="s">
        <v>2</v>
      </c>
      <c r="AJ142" t="s">
        <v>2210</v>
      </c>
      <c r="AK142" t="s">
        <v>1659</v>
      </c>
    </row>
    <row r="143" spans="1:37" hidden="1" x14ac:dyDescent="0.3">
      <c r="A143" t="s">
        <v>2289</v>
      </c>
      <c r="B143" s="56">
        <v>45797.632083294753</v>
      </c>
      <c r="C143" t="s">
        <v>2290</v>
      </c>
      <c r="D143" t="s">
        <v>2291</v>
      </c>
      <c r="E143" s="7">
        <v>31299</v>
      </c>
      <c r="F143" t="s">
        <v>2292</v>
      </c>
      <c r="G143" t="s">
        <v>328</v>
      </c>
      <c r="H143" t="s">
        <v>102</v>
      </c>
      <c r="I143" t="s">
        <v>2293</v>
      </c>
      <c r="J143" t="s">
        <v>4</v>
      </c>
      <c r="K143" t="s">
        <v>2132</v>
      </c>
      <c r="L143" t="s">
        <v>110</v>
      </c>
      <c r="M143" t="s">
        <v>899</v>
      </c>
      <c r="N143" t="s">
        <v>736</v>
      </c>
      <c r="O143" t="s">
        <v>111</v>
      </c>
      <c r="P143" t="s">
        <v>729</v>
      </c>
      <c r="Q143" t="s">
        <v>106</v>
      </c>
      <c r="R143" t="s">
        <v>106</v>
      </c>
      <c r="S143" t="s">
        <v>106</v>
      </c>
      <c r="T143" t="s">
        <v>713</v>
      </c>
      <c r="U143" t="s">
        <v>731</v>
      </c>
      <c r="V143" t="s">
        <v>731</v>
      </c>
      <c r="W143" t="s">
        <v>2294</v>
      </c>
      <c r="AB143" t="s">
        <v>1</v>
      </c>
      <c r="AC143" t="s">
        <v>2295</v>
      </c>
      <c r="AD143" t="s">
        <v>848</v>
      </c>
      <c r="AE143" t="s">
        <v>848</v>
      </c>
      <c r="AF143" t="s">
        <v>790</v>
      </c>
      <c r="AG143" t="s">
        <v>731</v>
      </c>
      <c r="AH143" t="s">
        <v>2296</v>
      </c>
      <c r="AI143" t="s">
        <v>2</v>
      </c>
      <c r="AJ143" t="s">
        <v>2297</v>
      </c>
      <c r="AK143" t="s">
        <v>1672</v>
      </c>
    </row>
    <row r="144" spans="1:37" hidden="1" x14ac:dyDescent="0.3">
      <c r="A144" t="s">
        <v>2346</v>
      </c>
      <c r="B144" s="56">
        <v>45797.745914891973</v>
      </c>
      <c r="C144" t="s">
        <v>3031</v>
      </c>
      <c r="D144" t="s">
        <v>2347</v>
      </c>
      <c r="E144" s="7">
        <v>38179</v>
      </c>
      <c r="F144" t="s">
        <v>2348</v>
      </c>
      <c r="G144" t="s">
        <v>124</v>
      </c>
      <c r="H144" t="s">
        <v>102</v>
      </c>
      <c r="I144" t="s">
        <v>2349</v>
      </c>
      <c r="J144" t="s">
        <v>4</v>
      </c>
      <c r="K144" t="s">
        <v>692</v>
      </c>
      <c r="L144" t="s">
        <v>104</v>
      </c>
      <c r="M144" t="s">
        <v>727</v>
      </c>
      <c r="N144" t="s">
        <v>2350</v>
      </c>
      <c r="O144" t="s">
        <v>1004</v>
      </c>
      <c r="P144" t="s">
        <v>729</v>
      </c>
      <c r="Q144" t="s">
        <v>106</v>
      </c>
      <c r="R144" t="s">
        <v>106</v>
      </c>
      <c r="S144" t="s">
        <v>106</v>
      </c>
      <c r="T144" t="s">
        <v>730</v>
      </c>
      <c r="U144" t="s">
        <v>2351</v>
      </c>
      <c r="V144" t="s">
        <v>731</v>
      </c>
      <c r="W144" t="s">
        <v>2352</v>
      </c>
      <c r="AB144" t="s">
        <v>1</v>
      </c>
      <c r="AC144" t="s">
        <v>763</v>
      </c>
      <c r="AD144" t="s">
        <v>764</v>
      </c>
      <c r="AE144" t="s">
        <v>2350</v>
      </c>
      <c r="AF144" t="s">
        <v>752</v>
      </c>
      <c r="AG144" t="s">
        <v>801</v>
      </c>
      <c r="AH144" t="s">
        <v>2353</v>
      </c>
      <c r="AI144" t="s">
        <v>2</v>
      </c>
      <c r="AJ144" t="s">
        <v>2354</v>
      </c>
      <c r="AK144" t="s">
        <v>1662</v>
      </c>
    </row>
    <row r="145" spans="1:37" hidden="1" x14ac:dyDescent="0.3">
      <c r="A145" t="s">
        <v>2211</v>
      </c>
      <c r="B145" s="56">
        <v>45798.022460262342</v>
      </c>
      <c r="C145" t="s">
        <v>2212</v>
      </c>
      <c r="D145" t="s">
        <v>2213</v>
      </c>
      <c r="E145" s="7">
        <v>38176</v>
      </c>
      <c r="F145" t="s">
        <v>2214</v>
      </c>
      <c r="G145" t="s">
        <v>112</v>
      </c>
      <c r="H145" t="s">
        <v>102</v>
      </c>
      <c r="I145" t="s">
        <v>2215</v>
      </c>
      <c r="J145" t="s">
        <v>4</v>
      </c>
      <c r="K145" t="s">
        <v>132</v>
      </c>
      <c r="L145" t="s">
        <v>110</v>
      </c>
      <c r="M145" t="s">
        <v>727</v>
      </c>
      <c r="N145" t="s">
        <v>844</v>
      </c>
      <c r="O145" t="s">
        <v>1890</v>
      </c>
      <c r="P145" t="s">
        <v>729</v>
      </c>
      <c r="Q145" t="s">
        <v>106</v>
      </c>
      <c r="R145" t="s">
        <v>106</v>
      </c>
      <c r="S145" t="s">
        <v>106</v>
      </c>
      <c r="T145" t="s">
        <v>713</v>
      </c>
      <c r="U145" t="s">
        <v>731</v>
      </c>
      <c r="V145" t="s">
        <v>731</v>
      </c>
      <c r="W145" t="s">
        <v>2216</v>
      </c>
      <c r="AB145" t="s">
        <v>733</v>
      </c>
      <c r="AC145" t="s">
        <v>1813</v>
      </c>
      <c r="AD145" t="s">
        <v>981</v>
      </c>
      <c r="AE145" t="s">
        <v>844</v>
      </c>
      <c r="AF145" t="s">
        <v>752</v>
      </c>
      <c r="AG145" t="s">
        <v>731</v>
      </c>
      <c r="AH145" t="s">
        <v>2217</v>
      </c>
      <c r="AI145" t="s">
        <v>2</v>
      </c>
      <c r="AJ145" t="s">
        <v>2218</v>
      </c>
      <c r="AK145" t="s">
        <v>1662</v>
      </c>
    </row>
    <row r="146" spans="1:37" hidden="1" x14ac:dyDescent="0.3">
      <c r="A146" t="s">
        <v>2935</v>
      </c>
      <c r="B146" s="56">
        <v>45798.585726157406</v>
      </c>
      <c r="C146" t="s">
        <v>2298</v>
      </c>
      <c r="D146" t="s">
        <v>2299</v>
      </c>
      <c r="E146" s="7">
        <v>29098</v>
      </c>
      <c r="F146" t="s">
        <v>2300</v>
      </c>
      <c r="G146" t="s">
        <v>118</v>
      </c>
      <c r="H146" t="s">
        <v>102</v>
      </c>
      <c r="I146" t="s">
        <v>2301</v>
      </c>
      <c r="J146" t="s">
        <v>4</v>
      </c>
      <c r="K146" t="s">
        <v>2132</v>
      </c>
      <c r="L146" t="s">
        <v>117</v>
      </c>
      <c r="M146" t="s">
        <v>760</v>
      </c>
      <c r="N146" t="s">
        <v>848</v>
      </c>
      <c r="O146" t="s">
        <v>111</v>
      </c>
      <c r="P146" t="s">
        <v>729</v>
      </c>
      <c r="Q146" t="s">
        <v>106</v>
      </c>
      <c r="R146" t="s">
        <v>106</v>
      </c>
      <c r="S146" t="s">
        <v>106</v>
      </c>
      <c r="T146" t="s">
        <v>713</v>
      </c>
      <c r="U146" t="s">
        <v>731</v>
      </c>
      <c r="V146" t="s">
        <v>731</v>
      </c>
      <c r="W146" t="s">
        <v>2302</v>
      </c>
      <c r="AB146" t="s">
        <v>1</v>
      </c>
      <c r="AC146" t="s">
        <v>2303</v>
      </c>
      <c r="AD146" t="s">
        <v>848</v>
      </c>
      <c r="AE146" t="s">
        <v>2304</v>
      </c>
      <c r="AF146" t="s">
        <v>790</v>
      </c>
      <c r="AG146" t="s">
        <v>753</v>
      </c>
      <c r="AH146" t="s">
        <v>2305</v>
      </c>
      <c r="AI146" t="s">
        <v>2</v>
      </c>
      <c r="AJ146" t="s">
        <v>2306</v>
      </c>
      <c r="AK146" t="s">
        <v>1663</v>
      </c>
    </row>
    <row r="147" spans="1:37" hidden="1" x14ac:dyDescent="0.3">
      <c r="A147" t="s">
        <v>2219</v>
      </c>
      <c r="B147" s="56">
        <v>45798.59632488426</v>
      </c>
      <c r="C147" t="s">
        <v>2220</v>
      </c>
      <c r="D147" t="s">
        <v>2221</v>
      </c>
      <c r="E147" s="7">
        <v>37211</v>
      </c>
      <c r="F147" t="s">
        <v>2222</v>
      </c>
      <c r="G147" t="s">
        <v>118</v>
      </c>
      <c r="H147" t="s">
        <v>102</v>
      </c>
      <c r="I147" t="s">
        <v>2223</v>
      </c>
      <c r="J147" t="s">
        <v>4</v>
      </c>
      <c r="K147" t="s">
        <v>103</v>
      </c>
      <c r="L147" t="s">
        <v>104</v>
      </c>
      <c r="M147" t="s">
        <v>760</v>
      </c>
      <c r="N147" t="s">
        <v>835</v>
      </c>
      <c r="O147" t="s">
        <v>105</v>
      </c>
      <c r="P147" t="s">
        <v>729</v>
      </c>
      <c r="Q147" t="s">
        <v>106</v>
      </c>
      <c r="R147" t="s">
        <v>106</v>
      </c>
      <c r="S147" t="s">
        <v>106</v>
      </c>
      <c r="T147" t="s">
        <v>713</v>
      </c>
      <c r="U147" t="s">
        <v>731</v>
      </c>
      <c r="V147" t="s">
        <v>731</v>
      </c>
      <c r="W147" t="s">
        <v>2224</v>
      </c>
      <c r="AB147" t="s">
        <v>1</v>
      </c>
      <c r="AC147" t="s">
        <v>1813</v>
      </c>
      <c r="AD147" t="s">
        <v>1008</v>
      </c>
      <c r="AE147" t="s">
        <v>1116</v>
      </c>
      <c r="AF147" t="s">
        <v>752</v>
      </c>
      <c r="AG147" t="s">
        <v>731</v>
      </c>
      <c r="AH147" t="s">
        <v>2225</v>
      </c>
      <c r="AI147" t="s">
        <v>2</v>
      </c>
      <c r="AJ147" t="s">
        <v>2226</v>
      </c>
      <c r="AK147" t="s">
        <v>1656</v>
      </c>
    </row>
    <row r="148" spans="1:37" hidden="1" x14ac:dyDescent="0.3">
      <c r="A148" t="s">
        <v>2355</v>
      </c>
      <c r="B148" s="56">
        <v>45798.672525385802</v>
      </c>
      <c r="C148" t="s">
        <v>2356</v>
      </c>
      <c r="D148" t="s">
        <v>2357</v>
      </c>
      <c r="E148" s="7">
        <v>33387</v>
      </c>
      <c r="F148" t="s">
        <v>2358</v>
      </c>
      <c r="G148" t="s">
        <v>367</v>
      </c>
      <c r="H148" t="s">
        <v>102</v>
      </c>
      <c r="I148" t="s">
        <v>2359</v>
      </c>
      <c r="J148" t="s">
        <v>4</v>
      </c>
      <c r="K148" t="s">
        <v>745</v>
      </c>
      <c r="L148" t="s">
        <v>104</v>
      </c>
      <c r="M148" t="s">
        <v>2360</v>
      </c>
      <c r="N148" t="s">
        <v>2361</v>
      </c>
      <c r="O148" t="s">
        <v>116</v>
      </c>
      <c r="P148" t="s">
        <v>729</v>
      </c>
      <c r="Q148" t="s">
        <v>106</v>
      </c>
      <c r="R148" t="s">
        <v>106</v>
      </c>
      <c r="S148" t="s">
        <v>106</v>
      </c>
      <c r="T148" t="s">
        <v>713</v>
      </c>
      <c r="U148" t="s">
        <v>2362</v>
      </c>
      <c r="V148" t="s">
        <v>977</v>
      </c>
      <c r="W148" t="s">
        <v>2363</v>
      </c>
      <c r="AB148" t="s">
        <v>1</v>
      </c>
      <c r="AC148" t="s">
        <v>2364</v>
      </c>
      <c r="AD148" t="s">
        <v>2365</v>
      </c>
      <c r="AE148" t="s">
        <v>880</v>
      </c>
      <c r="AF148" t="s">
        <v>752</v>
      </c>
      <c r="AG148" t="s">
        <v>731</v>
      </c>
      <c r="AH148" t="s">
        <v>2366</v>
      </c>
      <c r="AI148" t="s">
        <v>2</v>
      </c>
      <c r="AJ148" t="s">
        <v>2367</v>
      </c>
      <c r="AK148" t="s">
        <v>1664</v>
      </c>
    </row>
    <row r="149" spans="1:37" hidden="1" x14ac:dyDescent="0.3">
      <c r="A149" t="s">
        <v>2307</v>
      </c>
      <c r="B149" s="56">
        <v>45798.715100694448</v>
      </c>
      <c r="C149" t="s">
        <v>2308</v>
      </c>
      <c r="D149" t="s">
        <v>2309</v>
      </c>
      <c r="E149" s="7">
        <v>29687</v>
      </c>
      <c r="F149" t="s">
        <v>2310</v>
      </c>
      <c r="G149" t="s">
        <v>367</v>
      </c>
      <c r="H149" t="s">
        <v>102</v>
      </c>
      <c r="I149" t="s">
        <v>2311</v>
      </c>
      <c r="J149" t="s">
        <v>4</v>
      </c>
      <c r="K149" t="s">
        <v>745</v>
      </c>
      <c r="L149" t="s">
        <v>115</v>
      </c>
      <c r="M149" t="s">
        <v>2312</v>
      </c>
      <c r="N149" t="s">
        <v>944</v>
      </c>
      <c r="O149" t="s">
        <v>116</v>
      </c>
      <c r="P149" t="s">
        <v>729</v>
      </c>
      <c r="Q149" t="s">
        <v>106</v>
      </c>
      <c r="R149" t="s">
        <v>106</v>
      </c>
      <c r="S149" t="s">
        <v>106</v>
      </c>
      <c r="T149" t="s">
        <v>713</v>
      </c>
      <c r="U149" t="s">
        <v>731</v>
      </c>
      <c r="V149" t="s">
        <v>731</v>
      </c>
      <c r="W149" t="s">
        <v>2313</v>
      </c>
      <c r="X149" t="s">
        <v>2314</v>
      </c>
      <c r="Y149" t="s">
        <v>2315</v>
      </c>
      <c r="Z149" t="s">
        <v>1459</v>
      </c>
      <c r="AB149" t="s">
        <v>1</v>
      </c>
      <c r="AC149" t="s">
        <v>2316</v>
      </c>
      <c r="AD149" t="s">
        <v>2317</v>
      </c>
      <c r="AE149" t="s">
        <v>2318</v>
      </c>
      <c r="AF149" t="s">
        <v>790</v>
      </c>
      <c r="AG149" t="s">
        <v>731</v>
      </c>
      <c r="AH149" t="s">
        <v>2319</v>
      </c>
      <c r="AI149" t="s">
        <v>2</v>
      </c>
      <c r="AJ149" t="s">
        <v>2320</v>
      </c>
      <c r="AK149" t="s">
        <v>2321</v>
      </c>
    </row>
    <row r="150" spans="1:37" hidden="1" x14ac:dyDescent="0.3">
      <c r="A150" t="s">
        <v>2369</v>
      </c>
      <c r="B150" s="56">
        <v>45798.77257484568</v>
      </c>
      <c r="C150" t="s">
        <v>2370</v>
      </c>
      <c r="D150" t="s">
        <v>2371</v>
      </c>
      <c r="E150" s="7">
        <v>36083</v>
      </c>
      <c r="F150" t="s">
        <v>2372</v>
      </c>
      <c r="G150" t="s">
        <v>118</v>
      </c>
      <c r="H150" t="s">
        <v>102</v>
      </c>
      <c r="I150" t="s">
        <v>2373</v>
      </c>
      <c r="J150" t="s">
        <v>4</v>
      </c>
      <c r="K150" t="s">
        <v>745</v>
      </c>
      <c r="L150" t="s">
        <v>121</v>
      </c>
      <c r="M150" t="s">
        <v>2374</v>
      </c>
      <c r="N150" t="s">
        <v>1114</v>
      </c>
      <c r="O150" t="s">
        <v>116</v>
      </c>
      <c r="P150" t="s">
        <v>729</v>
      </c>
      <c r="Q150" t="s">
        <v>106</v>
      </c>
      <c r="R150" t="s">
        <v>106</v>
      </c>
      <c r="S150" t="s">
        <v>106</v>
      </c>
      <c r="T150" t="s">
        <v>713</v>
      </c>
      <c r="U150" t="s">
        <v>2375</v>
      </c>
      <c r="V150" t="s">
        <v>731</v>
      </c>
      <c r="W150" t="s">
        <v>2376</v>
      </c>
      <c r="AB150" t="s">
        <v>733</v>
      </c>
      <c r="AC150" t="s">
        <v>2377</v>
      </c>
      <c r="AD150" t="s">
        <v>789</v>
      </c>
      <c r="AE150" t="s">
        <v>789</v>
      </c>
      <c r="AF150" t="s">
        <v>752</v>
      </c>
      <c r="AG150" t="s">
        <v>904</v>
      </c>
      <c r="AH150" t="s">
        <v>2378</v>
      </c>
      <c r="AI150" t="s">
        <v>2</v>
      </c>
      <c r="AJ150" t="s">
        <v>2379</v>
      </c>
      <c r="AK150" t="s">
        <v>1669</v>
      </c>
    </row>
    <row r="151" spans="1:37" hidden="1" x14ac:dyDescent="0.3">
      <c r="A151" t="s">
        <v>2248</v>
      </c>
      <c r="B151" s="56">
        <v>45798.773656712961</v>
      </c>
      <c r="C151" t="s">
        <v>2249</v>
      </c>
      <c r="D151" t="s">
        <v>2250</v>
      </c>
      <c r="E151" s="7">
        <v>37548</v>
      </c>
      <c r="F151" t="s">
        <v>2251</v>
      </c>
      <c r="G151" t="s">
        <v>118</v>
      </c>
      <c r="H151" t="s">
        <v>102</v>
      </c>
      <c r="I151" t="s">
        <v>2252</v>
      </c>
      <c r="J151" t="s">
        <v>4</v>
      </c>
      <c r="K151" t="s">
        <v>103</v>
      </c>
      <c r="L151" t="s">
        <v>110</v>
      </c>
      <c r="M151" t="s">
        <v>760</v>
      </c>
      <c r="N151" t="s">
        <v>735</v>
      </c>
      <c r="O151" t="s">
        <v>105</v>
      </c>
      <c r="P151" t="s">
        <v>729</v>
      </c>
      <c r="Q151" t="s">
        <v>106</v>
      </c>
      <c r="R151" t="s">
        <v>106</v>
      </c>
      <c r="S151" t="s">
        <v>106</v>
      </c>
      <c r="T151" t="s">
        <v>730</v>
      </c>
      <c r="U151" t="s">
        <v>731</v>
      </c>
      <c r="V151" t="s">
        <v>731</v>
      </c>
      <c r="W151" t="s">
        <v>2253</v>
      </c>
      <c r="AB151" t="s">
        <v>733</v>
      </c>
      <c r="AC151" t="s">
        <v>2254</v>
      </c>
      <c r="AD151" t="s">
        <v>2255</v>
      </c>
      <c r="AE151" t="s">
        <v>2256</v>
      </c>
      <c r="AF151" t="s">
        <v>752</v>
      </c>
      <c r="AG151" t="s">
        <v>731</v>
      </c>
      <c r="AH151" t="s">
        <v>1070</v>
      </c>
      <c r="AI151" t="s">
        <v>2</v>
      </c>
      <c r="AJ151" t="s">
        <v>2257</v>
      </c>
      <c r="AK151" t="s">
        <v>1659</v>
      </c>
    </row>
    <row r="152" spans="1:37" hidden="1" x14ac:dyDescent="0.3">
      <c r="A152" t="s">
        <v>2258</v>
      </c>
      <c r="B152" s="56">
        <v>45798.803119598764</v>
      </c>
      <c r="C152" t="s">
        <v>2259</v>
      </c>
      <c r="D152" t="s">
        <v>2260</v>
      </c>
      <c r="E152" s="7">
        <v>37975</v>
      </c>
      <c r="F152" t="s">
        <v>2261</v>
      </c>
      <c r="G152" t="s">
        <v>367</v>
      </c>
      <c r="H152" t="s">
        <v>102</v>
      </c>
      <c r="I152" t="s">
        <v>2262</v>
      </c>
      <c r="J152" t="s">
        <v>4</v>
      </c>
      <c r="K152" t="s">
        <v>745</v>
      </c>
      <c r="L152" t="s">
        <v>115</v>
      </c>
      <c r="M152" t="s">
        <v>1411</v>
      </c>
      <c r="N152" t="s">
        <v>844</v>
      </c>
      <c r="O152" t="s">
        <v>116</v>
      </c>
      <c r="P152" t="s">
        <v>729</v>
      </c>
      <c r="Q152" t="s">
        <v>106</v>
      </c>
      <c r="R152" t="s">
        <v>106</v>
      </c>
      <c r="S152" t="s">
        <v>106</v>
      </c>
      <c r="T152" t="s">
        <v>713</v>
      </c>
      <c r="U152" t="s">
        <v>731</v>
      </c>
      <c r="V152" t="s">
        <v>731</v>
      </c>
      <c r="W152" t="s">
        <v>2263</v>
      </c>
      <c r="AB152" t="s">
        <v>1</v>
      </c>
      <c r="AC152" t="s">
        <v>763</v>
      </c>
      <c r="AD152" t="s">
        <v>2264</v>
      </c>
      <c r="AE152" t="s">
        <v>844</v>
      </c>
      <c r="AF152" t="s">
        <v>752</v>
      </c>
      <c r="AG152" t="s">
        <v>1009</v>
      </c>
      <c r="AH152" t="s">
        <v>2265</v>
      </c>
      <c r="AI152" t="s">
        <v>2</v>
      </c>
      <c r="AJ152" t="s">
        <v>2266</v>
      </c>
      <c r="AK152" t="s">
        <v>1665</v>
      </c>
    </row>
    <row r="153" spans="1:37" hidden="1" x14ac:dyDescent="0.3">
      <c r="A153" t="s">
        <v>2280</v>
      </c>
      <c r="B153" s="56">
        <v>45798.842724614195</v>
      </c>
      <c r="C153" t="s">
        <v>2281</v>
      </c>
      <c r="D153" t="s">
        <v>2282</v>
      </c>
      <c r="E153" s="7">
        <v>31675</v>
      </c>
      <c r="F153" t="s">
        <v>2283</v>
      </c>
      <c r="G153" t="s">
        <v>367</v>
      </c>
      <c r="H153" t="s">
        <v>102</v>
      </c>
      <c r="I153" t="s">
        <v>2284</v>
      </c>
      <c r="J153" t="s">
        <v>4</v>
      </c>
      <c r="K153" t="s">
        <v>745</v>
      </c>
      <c r="L153" t="s">
        <v>115</v>
      </c>
      <c r="M153" t="s">
        <v>889</v>
      </c>
      <c r="N153" t="s">
        <v>844</v>
      </c>
      <c r="O153" t="s">
        <v>116</v>
      </c>
      <c r="P153" t="s">
        <v>729</v>
      </c>
      <c r="Q153" t="s">
        <v>106</v>
      </c>
      <c r="R153" t="s">
        <v>106</v>
      </c>
      <c r="S153" t="s">
        <v>106</v>
      </c>
      <c r="T153" t="s">
        <v>713</v>
      </c>
      <c r="U153" t="s">
        <v>731</v>
      </c>
      <c r="V153" t="s">
        <v>731</v>
      </c>
      <c r="W153" t="s">
        <v>2285</v>
      </c>
      <c r="AB153" t="s">
        <v>1</v>
      </c>
      <c r="AC153" t="s">
        <v>2286</v>
      </c>
      <c r="AD153" t="s">
        <v>733</v>
      </c>
      <c r="AE153" t="s">
        <v>969</v>
      </c>
      <c r="AF153" t="s">
        <v>752</v>
      </c>
      <c r="AG153" t="s">
        <v>731</v>
      </c>
      <c r="AH153" t="s">
        <v>2287</v>
      </c>
      <c r="AI153" t="s">
        <v>1</v>
      </c>
      <c r="AJ153" t="s">
        <v>2288</v>
      </c>
      <c r="AK153" t="s">
        <v>1667</v>
      </c>
    </row>
    <row r="154" spans="1:37" hidden="1" x14ac:dyDescent="0.3">
      <c r="A154" t="s">
        <v>2267</v>
      </c>
      <c r="B154" s="56">
        <v>45798.877441358025</v>
      </c>
      <c r="C154" t="s">
        <v>2268</v>
      </c>
      <c r="D154" t="s">
        <v>2269</v>
      </c>
      <c r="E154" s="7">
        <v>37512</v>
      </c>
      <c r="F154" t="s">
        <v>2270</v>
      </c>
      <c r="G154" t="s">
        <v>148</v>
      </c>
      <c r="H154" t="s">
        <v>102</v>
      </c>
      <c r="I154" t="s">
        <v>2271</v>
      </c>
      <c r="J154" t="s">
        <v>4</v>
      </c>
      <c r="K154" t="s">
        <v>1125</v>
      </c>
      <c r="L154" t="s">
        <v>115</v>
      </c>
      <c r="M154" t="s">
        <v>2272</v>
      </c>
      <c r="N154" t="s">
        <v>940</v>
      </c>
      <c r="O154" t="s">
        <v>118</v>
      </c>
      <c r="P154" t="s">
        <v>729</v>
      </c>
      <c r="Q154" t="s">
        <v>106</v>
      </c>
      <c r="R154" t="s">
        <v>106</v>
      </c>
      <c r="S154" t="s">
        <v>106</v>
      </c>
      <c r="T154" t="s">
        <v>713</v>
      </c>
      <c r="U154" t="s">
        <v>731</v>
      </c>
      <c r="V154" t="s">
        <v>731</v>
      </c>
      <c r="W154" t="s">
        <v>2273</v>
      </c>
      <c r="X154" t="s">
        <v>2274</v>
      </c>
      <c r="Y154" t="s">
        <v>1703</v>
      </c>
      <c r="Z154" t="s">
        <v>2275</v>
      </c>
      <c r="AB154" t="s">
        <v>1</v>
      </c>
      <c r="AC154" t="s">
        <v>2276</v>
      </c>
      <c r="AD154" t="s">
        <v>764</v>
      </c>
      <c r="AE154" t="s">
        <v>2277</v>
      </c>
      <c r="AF154" t="s">
        <v>752</v>
      </c>
      <c r="AG154" t="s">
        <v>731</v>
      </c>
      <c r="AH154" t="s">
        <v>2278</v>
      </c>
      <c r="AI154" t="s">
        <v>2</v>
      </c>
      <c r="AJ154" t="s">
        <v>2279</v>
      </c>
      <c r="AK154" t="s">
        <v>1659</v>
      </c>
    </row>
    <row r="155" spans="1:37" hidden="1" x14ac:dyDescent="0.3">
      <c r="A155" t="s">
        <v>2380</v>
      </c>
      <c r="B155" s="56">
        <v>45798.88685327932</v>
      </c>
      <c r="C155" t="s">
        <v>2381</v>
      </c>
      <c r="D155" t="s">
        <v>2382</v>
      </c>
      <c r="E155" s="7">
        <v>36863</v>
      </c>
      <c r="F155" t="s">
        <v>2383</v>
      </c>
      <c r="G155" t="s">
        <v>2384</v>
      </c>
      <c r="H155" t="s">
        <v>102</v>
      </c>
      <c r="I155" t="s">
        <v>2385</v>
      </c>
      <c r="J155" t="s">
        <v>4</v>
      </c>
      <c r="K155" t="s">
        <v>3055</v>
      </c>
      <c r="L155" t="s">
        <v>104</v>
      </c>
      <c r="M155" t="s">
        <v>773</v>
      </c>
      <c r="N155" t="s">
        <v>963</v>
      </c>
      <c r="O155" t="s">
        <v>2807</v>
      </c>
      <c r="P155" t="s">
        <v>729</v>
      </c>
      <c r="Q155" t="s">
        <v>106</v>
      </c>
      <c r="R155" t="s">
        <v>106</v>
      </c>
      <c r="S155" t="s">
        <v>106</v>
      </c>
      <c r="T155" t="s">
        <v>713</v>
      </c>
      <c r="U155" t="s">
        <v>2388</v>
      </c>
      <c r="V155" t="s">
        <v>731</v>
      </c>
      <c r="W155" t="s">
        <v>2389</v>
      </c>
      <c r="AB155" t="s">
        <v>1</v>
      </c>
      <c r="AC155" t="s">
        <v>2390</v>
      </c>
      <c r="AD155" t="s">
        <v>789</v>
      </c>
      <c r="AE155" t="s">
        <v>963</v>
      </c>
      <c r="AF155" t="s">
        <v>752</v>
      </c>
      <c r="AG155" t="s">
        <v>731</v>
      </c>
      <c r="AH155" t="s">
        <v>2391</v>
      </c>
      <c r="AI155" t="s">
        <v>2</v>
      </c>
      <c r="AJ155" t="s">
        <v>2392</v>
      </c>
      <c r="AK155" t="s">
        <v>1655</v>
      </c>
    </row>
    <row r="156" spans="1:37" hidden="1" x14ac:dyDescent="0.3">
      <c r="A156" t="s">
        <v>2397</v>
      </c>
      <c r="B156" s="56">
        <v>45798.921749845678</v>
      </c>
      <c r="C156" t="s">
        <v>2398</v>
      </c>
      <c r="D156" t="s">
        <v>2399</v>
      </c>
      <c r="E156" s="7">
        <v>37698</v>
      </c>
      <c r="F156" t="s">
        <v>2400</v>
      </c>
      <c r="G156" t="s">
        <v>118</v>
      </c>
      <c r="H156" t="s">
        <v>102</v>
      </c>
      <c r="I156" t="s">
        <v>2401</v>
      </c>
      <c r="J156" t="s">
        <v>4</v>
      </c>
      <c r="K156" t="s">
        <v>1125</v>
      </c>
      <c r="L156" t="s">
        <v>115</v>
      </c>
      <c r="M156" t="s">
        <v>727</v>
      </c>
      <c r="N156" t="s">
        <v>963</v>
      </c>
      <c r="O156" t="s">
        <v>118</v>
      </c>
      <c r="P156" t="s">
        <v>729</v>
      </c>
      <c r="Q156" t="s">
        <v>106</v>
      </c>
      <c r="R156" t="s">
        <v>106</v>
      </c>
      <c r="S156" t="s">
        <v>106</v>
      </c>
      <c r="T156" t="s">
        <v>713</v>
      </c>
      <c r="U156" t="s">
        <v>2402</v>
      </c>
      <c r="V156" t="s">
        <v>731</v>
      </c>
      <c r="W156" t="s">
        <v>2403</v>
      </c>
      <c r="X156" t="s">
        <v>2404</v>
      </c>
      <c r="Y156" t="s">
        <v>1636</v>
      </c>
      <c r="Z156" t="s">
        <v>1637</v>
      </c>
      <c r="AB156" t="s">
        <v>1</v>
      </c>
      <c r="AC156" t="s">
        <v>763</v>
      </c>
      <c r="AD156" t="s">
        <v>764</v>
      </c>
      <c r="AE156" t="s">
        <v>2405</v>
      </c>
      <c r="AF156" t="s">
        <v>752</v>
      </c>
      <c r="AG156" t="s">
        <v>731</v>
      </c>
      <c r="AH156" t="s">
        <v>2406</v>
      </c>
      <c r="AI156" t="s">
        <v>2</v>
      </c>
      <c r="AJ156" t="s">
        <v>2407</v>
      </c>
      <c r="AK156" t="s">
        <v>1659</v>
      </c>
    </row>
    <row r="157" spans="1:37" hidden="1" x14ac:dyDescent="0.3">
      <c r="A157" t="s">
        <v>2605</v>
      </c>
      <c r="B157" s="56">
        <v>45798.963755478399</v>
      </c>
      <c r="C157" t="s">
        <v>2606</v>
      </c>
      <c r="D157" t="s">
        <v>2607</v>
      </c>
      <c r="E157" s="7">
        <v>26498</v>
      </c>
      <c r="F157" t="s">
        <v>2608</v>
      </c>
      <c r="G157" t="s">
        <v>328</v>
      </c>
      <c r="H157" t="s">
        <v>102</v>
      </c>
      <c r="I157" t="s">
        <v>2721</v>
      </c>
      <c r="J157" t="s">
        <v>4</v>
      </c>
      <c r="K157" t="s">
        <v>2132</v>
      </c>
      <c r="L157" t="s">
        <v>122</v>
      </c>
      <c r="M157" t="s">
        <v>2609</v>
      </c>
      <c r="N157" t="s">
        <v>2610</v>
      </c>
      <c r="O157" t="s">
        <v>111</v>
      </c>
      <c r="P157" t="s">
        <v>729</v>
      </c>
      <c r="Q157" t="s">
        <v>106</v>
      </c>
      <c r="R157" t="s">
        <v>122</v>
      </c>
      <c r="S157" t="s">
        <v>122</v>
      </c>
      <c r="T157" t="s">
        <v>713</v>
      </c>
      <c r="U157" t="s">
        <v>731</v>
      </c>
      <c r="V157" t="s">
        <v>731</v>
      </c>
      <c r="W157" t="s">
        <v>2611</v>
      </c>
      <c r="X157" t="s">
        <v>2612</v>
      </c>
      <c r="Y157" t="s">
        <v>2613</v>
      </c>
      <c r="Z157" t="s">
        <v>2614</v>
      </c>
      <c r="AB157" t="s">
        <v>733</v>
      </c>
      <c r="AC157" t="s">
        <v>2615</v>
      </c>
      <c r="AD157" t="s">
        <v>1008</v>
      </c>
      <c r="AE157" t="s">
        <v>733</v>
      </c>
      <c r="AF157" t="s">
        <v>790</v>
      </c>
      <c r="AG157" t="s">
        <v>753</v>
      </c>
      <c r="AH157" t="s">
        <v>2616</v>
      </c>
      <c r="AI157" t="s">
        <v>2</v>
      </c>
      <c r="AJ157" t="s">
        <v>2617</v>
      </c>
      <c r="AK157" t="s">
        <v>1739</v>
      </c>
    </row>
    <row r="158" spans="1:37" hidden="1" x14ac:dyDescent="0.3">
      <c r="A158" t="s">
        <v>2408</v>
      </c>
      <c r="B158" s="56">
        <v>45798.973210108023</v>
      </c>
      <c r="C158" t="s">
        <v>2409</v>
      </c>
      <c r="D158" t="s">
        <v>2410</v>
      </c>
      <c r="E158" s="7">
        <v>37425</v>
      </c>
      <c r="F158" t="s">
        <v>2411</v>
      </c>
      <c r="G158" t="s">
        <v>112</v>
      </c>
      <c r="H158" t="s">
        <v>102</v>
      </c>
      <c r="I158" t="s">
        <v>2412</v>
      </c>
      <c r="J158" t="s">
        <v>4</v>
      </c>
      <c r="K158" t="s">
        <v>1125</v>
      </c>
      <c r="L158" t="s">
        <v>122</v>
      </c>
      <c r="M158" t="s">
        <v>727</v>
      </c>
      <c r="N158" t="s">
        <v>736</v>
      </c>
      <c r="O158" t="s">
        <v>118</v>
      </c>
      <c r="P158" t="s">
        <v>729</v>
      </c>
      <c r="Q158" t="s">
        <v>106</v>
      </c>
      <c r="R158" t="s">
        <v>106</v>
      </c>
      <c r="S158" t="s">
        <v>106</v>
      </c>
      <c r="T158" t="s">
        <v>713</v>
      </c>
      <c r="U158" t="s">
        <v>731</v>
      </c>
      <c r="V158" t="s">
        <v>731</v>
      </c>
      <c r="W158" t="s">
        <v>2413</v>
      </c>
      <c r="AB158" t="s">
        <v>733</v>
      </c>
      <c r="AC158" t="s">
        <v>763</v>
      </c>
      <c r="AD158" t="s">
        <v>915</v>
      </c>
      <c r="AE158" t="s">
        <v>733</v>
      </c>
      <c r="AF158" t="s">
        <v>752</v>
      </c>
      <c r="AG158" t="s">
        <v>731</v>
      </c>
      <c r="AH158" t="s">
        <v>2414</v>
      </c>
      <c r="AI158" t="s">
        <v>2</v>
      </c>
      <c r="AJ158" t="s">
        <v>2415</v>
      </c>
      <c r="AK158" t="s">
        <v>1656</v>
      </c>
    </row>
    <row r="159" spans="1:37" hidden="1" x14ac:dyDescent="0.3">
      <c r="A159" t="s">
        <v>2639</v>
      </c>
      <c r="B159" s="56">
        <v>45798.980256481482</v>
      </c>
      <c r="C159" t="s">
        <v>2640</v>
      </c>
      <c r="D159" t="s">
        <v>2641</v>
      </c>
      <c r="E159" s="7">
        <v>34656</v>
      </c>
      <c r="F159" t="s">
        <v>2642</v>
      </c>
      <c r="G159" t="s">
        <v>367</v>
      </c>
      <c r="H159" t="s">
        <v>102</v>
      </c>
      <c r="I159" t="s">
        <v>2643</v>
      </c>
      <c r="J159" t="s">
        <v>4</v>
      </c>
      <c r="K159" t="s">
        <v>126</v>
      </c>
      <c r="L159" t="s">
        <v>122</v>
      </c>
      <c r="M159" t="s">
        <v>2644</v>
      </c>
      <c r="N159" t="s">
        <v>736</v>
      </c>
      <c r="O159" t="s">
        <v>116</v>
      </c>
      <c r="P159" t="s">
        <v>119</v>
      </c>
      <c r="Q159" t="s">
        <v>2645</v>
      </c>
      <c r="R159" t="s">
        <v>117</v>
      </c>
      <c r="S159" t="s">
        <v>106</v>
      </c>
      <c r="T159" t="s">
        <v>713</v>
      </c>
      <c r="U159" t="s">
        <v>731</v>
      </c>
      <c r="V159" t="s">
        <v>731</v>
      </c>
      <c r="W159" t="s">
        <v>2646</v>
      </c>
      <c r="X159" t="s">
        <v>733</v>
      </c>
      <c r="AA159" t="s">
        <v>731</v>
      </c>
      <c r="AB159" t="s">
        <v>733</v>
      </c>
      <c r="AC159" t="s">
        <v>834</v>
      </c>
      <c r="AD159" t="s">
        <v>2647</v>
      </c>
      <c r="AE159" t="s">
        <v>2648</v>
      </c>
      <c r="AF159" t="s">
        <v>790</v>
      </c>
      <c r="AG159" t="s">
        <v>731</v>
      </c>
      <c r="AH159" t="s">
        <v>2649</v>
      </c>
      <c r="AI159" t="s">
        <v>2</v>
      </c>
      <c r="AJ159" t="s">
        <v>2650</v>
      </c>
      <c r="AK159" t="s">
        <v>1666</v>
      </c>
    </row>
    <row r="160" spans="1:37" hidden="1" x14ac:dyDescent="0.3">
      <c r="A160" t="s">
        <v>2651</v>
      </c>
      <c r="B160" s="56">
        <v>45798.987415740739</v>
      </c>
      <c r="C160" t="s">
        <v>2652</v>
      </c>
      <c r="D160" t="s">
        <v>2653</v>
      </c>
      <c r="E160" s="7">
        <v>36821</v>
      </c>
      <c r="F160" t="s">
        <v>2654</v>
      </c>
      <c r="G160" t="s">
        <v>2655</v>
      </c>
      <c r="H160" t="s">
        <v>102</v>
      </c>
      <c r="I160" t="s">
        <v>2656</v>
      </c>
      <c r="J160" t="s">
        <v>4</v>
      </c>
      <c r="K160" t="s">
        <v>2657</v>
      </c>
      <c r="L160" t="s">
        <v>122</v>
      </c>
      <c r="M160" t="s">
        <v>760</v>
      </c>
      <c r="N160" t="s">
        <v>736</v>
      </c>
      <c r="O160" t="s">
        <v>111</v>
      </c>
      <c r="P160" t="s">
        <v>729</v>
      </c>
      <c r="Q160" t="s">
        <v>2658</v>
      </c>
      <c r="R160" t="s">
        <v>106</v>
      </c>
      <c r="S160" t="s">
        <v>106</v>
      </c>
      <c r="T160" t="s">
        <v>713</v>
      </c>
      <c r="U160" t="s">
        <v>731</v>
      </c>
      <c r="V160" t="s">
        <v>731</v>
      </c>
      <c r="W160" t="s">
        <v>2659</v>
      </c>
      <c r="AB160" t="s">
        <v>1</v>
      </c>
      <c r="AC160" t="s">
        <v>1861</v>
      </c>
      <c r="AD160" t="s">
        <v>2660</v>
      </c>
      <c r="AE160" t="s">
        <v>2661</v>
      </c>
      <c r="AF160" t="s">
        <v>752</v>
      </c>
      <c r="AG160" t="s">
        <v>1273</v>
      </c>
      <c r="AH160" t="s">
        <v>1255</v>
      </c>
      <c r="AI160" t="s">
        <v>2</v>
      </c>
      <c r="AJ160" t="s">
        <v>2662</v>
      </c>
      <c r="AK160" t="s">
        <v>1655</v>
      </c>
    </row>
    <row r="161" spans="1:37" hidden="1" x14ac:dyDescent="0.3">
      <c r="A161" t="s">
        <v>2416</v>
      </c>
      <c r="B161" s="56">
        <v>45798.989366010799</v>
      </c>
      <c r="C161" t="s">
        <v>2417</v>
      </c>
      <c r="D161" t="s">
        <v>2418</v>
      </c>
      <c r="E161" s="7">
        <v>37672</v>
      </c>
      <c r="F161" t="s">
        <v>2419</v>
      </c>
      <c r="G161" t="s">
        <v>1553</v>
      </c>
      <c r="H161" t="s">
        <v>102</v>
      </c>
      <c r="I161" t="s">
        <v>2718</v>
      </c>
      <c r="J161" t="s">
        <v>4</v>
      </c>
      <c r="K161" t="s">
        <v>1125</v>
      </c>
      <c r="L161" t="s">
        <v>115</v>
      </c>
      <c r="M161" t="s">
        <v>2420</v>
      </c>
      <c r="N161" t="s">
        <v>835</v>
      </c>
      <c r="O161" t="s">
        <v>118</v>
      </c>
      <c r="P161" t="s">
        <v>729</v>
      </c>
      <c r="Q161" t="s">
        <v>106</v>
      </c>
      <c r="R161" t="s">
        <v>106</v>
      </c>
      <c r="S161" t="s">
        <v>106</v>
      </c>
      <c r="T161" t="s">
        <v>713</v>
      </c>
      <c r="U161" t="s">
        <v>731</v>
      </c>
      <c r="V161" t="s">
        <v>731</v>
      </c>
      <c r="W161" t="s">
        <v>2421</v>
      </c>
      <c r="X161" t="s">
        <v>2422</v>
      </c>
      <c r="Y161" t="s">
        <v>2423</v>
      </c>
      <c r="Z161" t="s">
        <v>2424</v>
      </c>
      <c r="AB161" t="s">
        <v>1</v>
      </c>
      <c r="AC161" t="s">
        <v>2425</v>
      </c>
      <c r="AD161" t="s">
        <v>2426</v>
      </c>
      <c r="AE161" t="s">
        <v>2427</v>
      </c>
      <c r="AF161" t="s">
        <v>752</v>
      </c>
      <c r="AG161" t="s">
        <v>731</v>
      </c>
      <c r="AH161" t="s">
        <v>2428</v>
      </c>
      <c r="AI161" t="s">
        <v>2</v>
      </c>
      <c r="AJ161" t="s">
        <v>2429</v>
      </c>
      <c r="AK161" t="s">
        <v>1659</v>
      </c>
    </row>
    <row r="162" spans="1:37" hidden="1" x14ac:dyDescent="0.3">
      <c r="A162" t="s">
        <v>2430</v>
      </c>
      <c r="B162" s="56">
        <v>45799.014139930558</v>
      </c>
      <c r="C162" t="s">
        <v>2431</v>
      </c>
      <c r="D162" t="s">
        <v>2432</v>
      </c>
      <c r="E162" s="7">
        <v>38768</v>
      </c>
      <c r="F162" t="s">
        <v>2433</v>
      </c>
      <c r="G162" t="s">
        <v>1553</v>
      </c>
      <c r="H162" t="s">
        <v>102</v>
      </c>
      <c r="I162" t="s">
        <v>2434</v>
      </c>
      <c r="J162" t="s">
        <v>4</v>
      </c>
      <c r="K162" t="s">
        <v>2132</v>
      </c>
      <c r="L162" t="s">
        <v>115</v>
      </c>
      <c r="M162" t="s">
        <v>2435</v>
      </c>
      <c r="N162" t="s">
        <v>735</v>
      </c>
      <c r="O162" t="s">
        <v>111</v>
      </c>
      <c r="P162" t="s">
        <v>729</v>
      </c>
      <c r="Q162" t="s">
        <v>106</v>
      </c>
      <c r="R162" t="s">
        <v>106</v>
      </c>
      <c r="S162" t="s">
        <v>106</v>
      </c>
      <c r="T162" t="s">
        <v>713</v>
      </c>
      <c r="U162" t="s">
        <v>731</v>
      </c>
      <c r="V162" t="s">
        <v>731</v>
      </c>
      <c r="W162" t="s">
        <v>2436</v>
      </c>
      <c r="AB162" t="s">
        <v>1</v>
      </c>
      <c r="AC162" t="s">
        <v>763</v>
      </c>
      <c r="AD162" t="s">
        <v>915</v>
      </c>
      <c r="AE162" t="s">
        <v>848</v>
      </c>
      <c r="AF162" t="s">
        <v>752</v>
      </c>
      <c r="AG162" t="s">
        <v>731</v>
      </c>
      <c r="AH162" t="s">
        <v>2437</v>
      </c>
      <c r="AI162" t="s">
        <v>2</v>
      </c>
      <c r="AJ162" t="s">
        <v>2438</v>
      </c>
      <c r="AK162" t="s">
        <v>1660</v>
      </c>
    </row>
    <row r="163" spans="1:37" hidden="1" x14ac:dyDescent="0.3">
      <c r="A163" t="s">
        <v>217</v>
      </c>
      <c r="B163" s="56">
        <v>45799.064909722219</v>
      </c>
      <c r="C163" t="s">
        <v>2663</v>
      </c>
      <c r="D163" t="s">
        <v>219</v>
      </c>
      <c r="E163" s="7">
        <v>34963</v>
      </c>
      <c r="F163" t="s">
        <v>2664</v>
      </c>
      <c r="G163" t="s">
        <v>118</v>
      </c>
      <c r="H163" t="s">
        <v>102</v>
      </c>
      <c r="I163" t="s">
        <v>220</v>
      </c>
      <c r="J163" t="s">
        <v>5</v>
      </c>
      <c r="K163" t="s">
        <v>2665</v>
      </c>
      <c r="L163" t="s">
        <v>122</v>
      </c>
      <c r="M163" t="s">
        <v>2632</v>
      </c>
      <c r="N163" t="s">
        <v>2666</v>
      </c>
      <c r="O163" t="s">
        <v>1890</v>
      </c>
      <c r="P163" t="s">
        <v>119</v>
      </c>
      <c r="Q163" t="s">
        <v>365</v>
      </c>
      <c r="R163" t="s">
        <v>122</v>
      </c>
      <c r="S163" t="s">
        <v>106</v>
      </c>
      <c r="T163" t="s">
        <v>120</v>
      </c>
      <c r="U163" t="s">
        <v>731</v>
      </c>
      <c r="V163" t="s">
        <v>846</v>
      </c>
      <c r="W163" t="s">
        <v>2667</v>
      </c>
      <c r="AB163" t="s">
        <v>733</v>
      </c>
      <c r="AC163" t="s">
        <v>2668</v>
      </c>
      <c r="AD163" t="s">
        <v>880</v>
      </c>
      <c r="AE163" t="s">
        <v>800</v>
      </c>
      <c r="AF163" t="s">
        <v>752</v>
      </c>
      <c r="AG163" t="s">
        <v>2669</v>
      </c>
      <c r="AH163" t="s">
        <v>2093</v>
      </c>
      <c r="AI163" t="s">
        <v>2</v>
      </c>
      <c r="AJ163" t="s">
        <v>2670</v>
      </c>
      <c r="AK163" t="s">
        <v>1668</v>
      </c>
    </row>
    <row r="164" spans="1:37" hidden="1" x14ac:dyDescent="0.3">
      <c r="A164" t="s">
        <v>2439</v>
      </c>
      <c r="B164" s="56">
        <v>45799.450536959877</v>
      </c>
      <c r="C164" t="s">
        <v>2440</v>
      </c>
      <c r="D164" t="s">
        <v>2441</v>
      </c>
      <c r="E164" s="7">
        <v>35466</v>
      </c>
      <c r="F164" t="s">
        <v>2442</v>
      </c>
      <c r="G164" t="s">
        <v>112</v>
      </c>
      <c r="H164" t="s">
        <v>102</v>
      </c>
      <c r="I164" t="s">
        <v>2443</v>
      </c>
      <c r="J164" t="s">
        <v>4</v>
      </c>
      <c r="K164" t="s">
        <v>150</v>
      </c>
      <c r="L164" t="s">
        <v>121</v>
      </c>
      <c r="M164" t="s">
        <v>2444</v>
      </c>
      <c r="N164" t="s">
        <v>774</v>
      </c>
      <c r="O164" t="s">
        <v>1890</v>
      </c>
      <c r="P164" t="s">
        <v>729</v>
      </c>
      <c r="Q164" t="s">
        <v>106</v>
      </c>
      <c r="R164" t="s">
        <v>106</v>
      </c>
      <c r="S164" t="s">
        <v>106</v>
      </c>
      <c r="T164" t="s">
        <v>713</v>
      </c>
      <c r="U164" t="s">
        <v>731</v>
      </c>
      <c r="V164" t="s">
        <v>731</v>
      </c>
      <c r="W164" t="s">
        <v>2445</v>
      </c>
      <c r="X164" t="s">
        <v>2446</v>
      </c>
      <c r="Y164" t="s">
        <v>2447</v>
      </c>
      <c r="Z164" t="s">
        <v>2448</v>
      </c>
      <c r="AA164" t="s">
        <v>2449</v>
      </c>
      <c r="AB164" t="s">
        <v>1</v>
      </c>
      <c r="AC164" t="s">
        <v>1705</v>
      </c>
      <c r="AD164" t="s">
        <v>1106</v>
      </c>
      <c r="AE164" t="s">
        <v>1686</v>
      </c>
      <c r="AF164" t="s">
        <v>752</v>
      </c>
      <c r="AG164" t="s">
        <v>731</v>
      </c>
      <c r="AH164" t="s">
        <v>2450</v>
      </c>
      <c r="AI164" t="s">
        <v>2</v>
      </c>
      <c r="AJ164" t="s">
        <v>2451</v>
      </c>
      <c r="AK164" t="s">
        <v>1673</v>
      </c>
    </row>
    <row r="165" spans="1:37" hidden="1" x14ac:dyDescent="0.3">
      <c r="A165" t="s">
        <v>2671</v>
      </c>
      <c r="B165" s="56">
        <v>45799.487469637344</v>
      </c>
      <c r="C165" t="s">
        <v>2672</v>
      </c>
      <c r="D165" t="s">
        <v>2673</v>
      </c>
      <c r="E165" s="7">
        <v>35611</v>
      </c>
      <c r="F165" t="s">
        <v>2674</v>
      </c>
      <c r="G165" t="s">
        <v>2675</v>
      </c>
      <c r="H165" t="s">
        <v>102</v>
      </c>
      <c r="I165" t="s">
        <v>2676</v>
      </c>
      <c r="J165" t="s">
        <v>5</v>
      </c>
      <c r="K165" t="s">
        <v>2677</v>
      </c>
      <c r="L165" t="s">
        <v>122</v>
      </c>
      <c r="M165" t="s">
        <v>727</v>
      </c>
      <c r="N165" t="s">
        <v>800</v>
      </c>
      <c r="O165" t="s">
        <v>1718</v>
      </c>
      <c r="P165" t="s">
        <v>119</v>
      </c>
      <c r="Q165" t="s">
        <v>2678</v>
      </c>
      <c r="R165" t="s">
        <v>122</v>
      </c>
      <c r="S165" t="s">
        <v>106</v>
      </c>
      <c r="T165" t="s">
        <v>713</v>
      </c>
      <c r="U165" t="s">
        <v>731</v>
      </c>
      <c r="V165" t="s">
        <v>731</v>
      </c>
      <c r="W165" t="s">
        <v>2679</v>
      </c>
      <c r="AB165" t="s">
        <v>1</v>
      </c>
      <c r="AC165" t="s">
        <v>2680</v>
      </c>
      <c r="AD165" t="s">
        <v>915</v>
      </c>
      <c r="AE165" t="s">
        <v>764</v>
      </c>
      <c r="AF165" t="s">
        <v>752</v>
      </c>
      <c r="AG165" t="s">
        <v>731</v>
      </c>
      <c r="AH165" t="s">
        <v>2492</v>
      </c>
      <c r="AI165" t="s">
        <v>2</v>
      </c>
      <c r="AJ165" t="s">
        <v>2681</v>
      </c>
      <c r="AK165" t="s">
        <v>1673</v>
      </c>
    </row>
    <row r="166" spans="1:37" hidden="1" x14ac:dyDescent="0.3">
      <c r="A166" t="s">
        <v>2452</v>
      </c>
      <c r="B166" s="56">
        <v>45799.514969675925</v>
      </c>
      <c r="C166" t="s">
        <v>2453</v>
      </c>
      <c r="D166" t="s">
        <v>2454</v>
      </c>
      <c r="E166" s="7">
        <v>37610</v>
      </c>
      <c r="F166" t="s">
        <v>2455</v>
      </c>
      <c r="G166" t="s">
        <v>112</v>
      </c>
      <c r="H166" t="s">
        <v>102</v>
      </c>
      <c r="I166" t="s">
        <v>2456</v>
      </c>
      <c r="J166" t="s">
        <v>4</v>
      </c>
      <c r="K166" t="s">
        <v>150</v>
      </c>
      <c r="L166" t="s">
        <v>122</v>
      </c>
      <c r="M166" t="s">
        <v>2458</v>
      </c>
      <c r="N166" t="s">
        <v>2459</v>
      </c>
      <c r="O166" t="s">
        <v>1890</v>
      </c>
      <c r="P166" t="s">
        <v>729</v>
      </c>
      <c r="Q166" t="s">
        <v>106</v>
      </c>
      <c r="R166" t="s">
        <v>106</v>
      </c>
      <c r="S166" t="s">
        <v>106</v>
      </c>
      <c r="T166" t="s">
        <v>713</v>
      </c>
      <c r="U166" t="s">
        <v>2460</v>
      </c>
      <c r="V166" t="s">
        <v>977</v>
      </c>
      <c r="W166" t="s">
        <v>2461</v>
      </c>
      <c r="AB166" t="s">
        <v>1</v>
      </c>
      <c r="AC166" t="s">
        <v>2462</v>
      </c>
      <c r="AD166" t="s">
        <v>736</v>
      </c>
      <c r="AE166" t="s">
        <v>1331</v>
      </c>
      <c r="AF166" t="s">
        <v>752</v>
      </c>
      <c r="AG166" t="s">
        <v>753</v>
      </c>
      <c r="AH166" t="s">
        <v>2463</v>
      </c>
      <c r="AI166" t="s">
        <v>2</v>
      </c>
      <c r="AJ166" t="s">
        <v>2464</v>
      </c>
      <c r="AK166" t="s">
        <v>1659</v>
      </c>
    </row>
    <row r="167" spans="1:37" hidden="1" x14ac:dyDescent="0.3">
      <c r="A167" t="s">
        <v>2465</v>
      </c>
      <c r="B167" s="56">
        <v>45799.519266743824</v>
      </c>
      <c r="C167" t="s">
        <v>2466</v>
      </c>
      <c r="D167" t="s">
        <v>2467</v>
      </c>
      <c r="E167" s="7">
        <v>37645</v>
      </c>
      <c r="F167" t="s">
        <v>2468</v>
      </c>
      <c r="G167" t="s">
        <v>112</v>
      </c>
      <c r="H167" t="s">
        <v>102</v>
      </c>
      <c r="I167" t="s">
        <v>2719</v>
      </c>
      <c r="J167" t="s">
        <v>4</v>
      </c>
      <c r="K167" t="s">
        <v>150</v>
      </c>
      <c r="L167" t="s">
        <v>110</v>
      </c>
      <c r="M167" t="s">
        <v>727</v>
      </c>
      <c r="N167" t="s">
        <v>1331</v>
      </c>
      <c r="O167" t="s">
        <v>1890</v>
      </c>
      <c r="P167" t="s">
        <v>729</v>
      </c>
      <c r="Q167" t="s">
        <v>106</v>
      </c>
      <c r="R167" t="s">
        <v>106</v>
      </c>
      <c r="S167" t="s">
        <v>106</v>
      </c>
      <c r="T167" t="s">
        <v>713</v>
      </c>
      <c r="U167" t="s">
        <v>731</v>
      </c>
      <c r="V167" t="s">
        <v>731</v>
      </c>
      <c r="W167" t="s">
        <v>2469</v>
      </c>
      <c r="AB167" t="s">
        <v>1</v>
      </c>
      <c r="AC167" t="s">
        <v>2470</v>
      </c>
      <c r="AD167" t="s">
        <v>1159</v>
      </c>
      <c r="AE167" t="s">
        <v>2471</v>
      </c>
      <c r="AF167" t="s">
        <v>752</v>
      </c>
      <c r="AG167" t="s">
        <v>731</v>
      </c>
      <c r="AH167" t="s">
        <v>869</v>
      </c>
      <c r="AI167" t="s">
        <v>2</v>
      </c>
      <c r="AJ167" t="s">
        <v>2472</v>
      </c>
      <c r="AK167" t="s">
        <v>1659</v>
      </c>
    </row>
    <row r="168" spans="1:37" hidden="1" x14ac:dyDescent="0.3">
      <c r="A168" t="s">
        <v>544</v>
      </c>
      <c r="B168" s="56">
        <v>45799.573516743825</v>
      </c>
      <c r="C168" t="s">
        <v>543</v>
      </c>
      <c r="D168" t="s">
        <v>2682</v>
      </c>
      <c r="E168" s="7">
        <v>36226</v>
      </c>
      <c r="F168" t="s">
        <v>2683</v>
      </c>
      <c r="G168" t="s">
        <v>112</v>
      </c>
      <c r="H168" t="s">
        <v>102</v>
      </c>
      <c r="I168" t="s">
        <v>2684</v>
      </c>
      <c r="J168" t="s">
        <v>5</v>
      </c>
      <c r="K168" t="s">
        <v>134</v>
      </c>
      <c r="L168" t="s">
        <v>117</v>
      </c>
      <c r="M168" t="s">
        <v>2685</v>
      </c>
      <c r="N168" t="s">
        <v>800</v>
      </c>
      <c r="O168" t="s">
        <v>1890</v>
      </c>
      <c r="P168" t="s">
        <v>119</v>
      </c>
      <c r="Q168" t="s">
        <v>2686</v>
      </c>
      <c r="R168" t="s">
        <v>117</v>
      </c>
      <c r="S168" t="s">
        <v>106</v>
      </c>
      <c r="T168" t="s">
        <v>120</v>
      </c>
      <c r="U168" t="s">
        <v>2687</v>
      </c>
      <c r="V168" t="s">
        <v>731</v>
      </c>
      <c r="W168" t="s">
        <v>2688</v>
      </c>
      <c r="X168" t="s">
        <v>2689</v>
      </c>
      <c r="Y168" t="s">
        <v>1231</v>
      </c>
      <c r="Z168" t="s">
        <v>1829</v>
      </c>
      <c r="AB168" t="s">
        <v>1</v>
      </c>
      <c r="AC168" t="s">
        <v>1272</v>
      </c>
      <c r="AD168" t="s">
        <v>764</v>
      </c>
      <c r="AE168" t="s">
        <v>1683</v>
      </c>
      <c r="AF168" t="s">
        <v>752</v>
      </c>
      <c r="AG168" t="s">
        <v>731</v>
      </c>
      <c r="AH168" t="s">
        <v>2187</v>
      </c>
      <c r="AI168" t="s">
        <v>2</v>
      </c>
      <c r="AJ168" t="s">
        <v>2690</v>
      </c>
      <c r="AK168" t="s">
        <v>1669</v>
      </c>
    </row>
    <row r="169" spans="1:37" hidden="1" x14ac:dyDescent="0.3">
      <c r="A169" t="s">
        <v>2473</v>
      </c>
      <c r="B169" s="56">
        <v>45799.585708950617</v>
      </c>
      <c r="C169" t="s">
        <v>2474</v>
      </c>
      <c r="D169" t="s">
        <v>2475</v>
      </c>
      <c r="E169" s="7">
        <v>35688</v>
      </c>
      <c r="F169" t="s">
        <v>2476</v>
      </c>
      <c r="G169" t="s">
        <v>118</v>
      </c>
      <c r="H169" t="s">
        <v>102</v>
      </c>
      <c r="I169" t="s">
        <v>2477</v>
      </c>
      <c r="J169" t="s">
        <v>4</v>
      </c>
      <c r="K169" t="s">
        <v>132</v>
      </c>
      <c r="L169" t="s">
        <v>121</v>
      </c>
      <c r="M169" t="s">
        <v>889</v>
      </c>
      <c r="N169" t="s">
        <v>2478</v>
      </c>
      <c r="O169" t="s">
        <v>1890</v>
      </c>
      <c r="P169" t="s">
        <v>729</v>
      </c>
      <c r="Q169" t="s">
        <v>106</v>
      </c>
      <c r="R169" t="s">
        <v>106</v>
      </c>
      <c r="S169" t="s">
        <v>106</v>
      </c>
      <c r="T169" t="s">
        <v>713</v>
      </c>
      <c r="U169" t="s">
        <v>731</v>
      </c>
      <c r="V169" t="s">
        <v>731</v>
      </c>
      <c r="W169" t="s">
        <v>2479</v>
      </c>
      <c r="AB169" t="s">
        <v>733</v>
      </c>
      <c r="AC169" t="s">
        <v>2480</v>
      </c>
      <c r="AD169" t="s">
        <v>1234</v>
      </c>
      <c r="AE169" t="s">
        <v>986</v>
      </c>
      <c r="AF169" t="s">
        <v>752</v>
      </c>
      <c r="AG169" t="s">
        <v>731</v>
      </c>
      <c r="AH169" t="s">
        <v>2481</v>
      </c>
      <c r="AI169" t="s">
        <v>2</v>
      </c>
      <c r="AJ169" t="s">
        <v>2482</v>
      </c>
      <c r="AK169" t="s">
        <v>1670</v>
      </c>
    </row>
    <row r="170" spans="1:37" hidden="1" x14ac:dyDescent="0.3">
      <c r="A170" t="s">
        <v>2483</v>
      </c>
      <c r="B170" s="56">
        <v>45799.589220794755</v>
      </c>
      <c r="C170" t="s">
        <v>2484</v>
      </c>
      <c r="D170" t="s">
        <v>2485</v>
      </c>
      <c r="E170" s="7">
        <v>32461</v>
      </c>
      <c r="F170" t="s">
        <v>2486</v>
      </c>
      <c r="G170" t="s">
        <v>124</v>
      </c>
      <c r="H170" t="s">
        <v>102</v>
      </c>
      <c r="I170" t="s">
        <v>2487</v>
      </c>
      <c r="J170" t="s">
        <v>4</v>
      </c>
      <c r="K170" t="s">
        <v>235</v>
      </c>
      <c r="L170" t="s">
        <v>122</v>
      </c>
      <c r="M170" t="s">
        <v>760</v>
      </c>
      <c r="N170" t="s">
        <v>736</v>
      </c>
      <c r="O170" t="s">
        <v>1004</v>
      </c>
      <c r="P170" t="s">
        <v>729</v>
      </c>
      <c r="Q170" t="s">
        <v>106</v>
      </c>
      <c r="R170" t="s">
        <v>106</v>
      </c>
      <c r="S170" t="s">
        <v>106</v>
      </c>
      <c r="T170" t="s">
        <v>713</v>
      </c>
      <c r="U170" t="s">
        <v>731</v>
      </c>
      <c r="V170" t="s">
        <v>731</v>
      </c>
      <c r="W170" t="s">
        <v>2488</v>
      </c>
      <c r="X170" t="s">
        <v>2489</v>
      </c>
      <c r="Y170" t="s">
        <v>1819</v>
      </c>
      <c r="Z170" t="s">
        <v>2490</v>
      </c>
      <c r="AB170" t="s">
        <v>1</v>
      </c>
      <c r="AC170" t="s">
        <v>2491</v>
      </c>
      <c r="AD170" t="s">
        <v>1008</v>
      </c>
      <c r="AE170" t="s">
        <v>736</v>
      </c>
      <c r="AF170" t="s">
        <v>752</v>
      </c>
      <c r="AG170" t="s">
        <v>731</v>
      </c>
      <c r="AH170" t="s">
        <v>2492</v>
      </c>
      <c r="AI170" t="s">
        <v>2</v>
      </c>
      <c r="AJ170" t="s">
        <v>2493</v>
      </c>
      <c r="AK170" t="s">
        <v>1671</v>
      </c>
    </row>
    <row r="171" spans="1:37" hidden="1" x14ac:dyDescent="0.3">
      <c r="A171" t="s">
        <v>2494</v>
      </c>
      <c r="B171" s="56">
        <v>45799.614886921299</v>
      </c>
      <c r="C171" t="s">
        <v>2495</v>
      </c>
      <c r="D171" t="s">
        <v>2496</v>
      </c>
      <c r="E171" s="7">
        <v>38419</v>
      </c>
      <c r="F171" t="s">
        <v>2497</v>
      </c>
      <c r="G171" t="s">
        <v>1553</v>
      </c>
      <c r="H171" t="s">
        <v>102</v>
      </c>
      <c r="I171" t="s">
        <v>2498</v>
      </c>
      <c r="J171" t="s">
        <v>4</v>
      </c>
      <c r="K171" t="s">
        <v>123</v>
      </c>
      <c r="L171" t="s">
        <v>115</v>
      </c>
      <c r="M171" t="s">
        <v>727</v>
      </c>
      <c r="N171" t="s">
        <v>1114</v>
      </c>
      <c r="O171" t="s">
        <v>118</v>
      </c>
      <c r="P171" t="s">
        <v>729</v>
      </c>
      <c r="Q171" t="s">
        <v>106</v>
      </c>
      <c r="R171" t="s">
        <v>106</v>
      </c>
      <c r="S171" t="s">
        <v>106</v>
      </c>
      <c r="T171" t="s">
        <v>713</v>
      </c>
      <c r="U171" t="s">
        <v>2499</v>
      </c>
      <c r="V171" t="s">
        <v>846</v>
      </c>
      <c r="W171" t="s">
        <v>2500</v>
      </c>
      <c r="AB171" t="s">
        <v>733</v>
      </c>
      <c r="AC171" t="s">
        <v>763</v>
      </c>
      <c r="AD171" t="s">
        <v>915</v>
      </c>
      <c r="AE171" t="s">
        <v>2501</v>
      </c>
      <c r="AF171" t="s">
        <v>752</v>
      </c>
      <c r="AG171" t="s">
        <v>731</v>
      </c>
      <c r="AH171" t="s">
        <v>2502</v>
      </c>
      <c r="AI171" t="s">
        <v>2</v>
      </c>
      <c r="AJ171" t="s">
        <v>2503</v>
      </c>
      <c r="AK171" t="s">
        <v>1662</v>
      </c>
    </row>
    <row r="172" spans="1:37" hidden="1" x14ac:dyDescent="0.3">
      <c r="A172" t="s">
        <v>2504</v>
      </c>
      <c r="B172" s="56">
        <v>45799.634140200615</v>
      </c>
      <c r="C172" t="s">
        <v>2505</v>
      </c>
      <c r="D172" t="s">
        <v>2506</v>
      </c>
      <c r="E172" s="7">
        <v>38605</v>
      </c>
      <c r="F172" t="s">
        <v>2507</v>
      </c>
      <c r="G172" t="s">
        <v>1553</v>
      </c>
      <c r="H172" t="s">
        <v>102</v>
      </c>
      <c r="I172" t="s">
        <v>2508</v>
      </c>
      <c r="J172" t="s">
        <v>4</v>
      </c>
      <c r="K172" t="s">
        <v>245</v>
      </c>
      <c r="L172" t="s">
        <v>104</v>
      </c>
      <c r="M172" t="s">
        <v>899</v>
      </c>
      <c r="N172" t="s">
        <v>1508</v>
      </c>
      <c r="O172" t="s">
        <v>111</v>
      </c>
      <c r="P172" t="s">
        <v>729</v>
      </c>
      <c r="Q172" t="s">
        <v>106</v>
      </c>
      <c r="R172" t="s">
        <v>106</v>
      </c>
      <c r="S172" t="s">
        <v>106</v>
      </c>
      <c r="T172" t="s">
        <v>713</v>
      </c>
      <c r="U172" t="s">
        <v>2509</v>
      </c>
      <c r="V172" t="s">
        <v>731</v>
      </c>
      <c r="W172" t="s">
        <v>2510</v>
      </c>
      <c r="AB172" t="s">
        <v>733</v>
      </c>
      <c r="AC172" t="s">
        <v>1413</v>
      </c>
      <c r="AD172" t="s">
        <v>736</v>
      </c>
      <c r="AE172" t="s">
        <v>1508</v>
      </c>
      <c r="AF172" t="s">
        <v>752</v>
      </c>
      <c r="AG172" t="s">
        <v>731</v>
      </c>
      <c r="AH172" t="s">
        <v>2511</v>
      </c>
      <c r="AI172" t="s">
        <v>2</v>
      </c>
      <c r="AJ172" t="s">
        <v>2512</v>
      </c>
      <c r="AK172" t="s">
        <v>1660</v>
      </c>
    </row>
    <row r="173" spans="1:37" hidden="1" x14ac:dyDescent="0.3">
      <c r="A173" t="s">
        <v>2513</v>
      </c>
      <c r="B173" s="56">
        <v>45799.778471489197</v>
      </c>
      <c r="C173" t="s">
        <v>2514</v>
      </c>
      <c r="D173" t="s">
        <v>2515</v>
      </c>
      <c r="E173" s="7">
        <v>35367</v>
      </c>
      <c r="F173" t="s">
        <v>2516</v>
      </c>
      <c r="G173" t="s">
        <v>112</v>
      </c>
      <c r="H173" t="s">
        <v>102</v>
      </c>
      <c r="I173" t="s">
        <v>2517</v>
      </c>
      <c r="J173" t="s">
        <v>4</v>
      </c>
      <c r="K173" t="s">
        <v>1125</v>
      </c>
      <c r="L173" t="s">
        <v>115</v>
      </c>
      <c r="M173" t="s">
        <v>727</v>
      </c>
      <c r="N173" t="s">
        <v>774</v>
      </c>
      <c r="O173" t="s">
        <v>118</v>
      </c>
      <c r="P173" t="s">
        <v>729</v>
      </c>
      <c r="Q173" t="s">
        <v>106</v>
      </c>
      <c r="R173" t="s">
        <v>106</v>
      </c>
      <c r="S173" t="s">
        <v>106</v>
      </c>
      <c r="T173" t="s">
        <v>713</v>
      </c>
      <c r="U173" t="s">
        <v>731</v>
      </c>
      <c r="V173" t="s">
        <v>731</v>
      </c>
      <c r="W173" t="s">
        <v>2518</v>
      </c>
      <c r="AB173" t="s">
        <v>733</v>
      </c>
      <c r="AC173" t="s">
        <v>2519</v>
      </c>
      <c r="AD173" t="s">
        <v>1008</v>
      </c>
      <c r="AE173" t="s">
        <v>848</v>
      </c>
      <c r="AF173" t="s">
        <v>752</v>
      </c>
      <c r="AG173" t="s">
        <v>731</v>
      </c>
      <c r="AH173" t="s">
        <v>2520</v>
      </c>
      <c r="AI173" t="s">
        <v>2</v>
      </c>
      <c r="AJ173" t="s">
        <v>2521</v>
      </c>
      <c r="AK173" t="s">
        <v>1673</v>
      </c>
    </row>
    <row r="174" spans="1:37" hidden="1" x14ac:dyDescent="0.3">
      <c r="A174" t="s">
        <v>2522</v>
      </c>
      <c r="B174" s="56">
        <v>45799.796768209875</v>
      </c>
      <c r="C174" t="s">
        <v>2523</v>
      </c>
      <c r="D174" t="s">
        <v>2524</v>
      </c>
      <c r="E174" s="7">
        <v>37496</v>
      </c>
      <c r="F174" t="s">
        <v>2525</v>
      </c>
      <c r="G174" t="s">
        <v>112</v>
      </c>
      <c r="H174" t="s">
        <v>102</v>
      </c>
      <c r="I174" t="s">
        <v>2526</v>
      </c>
      <c r="J174" t="s">
        <v>4</v>
      </c>
      <c r="K174" t="s">
        <v>150</v>
      </c>
      <c r="L174" t="s">
        <v>117</v>
      </c>
      <c r="M174" t="s">
        <v>760</v>
      </c>
      <c r="N174" t="s">
        <v>835</v>
      </c>
      <c r="O174" t="s">
        <v>1890</v>
      </c>
      <c r="P174" t="s">
        <v>729</v>
      </c>
      <c r="Q174" t="s">
        <v>106</v>
      </c>
      <c r="R174" t="s">
        <v>106</v>
      </c>
      <c r="S174" t="s">
        <v>106</v>
      </c>
      <c r="T174" t="s">
        <v>713</v>
      </c>
      <c r="U174" t="s">
        <v>731</v>
      </c>
      <c r="V174" t="s">
        <v>731</v>
      </c>
      <c r="W174" t="s">
        <v>2527</v>
      </c>
      <c r="AB174" t="s">
        <v>1</v>
      </c>
      <c r="AC174" t="s">
        <v>2528</v>
      </c>
      <c r="AD174" t="s">
        <v>915</v>
      </c>
      <c r="AE174" t="s">
        <v>835</v>
      </c>
      <c r="AF174" t="s">
        <v>752</v>
      </c>
      <c r="AG174" t="s">
        <v>731</v>
      </c>
      <c r="AH174" t="s">
        <v>869</v>
      </c>
      <c r="AI174" t="s">
        <v>2</v>
      </c>
      <c r="AJ174" t="s">
        <v>2529</v>
      </c>
      <c r="AK174" t="s">
        <v>1659</v>
      </c>
    </row>
    <row r="175" spans="1:37" hidden="1" x14ac:dyDescent="0.3">
      <c r="A175" t="s">
        <v>2720</v>
      </c>
      <c r="B175" s="56">
        <v>45799.813854436725</v>
      </c>
      <c r="C175" t="s">
        <v>2530</v>
      </c>
      <c r="D175" t="s">
        <v>2531</v>
      </c>
      <c r="E175" s="7">
        <v>36976</v>
      </c>
      <c r="F175" t="s">
        <v>2532</v>
      </c>
      <c r="G175" t="s">
        <v>118</v>
      </c>
      <c r="H175" t="s">
        <v>102</v>
      </c>
      <c r="I175" t="s">
        <v>2533</v>
      </c>
      <c r="J175" t="s">
        <v>4</v>
      </c>
      <c r="K175" t="s">
        <v>1125</v>
      </c>
      <c r="L175" t="s">
        <v>104</v>
      </c>
      <c r="M175" t="s">
        <v>727</v>
      </c>
      <c r="N175" t="s">
        <v>2534</v>
      </c>
      <c r="O175" t="s">
        <v>118</v>
      </c>
      <c r="P175" t="s">
        <v>729</v>
      </c>
      <c r="Q175" t="s">
        <v>106</v>
      </c>
      <c r="R175" t="s">
        <v>106</v>
      </c>
      <c r="S175" t="s">
        <v>106</v>
      </c>
      <c r="T175" t="s">
        <v>120</v>
      </c>
      <c r="U175" t="s">
        <v>731</v>
      </c>
      <c r="V175" t="s">
        <v>731</v>
      </c>
      <c r="W175" t="s">
        <v>2535</v>
      </c>
      <c r="X175" t="s">
        <v>2536</v>
      </c>
      <c r="Y175" t="s">
        <v>1432</v>
      </c>
      <c r="Z175" t="s">
        <v>2537</v>
      </c>
      <c r="AB175" t="s">
        <v>1</v>
      </c>
      <c r="AC175" t="s">
        <v>1283</v>
      </c>
      <c r="AD175" t="s">
        <v>1008</v>
      </c>
      <c r="AE175" t="s">
        <v>789</v>
      </c>
      <c r="AF175" t="s">
        <v>752</v>
      </c>
      <c r="AG175" t="s">
        <v>904</v>
      </c>
      <c r="AH175" t="s">
        <v>2538</v>
      </c>
      <c r="AI175" t="s">
        <v>2</v>
      </c>
      <c r="AJ175" t="s">
        <v>2539</v>
      </c>
      <c r="AK175" t="s">
        <v>1655</v>
      </c>
    </row>
    <row r="176" spans="1:37" hidden="1" x14ac:dyDescent="0.3">
      <c r="A176" t="s">
        <v>2540</v>
      </c>
      <c r="B176" s="56">
        <v>45799.838273186731</v>
      </c>
      <c r="C176" t="s">
        <v>2541</v>
      </c>
      <c r="D176" t="s">
        <v>2542</v>
      </c>
      <c r="E176" s="7">
        <v>37642</v>
      </c>
      <c r="F176" t="s">
        <v>2543</v>
      </c>
      <c r="G176" t="s">
        <v>148</v>
      </c>
      <c r="H176" t="s">
        <v>102</v>
      </c>
      <c r="I176" t="s">
        <v>2544</v>
      </c>
      <c r="J176" t="s">
        <v>4</v>
      </c>
      <c r="K176" t="s">
        <v>1125</v>
      </c>
      <c r="L176" t="s">
        <v>110</v>
      </c>
      <c r="M176" t="s">
        <v>2545</v>
      </c>
      <c r="N176" t="s">
        <v>835</v>
      </c>
      <c r="O176" t="s">
        <v>118</v>
      </c>
      <c r="P176" t="s">
        <v>729</v>
      </c>
      <c r="Q176" t="s">
        <v>106</v>
      </c>
      <c r="R176" t="s">
        <v>106</v>
      </c>
      <c r="S176" t="s">
        <v>106</v>
      </c>
      <c r="T176" t="s">
        <v>713</v>
      </c>
      <c r="U176" t="s">
        <v>731</v>
      </c>
      <c r="V176" t="s">
        <v>731</v>
      </c>
      <c r="W176" t="s">
        <v>2546</v>
      </c>
      <c r="AB176" t="s">
        <v>1</v>
      </c>
      <c r="AC176" t="s">
        <v>2547</v>
      </c>
      <c r="AD176" t="s">
        <v>2548</v>
      </c>
      <c r="AE176" t="s">
        <v>835</v>
      </c>
      <c r="AF176" t="s">
        <v>752</v>
      </c>
      <c r="AG176" t="s">
        <v>731</v>
      </c>
      <c r="AH176" t="s">
        <v>2549</v>
      </c>
      <c r="AI176" t="s">
        <v>2</v>
      </c>
      <c r="AJ176" t="s">
        <v>2550</v>
      </c>
      <c r="AK176" t="s">
        <v>1659</v>
      </c>
    </row>
    <row r="177" spans="1:37" hidden="1" x14ac:dyDescent="0.3">
      <c r="A177" t="s">
        <v>2618</v>
      </c>
      <c r="B177" s="56">
        <v>45799.84542307099</v>
      </c>
      <c r="C177" t="s">
        <v>2619</v>
      </c>
      <c r="D177" t="s">
        <v>2620</v>
      </c>
      <c r="E177" s="7">
        <v>36808</v>
      </c>
      <c r="F177" t="s">
        <v>2621</v>
      </c>
      <c r="G177" t="s">
        <v>1553</v>
      </c>
      <c r="H177" t="s">
        <v>102</v>
      </c>
      <c r="I177" t="s">
        <v>2622</v>
      </c>
      <c r="J177" t="s">
        <v>4</v>
      </c>
      <c r="K177" t="s">
        <v>1125</v>
      </c>
      <c r="L177" t="s">
        <v>104</v>
      </c>
      <c r="M177" t="s">
        <v>2623</v>
      </c>
      <c r="N177" t="s">
        <v>1508</v>
      </c>
      <c r="O177" t="s">
        <v>118</v>
      </c>
      <c r="P177" t="s">
        <v>729</v>
      </c>
      <c r="Q177" t="s">
        <v>106</v>
      </c>
      <c r="R177" t="s">
        <v>117</v>
      </c>
      <c r="S177" t="s">
        <v>106</v>
      </c>
      <c r="T177" t="s">
        <v>120</v>
      </c>
      <c r="U177" t="s">
        <v>731</v>
      </c>
      <c r="V177" t="s">
        <v>731</v>
      </c>
      <c r="W177" t="s">
        <v>2624</v>
      </c>
      <c r="AB177" t="s">
        <v>1</v>
      </c>
      <c r="AC177" t="s">
        <v>763</v>
      </c>
      <c r="AD177" t="s">
        <v>1008</v>
      </c>
      <c r="AE177" t="s">
        <v>2625</v>
      </c>
      <c r="AF177" t="s">
        <v>752</v>
      </c>
      <c r="AG177" t="s">
        <v>731</v>
      </c>
      <c r="AH177" t="s">
        <v>2520</v>
      </c>
      <c r="AI177" t="s">
        <v>2</v>
      </c>
      <c r="AJ177" t="s">
        <v>2626</v>
      </c>
      <c r="AK177" t="s">
        <v>1655</v>
      </c>
    </row>
    <row r="178" spans="1:37" hidden="1" x14ac:dyDescent="0.3">
      <c r="A178" t="s">
        <v>2691</v>
      </c>
      <c r="B178" s="56">
        <v>45799.907124074074</v>
      </c>
      <c r="C178" t="s">
        <v>2692</v>
      </c>
      <c r="D178" t="s">
        <v>2693</v>
      </c>
      <c r="E178" s="7">
        <v>28933</v>
      </c>
      <c r="F178" t="s">
        <v>2694</v>
      </c>
      <c r="G178" t="s">
        <v>2384</v>
      </c>
      <c r="H178" t="s">
        <v>102</v>
      </c>
      <c r="I178" t="s">
        <v>2695</v>
      </c>
      <c r="J178" t="s">
        <v>5</v>
      </c>
      <c r="K178" t="s">
        <v>2696</v>
      </c>
      <c r="L178" t="s">
        <v>121</v>
      </c>
      <c r="M178" t="s">
        <v>2697</v>
      </c>
      <c r="N178" t="s">
        <v>1662</v>
      </c>
      <c r="O178" t="s">
        <v>2698</v>
      </c>
      <c r="P178" t="s">
        <v>141</v>
      </c>
      <c r="Q178" t="s">
        <v>2699</v>
      </c>
      <c r="R178" t="s">
        <v>2700</v>
      </c>
      <c r="S178" t="s">
        <v>121</v>
      </c>
      <c r="T178" t="s">
        <v>713</v>
      </c>
      <c r="U178" t="s">
        <v>731</v>
      </c>
      <c r="V178" t="s">
        <v>731</v>
      </c>
      <c r="W178" t="s">
        <v>2701</v>
      </c>
      <c r="X178" t="s">
        <v>2702</v>
      </c>
      <c r="Y178" t="s">
        <v>1636</v>
      </c>
      <c r="Z178" t="s">
        <v>2703</v>
      </c>
      <c r="AB178" t="s">
        <v>1</v>
      </c>
      <c r="AC178" t="s">
        <v>2704</v>
      </c>
      <c r="AD178" t="s">
        <v>2705</v>
      </c>
      <c r="AE178" t="s">
        <v>1657</v>
      </c>
      <c r="AF178" t="s">
        <v>737</v>
      </c>
      <c r="AG178" t="s">
        <v>731</v>
      </c>
      <c r="AH178" t="s">
        <v>1304</v>
      </c>
      <c r="AI178" t="s">
        <v>2</v>
      </c>
      <c r="AJ178" t="s">
        <v>2706</v>
      </c>
      <c r="AK178" t="s">
        <v>1806</v>
      </c>
    </row>
    <row r="179" spans="1:37" hidden="1" x14ac:dyDescent="0.3">
      <c r="A179" t="s">
        <v>2591</v>
      </c>
      <c r="B179" s="56">
        <v>45799.939343827158</v>
      </c>
      <c r="C179" t="s">
        <v>2592</v>
      </c>
      <c r="D179" t="s">
        <v>2593</v>
      </c>
      <c r="E179" s="7">
        <v>25651</v>
      </c>
      <c r="F179" t="s">
        <v>2594</v>
      </c>
      <c r="G179" t="s">
        <v>112</v>
      </c>
      <c r="H179" t="s">
        <v>102</v>
      </c>
      <c r="I179" t="s">
        <v>2595</v>
      </c>
      <c r="J179" t="s">
        <v>4</v>
      </c>
      <c r="K179" t="s">
        <v>1300</v>
      </c>
      <c r="L179" t="s">
        <v>110</v>
      </c>
      <c r="M179" t="s">
        <v>2596</v>
      </c>
      <c r="N179" t="s">
        <v>809</v>
      </c>
      <c r="O179" t="s">
        <v>1890</v>
      </c>
      <c r="P179" t="s">
        <v>729</v>
      </c>
      <c r="Q179" t="s">
        <v>106</v>
      </c>
      <c r="R179" t="s">
        <v>106</v>
      </c>
      <c r="S179" t="s">
        <v>106</v>
      </c>
      <c r="T179" t="s">
        <v>713</v>
      </c>
      <c r="U179" t="s">
        <v>731</v>
      </c>
      <c r="V179" t="s">
        <v>731</v>
      </c>
      <c r="W179" t="s">
        <v>2597</v>
      </c>
      <c r="X179" t="s">
        <v>2598</v>
      </c>
      <c r="Y179" t="s">
        <v>1703</v>
      </c>
      <c r="Z179" t="s">
        <v>2599</v>
      </c>
      <c r="AA179" t="s">
        <v>733</v>
      </c>
      <c r="AB179" t="s">
        <v>1</v>
      </c>
      <c r="AC179" t="s">
        <v>2600</v>
      </c>
      <c r="AD179" t="s">
        <v>733</v>
      </c>
      <c r="AE179" t="s">
        <v>2601</v>
      </c>
      <c r="AF179" t="s">
        <v>790</v>
      </c>
      <c r="AG179" t="s">
        <v>904</v>
      </c>
      <c r="AH179" t="s">
        <v>2602</v>
      </c>
      <c r="AI179" t="s">
        <v>2</v>
      </c>
      <c r="AJ179" t="s">
        <v>2603</v>
      </c>
      <c r="AK179" t="s">
        <v>2604</v>
      </c>
    </row>
    <row r="180" spans="1:37" hidden="1" x14ac:dyDescent="0.3">
      <c r="A180" t="s">
        <v>2707</v>
      </c>
      <c r="B180" s="56">
        <v>45799.996108719133</v>
      </c>
      <c r="C180" t="s">
        <v>2708</v>
      </c>
      <c r="D180" t="s">
        <v>2709</v>
      </c>
      <c r="E180" s="7">
        <v>33499</v>
      </c>
      <c r="F180" t="s">
        <v>2710</v>
      </c>
      <c r="G180" t="s">
        <v>124</v>
      </c>
      <c r="H180" t="s">
        <v>102</v>
      </c>
      <c r="I180" t="s">
        <v>2711</v>
      </c>
      <c r="J180" t="s">
        <v>4</v>
      </c>
      <c r="K180" t="s">
        <v>2712</v>
      </c>
      <c r="L180" t="s">
        <v>117</v>
      </c>
      <c r="M180" t="s">
        <v>760</v>
      </c>
      <c r="N180" t="s">
        <v>1508</v>
      </c>
      <c r="O180" t="s">
        <v>1004</v>
      </c>
      <c r="P180" t="s">
        <v>119</v>
      </c>
      <c r="Q180" t="s">
        <v>2713</v>
      </c>
      <c r="R180" t="s">
        <v>117</v>
      </c>
      <c r="S180" t="s">
        <v>106</v>
      </c>
      <c r="T180" t="s">
        <v>120</v>
      </c>
      <c r="U180" t="s">
        <v>2714</v>
      </c>
      <c r="V180" t="s">
        <v>731</v>
      </c>
      <c r="W180" t="s">
        <v>2715</v>
      </c>
      <c r="AB180" t="s">
        <v>1</v>
      </c>
      <c r="AC180" t="s">
        <v>2716</v>
      </c>
      <c r="AD180" t="s">
        <v>789</v>
      </c>
      <c r="AE180" t="s">
        <v>1106</v>
      </c>
      <c r="AF180" t="s">
        <v>752</v>
      </c>
      <c r="AG180" t="s">
        <v>753</v>
      </c>
      <c r="AH180" t="s">
        <v>2520</v>
      </c>
      <c r="AI180" t="s">
        <v>2</v>
      </c>
      <c r="AJ180" t="s">
        <v>2717</v>
      </c>
      <c r="AK180" t="s">
        <v>2368</v>
      </c>
    </row>
    <row r="181" spans="1:37" hidden="1" x14ac:dyDescent="0.3">
      <c r="A181" t="s">
        <v>2551</v>
      </c>
      <c r="B181" s="56">
        <v>45800.001452121913</v>
      </c>
      <c r="C181" t="s">
        <v>2552</v>
      </c>
      <c r="D181" t="s">
        <v>2553</v>
      </c>
      <c r="E181" s="7">
        <v>37344</v>
      </c>
      <c r="F181" t="s">
        <v>2554</v>
      </c>
      <c r="G181" t="s">
        <v>118</v>
      </c>
      <c r="H181" t="s">
        <v>102</v>
      </c>
      <c r="I181" t="s">
        <v>2555</v>
      </c>
      <c r="J181" t="s">
        <v>4</v>
      </c>
      <c r="K181" t="s">
        <v>1476</v>
      </c>
      <c r="L181" t="s">
        <v>104</v>
      </c>
      <c r="M181" t="s">
        <v>889</v>
      </c>
      <c r="N181" t="s">
        <v>835</v>
      </c>
      <c r="O181" t="s">
        <v>1004</v>
      </c>
      <c r="P181" t="s">
        <v>729</v>
      </c>
      <c r="Q181" t="s">
        <v>106</v>
      </c>
      <c r="R181" t="s">
        <v>106</v>
      </c>
      <c r="S181" t="s">
        <v>106</v>
      </c>
      <c r="T181" t="s">
        <v>713</v>
      </c>
      <c r="U181" t="s">
        <v>731</v>
      </c>
      <c r="V181" t="s">
        <v>731</v>
      </c>
      <c r="W181" t="s">
        <v>2557</v>
      </c>
      <c r="AB181" t="s">
        <v>733</v>
      </c>
      <c r="AC181" t="s">
        <v>2558</v>
      </c>
      <c r="AD181" t="s">
        <v>915</v>
      </c>
      <c r="AE181" t="s">
        <v>835</v>
      </c>
      <c r="AF181" t="s">
        <v>752</v>
      </c>
      <c r="AG181" t="s">
        <v>731</v>
      </c>
      <c r="AH181" t="s">
        <v>2559</v>
      </c>
      <c r="AI181" t="s">
        <v>2</v>
      </c>
      <c r="AJ181" t="s">
        <v>2560</v>
      </c>
      <c r="AK181" t="s">
        <v>1656</v>
      </c>
    </row>
    <row r="182" spans="1:37" hidden="1" x14ac:dyDescent="0.3">
      <c r="A182" t="s">
        <v>2627</v>
      </c>
      <c r="B182" s="56">
        <v>45800.486312191359</v>
      </c>
      <c r="C182" t="s">
        <v>2628</v>
      </c>
      <c r="D182" t="s">
        <v>2629</v>
      </c>
      <c r="E182" s="7">
        <v>31730</v>
      </c>
      <c r="F182" t="s">
        <v>2630</v>
      </c>
      <c r="G182" t="s">
        <v>367</v>
      </c>
      <c r="H182" t="s">
        <v>102</v>
      </c>
      <c r="I182" t="s">
        <v>2631</v>
      </c>
      <c r="J182" t="s">
        <v>4</v>
      </c>
      <c r="K182" t="s">
        <v>114</v>
      </c>
      <c r="L182" t="s">
        <v>121</v>
      </c>
      <c r="M182" t="s">
        <v>2632</v>
      </c>
      <c r="N182" t="s">
        <v>1088</v>
      </c>
      <c r="O182" t="s">
        <v>116</v>
      </c>
      <c r="P182" t="s">
        <v>729</v>
      </c>
      <c r="Q182" t="s">
        <v>106</v>
      </c>
      <c r="R182" t="s">
        <v>121</v>
      </c>
      <c r="S182" t="s">
        <v>106</v>
      </c>
      <c r="T182" t="s">
        <v>713</v>
      </c>
      <c r="U182" t="s">
        <v>2633</v>
      </c>
      <c r="V182" t="s">
        <v>977</v>
      </c>
      <c r="W182" t="s">
        <v>2634</v>
      </c>
      <c r="AA182" t="s">
        <v>733</v>
      </c>
      <c r="AB182" t="s">
        <v>1</v>
      </c>
      <c r="AC182" t="s">
        <v>2635</v>
      </c>
      <c r="AD182" t="s">
        <v>736</v>
      </c>
      <c r="AE182" t="s">
        <v>733</v>
      </c>
      <c r="AF182" t="s">
        <v>790</v>
      </c>
      <c r="AG182" t="s">
        <v>2636</v>
      </c>
      <c r="AH182" t="s">
        <v>2637</v>
      </c>
      <c r="AI182" t="s">
        <v>2</v>
      </c>
      <c r="AJ182" t="s">
        <v>2638</v>
      </c>
      <c r="AK182" t="s">
        <v>1667</v>
      </c>
    </row>
    <row r="183" spans="1:37" hidden="1" x14ac:dyDescent="0.3">
      <c r="A183" t="s">
        <v>2561</v>
      </c>
      <c r="B183" s="56">
        <v>45800.533989853393</v>
      </c>
      <c r="C183" t="s">
        <v>2562</v>
      </c>
      <c r="D183" t="s">
        <v>2563</v>
      </c>
      <c r="E183" s="7">
        <v>36761</v>
      </c>
      <c r="F183" t="s">
        <v>2564</v>
      </c>
      <c r="G183" t="s">
        <v>124</v>
      </c>
      <c r="H183" t="s">
        <v>102</v>
      </c>
      <c r="I183" t="s">
        <v>2565</v>
      </c>
      <c r="J183" t="s">
        <v>4</v>
      </c>
      <c r="K183" t="s">
        <v>692</v>
      </c>
      <c r="L183" t="s">
        <v>104</v>
      </c>
      <c r="M183" t="s">
        <v>727</v>
      </c>
      <c r="N183" t="s">
        <v>1508</v>
      </c>
      <c r="O183" t="s">
        <v>1004</v>
      </c>
      <c r="P183" t="s">
        <v>729</v>
      </c>
      <c r="Q183" t="s">
        <v>106</v>
      </c>
      <c r="R183" t="s">
        <v>106</v>
      </c>
      <c r="S183" t="s">
        <v>106</v>
      </c>
      <c r="T183" t="s">
        <v>713</v>
      </c>
      <c r="U183" t="s">
        <v>731</v>
      </c>
      <c r="V183" t="s">
        <v>977</v>
      </c>
      <c r="W183" t="s">
        <v>2566</v>
      </c>
      <c r="AB183" t="s">
        <v>1</v>
      </c>
      <c r="AC183" t="s">
        <v>2567</v>
      </c>
      <c r="AD183" t="s">
        <v>1008</v>
      </c>
      <c r="AE183" t="s">
        <v>735</v>
      </c>
      <c r="AF183" t="s">
        <v>752</v>
      </c>
      <c r="AG183" t="s">
        <v>731</v>
      </c>
      <c r="AH183" t="s">
        <v>1449</v>
      </c>
      <c r="AI183" t="s">
        <v>2</v>
      </c>
      <c r="AJ183" t="s">
        <v>2568</v>
      </c>
      <c r="AK183" t="s">
        <v>1655</v>
      </c>
    </row>
    <row r="184" spans="1:37" hidden="1" x14ac:dyDescent="0.3">
      <c r="A184" t="s">
        <v>2569</v>
      </c>
      <c r="B184" s="56">
        <v>45800.547374382717</v>
      </c>
      <c r="C184" t="s">
        <v>2570</v>
      </c>
      <c r="D184" t="s">
        <v>2571</v>
      </c>
      <c r="E184" s="7">
        <v>37451</v>
      </c>
      <c r="F184" t="s">
        <v>2572</v>
      </c>
      <c r="G184" t="s">
        <v>112</v>
      </c>
      <c r="H184" t="s">
        <v>102</v>
      </c>
      <c r="I184" t="s">
        <v>2573</v>
      </c>
      <c r="J184" t="s">
        <v>4</v>
      </c>
      <c r="K184" t="s">
        <v>132</v>
      </c>
      <c r="L184" t="s">
        <v>115</v>
      </c>
      <c r="M184" t="s">
        <v>2574</v>
      </c>
      <c r="N184" t="s">
        <v>944</v>
      </c>
      <c r="O184" t="s">
        <v>1890</v>
      </c>
      <c r="P184" t="s">
        <v>106</v>
      </c>
      <c r="Q184" t="s">
        <v>106</v>
      </c>
      <c r="R184" t="s">
        <v>106</v>
      </c>
      <c r="S184" t="s">
        <v>106</v>
      </c>
      <c r="T184" t="s">
        <v>713</v>
      </c>
      <c r="U184" t="s">
        <v>731</v>
      </c>
      <c r="V184" t="s">
        <v>731</v>
      </c>
      <c r="W184" t="s">
        <v>2575</v>
      </c>
      <c r="AB184" t="s">
        <v>1</v>
      </c>
      <c r="AC184" t="s">
        <v>763</v>
      </c>
      <c r="AD184" t="s">
        <v>733</v>
      </c>
      <c r="AE184" t="s">
        <v>944</v>
      </c>
      <c r="AF184" t="s">
        <v>752</v>
      </c>
      <c r="AG184" t="s">
        <v>731</v>
      </c>
      <c r="AH184" t="s">
        <v>2576</v>
      </c>
      <c r="AI184" t="s">
        <v>2</v>
      </c>
      <c r="AJ184" t="s">
        <v>2577</v>
      </c>
      <c r="AK184" t="s">
        <v>1659</v>
      </c>
    </row>
    <row r="185" spans="1:37" hidden="1" x14ac:dyDescent="0.3">
      <c r="A185" t="s">
        <v>2578</v>
      </c>
      <c r="B185" s="56">
        <v>45800.55601705247</v>
      </c>
      <c r="C185" t="s">
        <v>2579</v>
      </c>
      <c r="D185" t="s">
        <v>2580</v>
      </c>
      <c r="E185" s="7">
        <v>35409</v>
      </c>
      <c r="F185" t="s">
        <v>2581</v>
      </c>
      <c r="G185" t="s">
        <v>148</v>
      </c>
      <c r="H185" t="s">
        <v>102</v>
      </c>
      <c r="I185" t="s">
        <v>2582</v>
      </c>
      <c r="J185" t="s">
        <v>4</v>
      </c>
      <c r="K185" t="s">
        <v>132</v>
      </c>
      <c r="L185" t="s">
        <v>104</v>
      </c>
      <c r="M185" t="s">
        <v>727</v>
      </c>
      <c r="N185" t="s">
        <v>736</v>
      </c>
      <c r="O185" t="s">
        <v>1890</v>
      </c>
      <c r="P185" t="s">
        <v>729</v>
      </c>
      <c r="Q185" t="s">
        <v>106</v>
      </c>
      <c r="R185" t="s">
        <v>106</v>
      </c>
      <c r="S185" t="s">
        <v>106</v>
      </c>
      <c r="T185" t="s">
        <v>713</v>
      </c>
      <c r="U185" t="s">
        <v>731</v>
      </c>
      <c r="V185" t="s">
        <v>731</v>
      </c>
      <c r="W185" t="s">
        <v>2583</v>
      </c>
      <c r="X185" t="s">
        <v>2584</v>
      </c>
      <c r="Y185" t="s">
        <v>1432</v>
      </c>
      <c r="Z185" t="s">
        <v>2585</v>
      </c>
      <c r="AB185" t="s">
        <v>733</v>
      </c>
      <c r="AC185" t="s">
        <v>2586</v>
      </c>
      <c r="AD185" t="s">
        <v>2587</v>
      </c>
      <c r="AE185" t="s">
        <v>2588</v>
      </c>
      <c r="AF185" t="s">
        <v>752</v>
      </c>
      <c r="AG185" t="s">
        <v>753</v>
      </c>
      <c r="AH185" t="s">
        <v>2589</v>
      </c>
      <c r="AI185" t="s">
        <v>2</v>
      </c>
      <c r="AJ185" t="s">
        <v>2590</v>
      </c>
      <c r="AK185" t="s">
        <v>1673</v>
      </c>
    </row>
    <row r="186" spans="1:37" hidden="1" x14ac:dyDescent="0.3">
      <c r="A186" t="s">
        <v>2730</v>
      </c>
      <c r="B186" s="56">
        <v>45800.666123919757</v>
      </c>
      <c r="C186" t="s">
        <v>2731</v>
      </c>
      <c r="D186" t="s">
        <v>2732</v>
      </c>
      <c r="E186" s="7">
        <v>32003</v>
      </c>
      <c r="F186" t="s">
        <v>2733</v>
      </c>
      <c r="G186" t="s">
        <v>124</v>
      </c>
      <c r="H186" t="s">
        <v>102</v>
      </c>
      <c r="I186" t="s">
        <v>2734</v>
      </c>
      <c r="J186" t="s">
        <v>4</v>
      </c>
      <c r="K186" t="s">
        <v>235</v>
      </c>
      <c r="L186" t="s">
        <v>121</v>
      </c>
      <c r="M186" t="s">
        <v>2735</v>
      </c>
      <c r="N186" t="s">
        <v>736</v>
      </c>
      <c r="O186" t="s">
        <v>1004</v>
      </c>
      <c r="P186" t="s">
        <v>729</v>
      </c>
      <c r="Q186" t="s">
        <v>106</v>
      </c>
      <c r="R186" t="s">
        <v>106</v>
      </c>
      <c r="S186" t="s">
        <v>106</v>
      </c>
      <c r="T186" t="s">
        <v>713</v>
      </c>
      <c r="U186" t="s">
        <v>731</v>
      </c>
      <c r="V186" t="s">
        <v>731</v>
      </c>
      <c r="W186" t="s">
        <v>2736</v>
      </c>
      <c r="AB186" t="s">
        <v>1</v>
      </c>
      <c r="AC186" t="s">
        <v>2737</v>
      </c>
      <c r="AD186" t="s">
        <v>764</v>
      </c>
      <c r="AE186" t="s">
        <v>764</v>
      </c>
      <c r="AF186" t="s">
        <v>752</v>
      </c>
      <c r="AG186" t="s">
        <v>731</v>
      </c>
      <c r="AH186" t="s">
        <v>2738</v>
      </c>
      <c r="AI186" t="s">
        <v>2</v>
      </c>
      <c r="AJ186" t="s">
        <v>2739</v>
      </c>
      <c r="AK186" t="s">
        <v>1675</v>
      </c>
    </row>
    <row r="187" spans="1:37" hidden="1" x14ac:dyDescent="0.3">
      <c r="A187" t="s">
        <v>2740</v>
      </c>
      <c r="B187" s="56">
        <v>45800.701868132717</v>
      </c>
      <c r="C187" t="s">
        <v>2741</v>
      </c>
      <c r="D187" t="s">
        <v>2742</v>
      </c>
      <c r="E187" s="7">
        <v>37359</v>
      </c>
      <c r="F187" t="s">
        <v>2743</v>
      </c>
      <c r="G187" t="s">
        <v>367</v>
      </c>
      <c r="H187" t="s">
        <v>102</v>
      </c>
      <c r="I187" t="s">
        <v>2744</v>
      </c>
      <c r="J187" t="s">
        <v>4</v>
      </c>
      <c r="K187" t="s">
        <v>114</v>
      </c>
      <c r="L187" t="s">
        <v>104</v>
      </c>
      <c r="M187" t="s">
        <v>727</v>
      </c>
      <c r="N187" t="s">
        <v>844</v>
      </c>
      <c r="O187" t="s">
        <v>116</v>
      </c>
      <c r="P187" t="s">
        <v>729</v>
      </c>
      <c r="Q187" t="s">
        <v>106</v>
      </c>
      <c r="R187" t="s">
        <v>106</v>
      </c>
      <c r="S187" t="s">
        <v>106</v>
      </c>
      <c r="T187" t="s">
        <v>730</v>
      </c>
      <c r="U187" t="s">
        <v>731</v>
      </c>
      <c r="V187" t="s">
        <v>731</v>
      </c>
      <c r="W187" t="s">
        <v>2745</v>
      </c>
      <c r="AB187" t="s">
        <v>733</v>
      </c>
      <c r="AC187" t="s">
        <v>2746</v>
      </c>
      <c r="AD187" t="s">
        <v>969</v>
      </c>
      <c r="AE187" t="s">
        <v>733</v>
      </c>
      <c r="AF187" t="s">
        <v>752</v>
      </c>
      <c r="AG187" t="s">
        <v>731</v>
      </c>
      <c r="AH187" t="s">
        <v>2747</v>
      </c>
      <c r="AI187" t="s">
        <v>2</v>
      </c>
      <c r="AJ187" t="s">
        <v>2748</v>
      </c>
      <c r="AK187" t="s">
        <v>1656</v>
      </c>
    </row>
    <row r="188" spans="1:37" hidden="1" x14ac:dyDescent="0.3">
      <c r="A188" t="s">
        <v>2749</v>
      </c>
      <c r="B188" s="56">
        <v>45800.719739081789</v>
      </c>
      <c r="C188" t="s">
        <v>2750</v>
      </c>
      <c r="D188" t="s">
        <v>2751</v>
      </c>
      <c r="E188" s="7">
        <v>24943</v>
      </c>
      <c r="F188" t="s">
        <v>2752</v>
      </c>
      <c r="G188" t="s">
        <v>124</v>
      </c>
      <c r="H188" t="s">
        <v>102</v>
      </c>
      <c r="I188" t="s">
        <v>2753</v>
      </c>
      <c r="J188" t="s">
        <v>4</v>
      </c>
      <c r="K188" t="s">
        <v>2712</v>
      </c>
      <c r="L188" t="s">
        <v>122</v>
      </c>
      <c r="M188" t="s">
        <v>2754</v>
      </c>
      <c r="N188" t="s">
        <v>844</v>
      </c>
      <c r="O188" t="s">
        <v>1004</v>
      </c>
      <c r="P188" t="s">
        <v>729</v>
      </c>
      <c r="Q188" t="s">
        <v>106</v>
      </c>
      <c r="R188" t="s">
        <v>106</v>
      </c>
      <c r="S188" t="s">
        <v>106</v>
      </c>
      <c r="T188" t="s">
        <v>713</v>
      </c>
      <c r="U188" t="s">
        <v>731</v>
      </c>
      <c r="V188" t="s">
        <v>2755</v>
      </c>
      <c r="W188" t="s">
        <v>2756</v>
      </c>
      <c r="AB188" t="s">
        <v>1</v>
      </c>
      <c r="AC188" t="s">
        <v>2757</v>
      </c>
      <c r="AD188" t="s">
        <v>848</v>
      </c>
      <c r="AE188" t="s">
        <v>2758</v>
      </c>
      <c r="AF188" t="s">
        <v>752</v>
      </c>
      <c r="AG188" t="s">
        <v>904</v>
      </c>
      <c r="AH188" t="s">
        <v>2759</v>
      </c>
      <c r="AI188" t="s">
        <v>2</v>
      </c>
      <c r="AJ188" t="s">
        <v>2760</v>
      </c>
      <c r="AK188" t="s">
        <v>2761</v>
      </c>
    </row>
    <row r="189" spans="1:37" hidden="1" x14ac:dyDescent="0.3">
      <c r="A189" t="s">
        <v>2762</v>
      </c>
      <c r="B189" s="56">
        <v>45800.918587191358</v>
      </c>
      <c r="C189" t="s">
        <v>2763</v>
      </c>
      <c r="D189" t="s">
        <v>2764</v>
      </c>
      <c r="E189" s="7">
        <v>37336</v>
      </c>
      <c r="F189" t="s">
        <v>2765</v>
      </c>
      <c r="G189" t="s">
        <v>367</v>
      </c>
      <c r="H189" t="s">
        <v>102</v>
      </c>
      <c r="I189" t="s">
        <v>2766</v>
      </c>
      <c r="J189" t="s">
        <v>4</v>
      </c>
      <c r="K189" t="s">
        <v>2767</v>
      </c>
      <c r="L189" t="s">
        <v>104</v>
      </c>
      <c r="M189" t="s">
        <v>760</v>
      </c>
      <c r="N189" t="s">
        <v>1114</v>
      </c>
      <c r="O189" t="s">
        <v>116</v>
      </c>
      <c r="P189" t="s">
        <v>729</v>
      </c>
      <c r="Q189" t="s">
        <v>106</v>
      </c>
      <c r="R189" t="s">
        <v>106</v>
      </c>
      <c r="S189" t="s">
        <v>106</v>
      </c>
      <c r="T189" t="s">
        <v>713</v>
      </c>
      <c r="U189" t="s">
        <v>731</v>
      </c>
      <c r="V189" t="s">
        <v>731</v>
      </c>
      <c r="W189" t="s">
        <v>2768</v>
      </c>
      <c r="AB189" t="s">
        <v>733</v>
      </c>
      <c r="AC189" t="s">
        <v>2769</v>
      </c>
      <c r="AD189" t="s">
        <v>764</v>
      </c>
      <c r="AE189" t="s">
        <v>1116</v>
      </c>
      <c r="AF189" t="s">
        <v>752</v>
      </c>
      <c r="AG189" t="s">
        <v>731</v>
      </c>
      <c r="AH189" t="s">
        <v>2770</v>
      </c>
      <c r="AI189" t="s">
        <v>2</v>
      </c>
      <c r="AJ189" t="s">
        <v>2771</v>
      </c>
      <c r="AK189" t="s">
        <v>1656</v>
      </c>
    </row>
    <row r="190" spans="1:37" hidden="1" x14ac:dyDescent="0.3">
      <c r="A190" t="s">
        <v>2808</v>
      </c>
      <c r="B190" s="56">
        <v>45801.559867669755</v>
      </c>
      <c r="C190" t="s">
        <v>2809</v>
      </c>
      <c r="D190" t="s">
        <v>2810</v>
      </c>
      <c r="E190" s="7">
        <v>37171</v>
      </c>
      <c r="F190" t="s">
        <v>2811</v>
      </c>
      <c r="G190" t="s">
        <v>124</v>
      </c>
      <c r="H190" t="s">
        <v>102</v>
      </c>
      <c r="I190" t="s">
        <v>2812</v>
      </c>
      <c r="J190" t="s">
        <v>4</v>
      </c>
      <c r="K190" t="s">
        <v>1476</v>
      </c>
      <c r="L190" t="s">
        <v>104</v>
      </c>
      <c r="M190" t="s">
        <v>2813</v>
      </c>
      <c r="N190" t="s">
        <v>735</v>
      </c>
      <c r="O190" t="s">
        <v>1004</v>
      </c>
      <c r="P190" t="s">
        <v>729</v>
      </c>
      <c r="Q190" t="s">
        <v>106</v>
      </c>
      <c r="R190" t="s">
        <v>106</v>
      </c>
      <c r="S190" t="s">
        <v>106</v>
      </c>
      <c r="T190" t="s">
        <v>713</v>
      </c>
      <c r="U190" t="s">
        <v>731</v>
      </c>
      <c r="V190" t="s">
        <v>731</v>
      </c>
      <c r="W190" t="s">
        <v>2814</v>
      </c>
      <c r="AB190" t="s">
        <v>733</v>
      </c>
      <c r="AC190" t="s">
        <v>2815</v>
      </c>
      <c r="AD190" t="s">
        <v>986</v>
      </c>
      <c r="AE190" t="s">
        <v>986</v>
      </c>
      <c r="AF190" t="s">
        <v>752</v>
      </c>
      <c r="AG190" t="s">
        <v>731</v>
      </c>
      <c r="AH190" t="s">
        <v>2816</v>
      </c>
      <c r="AI190" t="s">
        <v>2</v>
      </c>
      <c r="AJ190" t="s">
        <v>2817</v>
      </c>
      <c r="AK190" t="s">
        <v>1656</v>
      </c>
    </row>
    <row r="191" spans="1:37" hidden="1" x14ac:dyDescent="0.3">
      <c r="A191" t="s">
        <v>2845</v>
      </c>
      <c r="B191" s="56">
        <v>45801.607222955245</v>
      </c>
      <c r="C191" t="s">
        <v>2846</v>
      </c>
      <c r="D191" t="s">
        <v>2847</v>
      </c>
      <c r="E191" s="7">
        <v>33213</v>
      </c>
      <c r="F191" t="s">
        <v>2848</v>
      </c>
      <c r="G191" t="s">
        <v>1553</v>
      </c>
      <c r="H191" t="s">
        <v>102</v>
      </c>
      <c r="I191" t="s">
        <v>2849</v>
      </c>
      <c r="J191" t="s">
        <v>5</v>
      </c>
      <c r="K191" t="s">
        <v>413</v>
      </c>
      <c r="L191" t="s">
        <v>121</v>
      </c>
      <c r="M191" t="s">
        <v>727</v>
      </c>
      <c r="N191" t="s">
        <v>944</v>
      </c>
      <c r="O191" t="s">
        <v>105</v>
      </c>
      <c r="P191" t="s">
        <v>119</v>
      </c>
      <c r="Q191" t="s">
        <v>2850</v>
      </c>
      <c r="R191" t="s">
        <v>2851</v>
      </c>
      <c r="S191" t="s">
        <v>106</v>
      </c>
      <c r="T191" t="s">
        <v>713</v>
      </c>
      <c r="U191" t="s">
        <v>731</v>
      </c>
      <c r="V191" t="s">
        <v>731</v>
      </c>
      <c r="W191" t="s">
        <v>2852</v>
      </c>
      <c r="X191" t="s">
        <v>2853</v>
      </c>
      <c r="Y191" t="s">
        <v>1231</v>
      </c>
      <c r="Z191" t="s">
        <v>2854</v>
      </c>
      <c r="AB191" t="s">
        <v>733</v>
      </c>
      <c r="AC191" t="s">
        <v>2855</v>
      </c>
      <c r="AD191" t="s">
        <v>848</v>
      </c>
      <c r="AE191" t="s">
        <v>1148</v>
      </c>
      <c r="AF191" t="s">
        <v>752</v>
      </c>
      <c r="AG191" t="s">
        <v>753</v>
      </c>
      <c r="AH191" t="s">
        <v>2856</v>
      </c>
      <c r="AI191" t="s">
        <v>2</v>
      </c>
      <c r="AJ191" t="s">
        <v>2857</v>
      </c>
      <c r="AK191" t="s">
        <v>1664</v>
      </c>
    </row>
    <row r="192" spans="1:37" hidden="1" x14ac:dyDescent="0.3">
      <c r="A192" t="s">
        <v>2818</v>
      </c>
      <c r="B192" s="56">
        <v>45801.69197453704</v>
      </c>
      <c r="C192" t="s">
        <v>2819</v>
      </c>
      <c r="D192" t="s">
        <v>2820</v>
      </c>
      <c r="E192" s="7">
        <v>37866</v>
      </c>
      <c r="F192" t="s">
        <v>2821</v>
      </c>
      <c r="G192" t="s">
        <v>148</v>
      </c>
      <c r="H192" t="s">
        <v>102</v>
      </c>
      <c r="I192" t="s">
        <v>2822</v>
      </c>
      <c r="J192" t="s">
        <v>4</v>
      </c>
      <c r="K192" t="s">
        <v>2823</v>
      </c>
      <c r="L192" t="s">
        <v>115</v>
      </c>
      <c r="M192" t="s">
        <v>1547</v>
      </c>
      <c r="N192" t="s">
        <v>835</v>
      </c>
      <c r="O192" t="s">
        <v>1890</v>
      </c>
      <c r="P192" t="s">
        <v>729</v>
      </c>
      <c r="Q192" t="s">
        <v>106</v>
      </c>
      <c r="R192" t="s">
        <v>106</v>
      </c>
      <c r="S192" t="s">
        <v>106</v>
      </c>
      <c r="T192" t="s">
        <v>713</v>
      </c>
      <c r="U192" t="s">
        <v>731</v>
      </c>
      <c r="V192" t="s">
        <v>731</v>
      </c>
      <c r="W192" t="s">
        <v>2824</v>
      </c>
      <c r="AB192" t="s">
        <v>733</v>
      </c>
      <c r="AC192" t="s">
        <v>2825</v>
      </c>
      <c r="AD192" t="s">
        <v>800</v>
      </c>
      <c r="AE192" t="s">
        <v>735</v>
      </c>
      <c r="AF192" t="s">
        <v>752</v>
      </c>
      <c r="AG192" t="s">
        <v>904</v>
      </c>
      <c r="AH192" t="s">
        <v>2826</v>
      </c>
      <c r="AI192" t="s">
        <v>2</v>
      </c>
      <c r="AJ192" t="s">
        <v>2827</v>
      </c>
      <c r="AK192" t="s">
        <v>1665</v>
      </c>
    </row>
    <row r="193" spans="1:37" hidden="1" x14ac:dyDescent="0.3">
      <c r="A193" t="s">
        <v>2828</v>
      </c>
      <c r="B193" s="56">
        <v>45801.692809297841</v>
      </c>
      <c r="C193" t="s">
        <v>2829</v>
      </c>
      <c r="D193" t="s">
        <v>2830</v>
      </c>
      <c r="E193" s="7">
        <v>37641</v>
      </c>
      <c r="F193" t="s">
        <v>2831</v>
      </c>
      <c r="G193" t="s">
        <v>118</v>
      </c>
      <c r="H193" t="s">
        <v>102</v>
      </c>
      <c r="I193" t="s">
        <v>2832</v>
      </c>
      <c r="J193" t="s">
        <v>4</v>
      </c>
      <c r="K193" t="s">
        <v>123</v>
      </c>
      <c r="L193" t="s">
        <v>117</v>
      </c>
      <c r="M193" t="s">
        <v>727</v>
      </c>
      <c r="N193" t="s">
        <v>736</v>
      </c>
      <c r="O193" t="s">
        <v>118</v>
      </c>
      <c r="P193" t="s">
        <v>106</v>
      </c>
      <c r="Q193" t="s">
        <v>106</v>
      </c>
      <c r="R193" t="s">
        <v>106</v>
      </c>
      <c r="S193" t="s">
        <v>106</v>
      </c>
      <c r="T193" t="s">
        <v>730</v>
      </c>
      <c r="U193" t="s">
        <v>731</v>
      </c>
      <c r="V193" t="s">
        <v>731</v>
      </c>
      <c r="W193" t="s">
        <v>2833</v>
      </c>
      <c r="AB193" t="s">
        <v>1</v>
      </c>
      <c r="AC193" t="s">
        <v>2834</v>
      </c>
      <c r="AD193" t="s">
        <v>800</v>
      </c>
      <c r="AE193" t="s">
        <v>736</v>
      </c>
      <c r="AF193" t="s">
        <v>752</v>
      </c>
      <c r="AG193" t="s">
        <v>731</v>
      </c>
      <c r="AH193" t="s">
        <v>2835</v>
      </c>
      <c r="AI193" t="s">
        <v>2</v>
      </c>
      <c r="AJ193" t="s">
        <v>2836</v>
      </c>
      <c r="AK193" t="s">
        <v>1659</v>
      </c>
    </row>
    <row r="194" spans="1:37" hidden="1" x14ac:dyDescent="0.3">
      <c r="A194" t="s">
        <v>2837</v>
      </c>
      <c r="B194" s="56">
        <v>45801.771253433639</v>
      </c>
      <c r="C194" t="s">
        <v>2838</v>
      </c>
      <c r="D194" t="s">
        <v>2839</v>
      </c>
      <c r="E194" s="7">
        <v>37999</v>
      </c>
      <c r="F194" t="s">
        <v>2840</v>
      </c>
      <c r="G194" t="s">
        <v>1553</v>
      </c>
      <c r="H194" t="s">
        <v>102</v>
      </c>
      <c r="I194" t="s">
        <v>2841</v>
      </c>
      <c r="J194" t="s">
        <v>4</v>
      </c>
      <c r="K194" t="s">
        <v>135</v>
      </c>
      <c r="L194" t="s">
        <v>122</v>
      </c>
      <c r="M194" t="s">
        <v>727</v>
      </c>
      <c r="N194" t="s">
        <v>844</v>
      </c>
      <c r="O194" t="s">
        <v>118</v>
      </c>
      <c r="P194" t="s">
        <v>729</v>
      </c>
      <c r="Q194" t="s">
        <v>106</v>
      </c>
      <c r="R194" t="s">
        <v>106</v>
      </c>
      <c r="S194" t="s">
        <v>106</v>
      </c>
      <c r="T194" t="s">
        <v>730</v>
      </c>
      <c r="U194" t="s">
        <v>731</v>
      </c>
      <c r="V194" t="s">
        <v>731</v>
      </c>
      <c r="W194" t="s">
        <v>2842</v>
      </c>
      <c r="AB194" t="s">
        <v>733</v>
      </c>
      <c r="AC194" t="s">
        <v>1638</v>
      </c>
      <c r="AD194" t="s">
        <v>1032</v>
      </c>
      <c r="AE194" t="s">
        <v>848</v>
      </c>
      <c r="AF194" t="s">
        <v>752</v>
      </c>
      <c r="AG194" t="s">
        <v>731</v>
      </c>
      <c r="AH194" t="s">
        <v>2843</v>
      </c>
      <c r="AI194" t="s">
        <v>2</v>
      </c>
      <c r="AJ194" t="s">
        <v>2844</v>
      </c>
      <c r="AK194" t="s">
        <v>1665</v>
      </c>
    </row>
    <row r="195" spans="1:37" hidden="1" x14ac:dyDescent="0.3">
      <c r="A195" t="s">
        <v>2893</v>
      </c>
      <c r="B195" s="56">
        <v>45803.831445331787</v>
      </c>
      <c r="C195" t="s">
        <v>2894</v>
      </c>
      <c r="D195" t="s">
        <v>2895</v>
      </c>
      <c r="E195" s="7">
        <v>37103</v>
      </c>
      <c r="F195" t="s">
        <v>2896</v>
      </c>
      <c r="G195" t="s">
        <v>112</v>
      </c>
      <c r="H195" t="s">
        <v>102</v>
      </c>
      <c r="I195" t="s">
        <v>2897</v>
      </c>
      <c r="J195" t="s">
        <v>1744</v>
      </c>
      <c r="K195" t="s">
        <v>132</v>
      </c>
      <c r="L195" t="s">
        <v>104</v>
      </c>
      <c r="M195" t="s">
        <v>2609</v>
      </c>
      <c r="N195" t="s">
        <v>736</v>
      </c>
      <c r="O195" t="s">
        <v>1890</v>
      </c>
      <c r="P195" t="s">
        <v>119</v>
      </c>
      <c r="Q195" t="s">
        <v>2898</v>
      </c>
      <c r="R195" t="s">
        <v>104</v>
      </c>
      <c r="S195" t="s">
        <v>106</v>
      </c>
      <c r="T195" t="s">
        <v>120</v>
      </c>
      <c r="U195" t="s">
        <v>731</v>
      </c>
      <c r="V195" t="s">
        <v>731</v>
      </c>
      <c r="W195" t="s">
        <v>2899</v>
      </c>
      <c r="AB195" t="s">
        <v>733</v>
      </c>
      <c r="AC195" t="s">
        <v>2900</v>
      </c>
      <c r="AD195" t="s">
        <v>835</v>
      </c>
      <c r="AE195" t="s">
        <v>736</v>
      </c>
      <c r="AF195" t="s">
        <v>752</v>
      </c>
      <c r="AG195" t="s">
        <v>753</v>
      </c>
      <c r="AH195" t="s">
        <v>2901</v>
      </c>
      <c r="AI195" t="s">
        <v>2</v>
      </c>
      <c r="AJ195" t="s">
        <v>2902</v>
      </c>
      <c r="AK195" t="s">
        <v>1656</v>
      </c>
    </row>
    <row r="196" spans="1:37" hidden="1" x14ac:dyDescent="0.3">
      <c r="A196" t="s">
        <v>174</v>
      </c>
      <c r="B196" s="56">
        <v>45803.922927623455</v>
      </c>
      <c r="C196" t="s">
        <v>143</v>
      </c>
      <c r="D196" t="s">
        <v>2903</v>
      </c>
      <c r="E196" s="7">
        <v>28540</v>
      </c>
      <c r="F196" t="s">
        <v>2904</v>
      </c>
      <c r="G196" t="s">
        <v>112</v>
      </c>
      <c r="H196" t="s">
        <v>102</v>
      </c>
      <c r="I196" t="s">
        <v>144</v>
      </c>
      <c r="J196" t="s">
        <v>6</v>
      </c>
      <c r="K196" t="s">
        <v>134</v>
      </c>
      <c r="L196" t="s">
        <v>110</v>
      </c>
      <c r="M196" t="s">
        <v>2905</v>
      </c>
      <c r="N196" t="s">
        <v>1159</v>
      </c>
      <c r="O196" t="s">
        <v>1890</v>
      </c>
      <c r="P196" t="s">
        <v>119</v>
      </c>
      <c r="Q196" t="s">
        <v>145</v>
      </c>
      <c r="R196" t="s">
        <v>110</v>
      </c>
      <c r="S196" t="s">
        <v>106</v>
      </c>
      <c r="T196" t="s">
        <v>713</v>
      </c>
      <c r="U196" t="s">
        <v>846</v>
      </c>
      <c r="V196" t="s">
        <v>846</v>
      </c>
      <c r="W196" t="s">
        <v>2906</v>
      </c>
      <c r="AA196" t="s">
        <v>733</v>
      </c>
      <c r="AB196" t="s">
        <v>733</v>
      </c>
      <c r="AC196" t="s">
        <v>2907</v>
      </c>
      <c r="AD196" t="s">
        <v>789</v>
      </c>
      <c r="AE196" t="s">
        <v>1159</v>
      </c>
      <c r="AF196" t="s">
        <v>790</v>
      </c>
      <c r="AG196" t="s">
        <v>1009</v>
      </c>
      <c r="AH196" t="s">
        <v>754</v>
      </c>
      <c r="AI196" t="s">
        <v>2</v>
      </c>
      <c r="AJ196" t="s">
        <v>2908</v>
      </c>
      <c r="AK196" t="s">
        <v>2909</v>
      </c>
    </row>
    <row r="197" spans="1:37" hidden="1" x14ac:dyDescent="0.3">
      <c r="A197" t="s">
        <v>2862</v>
      </c>
      <c r="B197" s="56">
        <v>45804.921342206791</v>
      </c>
      <c r="C197" t="s">
        <v>2863</v>
      </c>
      <c r="D197" t="s">
        <v>2864</v>
      </c>
      <c r="E197" s="7">
        <v>34507</v>
      </c>
      <c r="F197" t="s">
        <v>2865</v>
      </c>
      <c r="G197" t="s">
        <v>124</v>
      </c>
      <c r="H197" t="s">
        <v>102</v>
      </c>
      <c r="I197" t="s">
        <v>2866</v>
      </c>
      <c r="J197" t="s">
        <v>4</v>
      </c>
      <c r="K197" t="s">
        <v>2712</v>
      </c>
      <c r="L197" t="s">
        <v>115</v>
      </c>
      <c r="M197" t="s">
        <v>2596</v>
      </c>
      <c r="N197" t="s">
        <v>2867</v>
      </c>
      <c r="O197" t="s">
        <v>1004</v>
      </c>
      <c r="P197" t="s">
        <v>729</v>
      </c>
      <c r="Q197" t="s">
        <v>106</v>
      </c>
      <c r="R197" t="s">
        <v>106</v>
      </c>
      <c r="S197" t="s">
        <v>106</v>
      </c>
      <c r="T197" t="s">
        <v>713</v>
      </c>
      <c r="U197" t="s">
        <v>731</v>
      </c>
      <c r="V197" t="s">
        <v>731</v>
      </c>
      <c r="W197" t="s">
        <v>2868</v>
      </c>
      <c r="AB197" t="s">
        <v>1</v>
      </c>
      <c r="AC197" t="s">
        <v>2869</v>
      </c>
      <c r="AD197" t="s">
        <v>789</v>
      </c>
      <c r="AE197" t="s">
        <v>880</v>
      </c>
      <c r="AF197" t="s">
        <v>752</v>
      </c>
      <c r="AG197" t="s">
        <v>731</v>
      </c>
      <c r="AH197" t="s">
        <v>2870</v>
      </c>
      <c r="AI197" t="s">
        <v>1</v>
      </c>
      <c r="AJ197" t="s">
        <v>2871</v>
      </c>
      <c r="AK197" t="s">
        <v>1654</v>
      </c>
    </row>
    <row r="198" spans="1:37" hidden="1" x14ac:dyDescent="0.3">
      <c r="A198" t="s">
        <v>2910</v>
      </c>
      <c r="B198" s="56">
        <v>45804.984215007717</v>
      </c>
      <c r="C198" t="s">
        <v>2911</v>
      </c>
      <c r="D198" t="s">
        <v>2912</v>
      </c>
      <c r="E198" s="7">
        <v>31246</v>
      </c>
      <c r="F198" t="s">
        <v>2913</v>
      </c>
      <c r="G198" t="s">
        <v>2384</v>
      </c>
      <c r="H198" t="s">
        <v>102</v>
      </c>
      <c r="I198" t="s">
        <v>2914</v>
      </c>
      <c r="J198" t="s">
        <v>5</v>
      </c>
      <c r="K198" t="s">
        <v>2696</v>
      </c>
      <c r="L198" t="s">
        <v>121</v>
      </c>
      <c r="M198" t="s">
        <v>2915</v>
      </c>
      <c r="N198" t="s">
        <v>2916</v>
      </c>
      <c r="O198" t="s">
        <v>2807</v>
      </c>
      <c r="P198" t="s">
        <v>141</v>
      </c>
      <c r="Q198" t="s">
        <v>2917</v>
      </c>
      <c r="R198" t="s">
        <v>121</v>
      </c>
      <c r="S198" t="s">
        <v>121</v>
      </c>
      <c r="T198" t="s">
        <v>713</v>
      </c>
      <c r="U198" t="s">
        <v>2918</v>
      </c>
      <c r="V198" t="s">
        <v>731</v>
      </c>
      <c r="W198" t="s">
        <v>2919</v>
      </c>
      <c r="X198" t="s">
        <v>2702</v>
      </c>
      <c r="Y198" t="s">
        <v>1636</v>
      </c>
      <c r="Z198" t="s">
        <v>2920</v>
      </c>
      <c r="AA198" t="s">
        <v>733</v>
      </c>
      <c r="AB198" t="s">
        <v>1</v>
      </c>
      <c r="AC198" t="s">
        <v>2921</v>
      </c>
      <c r="AD198" t="s">
        <v>764</v>
      </c>
      <c r="AE198" t="s">
        <v>2922</v>
      </c>
      <c r="AF198" t="s">
        <v>752</v>
      </c>
      <c r="AG198" t="s">
        <v>731</v>
      </c>
      <c r="AH198" t="s">
        <v>2923</v>
      </c>
      <c r="AI198" t="s">
        <v>2</v>
      </c>
      <c r="AJ198" t="s">
        <v>2924</v>
      </c>
      <c r="AK198" t="s">
        <v>1672</v>
      </c>
    </row>
    <row r="199" spans="1:37" hidden="1" x14ac:dyDescent="0.3">
      <c r="A199" t="s">
        <v>2955</v>
      </c>
      <c r="B199" s="56">
        <v>45809.780166898148</v>
      </c>
      <c r="C199" t="s">
        <v>2956</v>
      </c>
      <c r="D199" t="s">
        <v>2957</v>
      </c>
      <c r="E199" s="7">
        <v>31912</v>
      </c>
      <c r="F199" t="s">
        <v>1038</v>
      </c>
      <c r="G199" t="s">
        <v>1039</v>
      </c>
      <c r="H199" t="s">
        <v>102</v>
      </c>
      <c r="I199" t="s">
        <v>2958</v>
      </c>
      <c r="J199" t="s">
        <v>2959</v>
      </c>
      <c r="K199" t="s">
        <v>1003</v>
      </c>
      <c r="L199" t="s">
        <v>117</v>
      </c>
      <c r="M199" t="s">
        <v>1420</v>
      </c>
      <c r="N199" t="s">
        <v>800</v>
      </c>
      <c r="O199" t="s">
        <v>1004</v>
      </c>
      <c r="P199" t="s">
        <v>119</v>
      </c>
      <c r="Q199" t="s">
        <v>2960</v>
      </c>
      <c r="R199" t="s">
        <v>117</v>
      </c>
      <c r="S199" t="s">
        <v>106</v>
      </c>
      <c r="T199" t="s">
        <v>713</v>
      </c>
      <c r="U199" t="s">
        <v>731</v>
      </c>
      <c r="V199" t="s">
        <v>731</v>
      </c>
      <c r="W199" t="s">
        <v>2961</v>
      </c>
      <c r="X199" t="s">
        <v>2962</v>
      </c>
      <c r="Y199" t="s">
        <v>2963</v>
      </c>
      <c r="Z199" t="s">
        <v>2964</v>
      </c>
      <c r="AA199" t="s">
        <v>2965</v>
      </c>
      <c r="AB199" t="s">
        <v>1</v>
      </c>
      <c r="AC199" t="s">
        <v>2921</v>
      </c>
      <c r="AD199" t="s">
        <v>800</v>
      </c>
      <c r="AE199" t="s">
        <v>981</v>
      </c>
      <c r="AF199" t="s">
        <v>752</v>
      </c>
      <c r="AG199" t="s">
        <v>731</v>
      </c>
      <c r="AH199" t="s">
        <v>2966</v>
      </c>
      <c r="AI199" t="s">
        <v>2</v>
      </c>
      <c r="AJ199" t="s">
        <v>2967</v>
      </c>
      <c r="AK199" t="s">
        <v>1667</v>
      </c>
    </row>
    <row r="200" spans="1:37" hidden="1" x14ac:dyDescent="0.3">
      <c r="A200" t="s">
        <v>2945</v>
      </c>
      <c r="B200" s="56">
        <v>45810.864486419756</v>
      </c>
      <c r="C200" t="s">
        <v>2946</v>
      </c>
      <c r="D200" t="s">
        <v>2947</v>
      </c>
      <c r="E200" s="7">
        <v>38454</v>
      </c>
      <c r="F200" t="s">
        <v>2968</v>
      </c>
      <c r="G200" t="s">
        <v>118</v>
      </c>
      <c r="H200" t="s">
        <v>102</v>
      </c>
      <c r="I200" t="s">
        <v>2948</v>
      </c>
      <c r="J200" t="s">
        <v>2949</v>
      </c>
      <c r="K200" t="s">
        <v>413</v>
      </c>
      <c r="L200" t="s">
        <v>110</v>
      </c>
      <c r="M200" t="s">
        <v>2950</v>
      </c>
      <c r="N200" t="s">
        <v>944</v>
      </c>
      <c r="O200" t="s">
        <v>105</v>
      </c>
      <c r="P200" t="s">
        <v>106</v>
      </c>
      <c r="Q200" t="s">
        <v>106</v>
      </c>
      <c r="R200" t="s">
        <v>106</v>
      </c>
      <c r="S200" t="s">
        <v>106</v>
      </c>
      <c r="T200" t="s">
        <v>120</v>
      </c>
      <c r="U200" t="s">
        <v>2340</v>
      </c>
      <c r="V200" t="s">
        <v>731</v>
      </c>
      <c r="W200" t="s">
        <v>2951</v>
      </c>
      <c r="AB200" t="s">
        <v>733</v>
      </c>
      <c r="AC200" t="s">
        <v>2952</v>
      </c>
      <c r="AD200" t="s">
        <v>800</v>
      </c>
      <c r="AE200" t="s">
        <v>944</v>
      </c>
      <c r="AF200" t="s">
        <v>752</v>
      </c>
      <c r="AG200" t="s">
        <v>731</v>
      </c>
      <c r="AH200" t="s">
        <v>2953</v>
      </c>
      <c r="AI200" t="s">
        <v>2</v>
      </c>
      <c r="AJ200" t="s">
        <v>2954</v>
      </c>
      <c r="AK200" t="s">
        <v>1662</v>
      </c>
    </row>
    <row r="201" spans="1:37" hidden="1" x14ac:dyDescent="0.3">
      <c r="A201" t="s">
        <v>2936</v>
      </c>
      <c r="B201" s="56">
        <v>45811.618994251541</v>
      </c>
      <c r="C201" t="s">
        <v>2937</v>
      </c>
      <c r="D201" t="s">
        <v>2938</v>
      </c>
      <c r="E201" s="7">
        <v>36974</v>
      </c>
      <c r="F201" t="s">
        <v>2939</v>
      </c>
      <c r="G201" t="s">
        <v>1553</v>
      </c>
      <c r="H201" t="s">
        <v>102</v>
      </c>
      <c r="I201" t="s">
        <v>2940</v>
      </c>
      <c r="J201" t="s">
        <v>4</v>
      </c>
      <c r="K201" t="s">
        <v>123</v>
      </c>
      <c r="L201" t="s">
        <v>110</v>
      </c>
      <c r="M201" t="s">
        <v>727</v>
      </c>
      <c r="N201" t="s">
        <v>835</v>
      </c>
      <c r="O201" t="s">
        <v>118</v>
      </c>
      <c r="P201" t="s">
        <v>729</v>
      </c>
      <c r="Q201" t="s">
        <v>106</v>
      </c>
      <c r="R201" t="s">
        <v>106</v>
      </c>
      <c r="S201" t="s">
        <v>106</v>
      </c>
      <c r="T201" t="s">
        <v>713</v>
      </c>
      <c r="U201" t="s">
        <v>731</v>
      </c>
      <c r="V201" t="s">
        <v>731</v>
      </c>
      <c r="W201" t="s">
        <v>2941</v>
      </c>
      <c r="AB201" t="s">
        <v>733</v>
      </c>
      <c r="AC201" t="s">
        <v>763</v>
      </c>
      <c r="AD201" t="s">
        <v>1008</v>
      </c>
      <c r="AE201" t="s">
        <v>2942</v>
      </c>
      <c r="AF201" t="s">
        <v>752</v>
      </c>
      <c r="AG201" t="s">
        <v>731</v>
      </c>
      <c r="AH201" t="s">
        <v>2943</v>
      </c>
      <c r="AI201" t="s">
        <v>2</v>
      </c>
      <c r="AJ201" t="s">
        <v>2944</v>
      </c>
      <c r="AK201" t="s">
        <v>1655</v>
      </c>
    </row>
    <row r="202" spans="1:37" hidden="1" x14ac:dyDescent="0.3">
      <c r="A202" t="s">
        <v>2969</v>
      </c>
      <c r="B202" s="56">
        <v>45813.793141319446</v>
      </c>
      <c r="C202" t="s">
        <v>2970</v>
      </c>
      <c r="D202" t="s">
        <v>2971</v>
      </c>
      <c r="E202" s="7">
        <v>36337</v>
      </c>
      <c r="F202" t="s">
        <v>2972</v>
      </c>
      <c r="G202" t="s">
        <v>148</v>
      </c>
      <c r="H202" t="s">
        <v>102</v>
      </c>
      <c r="I202" t="s">
        <v>2973</v>
      </c>
      <c r="J202" t="s">
        <v>4</v>
      </c>
      <c r="K202" t="s">
        <v>2665</v>
      </c>
      <c r="L202" t="s">
        <v>104</v>
      </c>
      <c r="M202" t="s">
        <v>727</v>
      </c>
      <c r="N202" t="s">
        <v>2974</v>
      </c>
      <c r="O202" t="s">
        <v>1890</v>
      </c>
      <c r="P202" t="s">
        <v>729</v>
      </c>
      <c r="Q202" t="s">
        <v>106</v>
      </c>
      <c r="R202" t="s">
        <v>106</v>
      </c>
      <c r="S202" t="s">
        <v>106</v>
      </c>
      <c r="T202" t="s">
        <v>120</v>
      </c>
      <c r="U202" t="s">
        <v>731</v>
      </c>
      <c r="V202" t="s">
        <v>2975</v>
      </c>
      <c r="W202" t="s">
        <v>2976</v>
      </c>
      <c r="X202" t="s">
        <v>2977</v>
      </c>
      <c r="Y202" t="s">
        <v>2978</v>
      </c>
      <c r="Z202" t="s">
        <v>2979</v>
      </c>
      <c r="AB202" t="s">
        <v>733</v>
      </c>
      <c r="AC202" t="s">
        <v>749</v>
      </c>
      <c r="AD202" t="s">
        <v>848</v>
      </c>
      <c r="AE202" t="s">
        <v>2980</v>
      </c>
      <c r="AF202" t="s">
        <v>752</v>
      </c>
      <c r="AG202" t="s">
        <v>731</v>
      </c>
      <c r="AH202" t="s">
        <v>2981</v>
      </c>
      <c r="AI202" t="s">
        <v>2</v>
      </c>
      <c r="AJ202" t="s">
        <v>2982</v>
      </c>
      <c r="AK202" t="s">
        <v>1669</v>
      </c>
    </row>
    <row r="203" spans="1:37" hidden="1" x14ac:dyDescent="0.3">
      <c r="A203" t="s">
        <v>388</v>
      </c>
      <c r="B203" s="56">
        <v>45813.943196141976</v>
      </c>
      <c r="C203" t="s">
        <v>389</v>
      </c>
      <c r="D203" t="s">
        <v>2983</v>
      </c>
      <c r="E203" s="7">
        <v>33121</v>
      </c>
      <c r="F203" t="s">
        <v>391</v>
      </c>
      <c r="G203" t="s">
        <v>112</v>
      </c>
      <c r="H203" t="s">
        <v>102</v>
      </c>
      <c r="I203" t="s">
        <v>469</v>
      </c>
      <c r="J203" t="s">
        <v>5</v>
      </c>
      <c r="K203" t="s">
        <v>132</v>
      </c>
      <c r="L203" t="s">
        <v>110</v>
      </c>
      <c r="M203" t="s">
        <v>2984</v>
      </c>
      <c r="N203" t="s">
        <v>2985</v>
      </c>
      <c r="O203" t="s">
        <v>1890</v>
      </c>
      <c r="P203" t="s">
        <v>119</v>
      </c>
      <c r="Q203" t="s">
        <v>392</v>
      </c>
      <c r="R203" t="s">
        <v>110</v>
      </c>
      <c r="S203" t="s">
        <v>106</v>
      </c>
      <c r="T203" t="s">
        <v>713</v>
      </c>
      <c r="U203" t="s">
        <v>731</v>
      </c>
      <c r="V203" t="s">
        <v>731</v>
      </c>
      <c r="W203" t="s">
        <v>2986</v>
      </c>
      <c r="AB203" t="s">
        <v>733</v>
      </c>
      <c r="AC203" t="s">
        <v>1272</v>
      </c>
      <c r="AD203" t="s">
        <v>2705</v>
      </c>
      <c r="AE203" t="s">
        <v>2987</v>
      </c>
      <c r="AF203" t="s">
        <v>790</v>
      </c>
      <c r="AG203" t="s">
        <v>904</v>
      </c>
      <c r="AH203" t="s">
        <v>2988</v>
      </c>
      <c r="AI203" t="s">
        <v>2</v>
      </c>
      <c r="AJ203" t="s">
        <v>2989</v>
      </c>
      <c r="AK203" t="s">
        <v>1664</v>
      </c>
    </row>
    <row r="204" spans="1:37" hidden="1" x14ac:dyDescent="0.3">
      <c r="A204" t="s">
        <v>2991</v>
      </c>
      <c r="B204" s="56">
        <v>45815.884053125003</v>
      </c>
      <c r="C204" t="s">
        <v>2992</v>
      </c>
      <c r="D204" t="s">
        <v>2993</v>
      </c>
      <c r="E204" s="7">
        <v>36101</v>
      </c>
      <c r="F204" t="s">
        <v>2994</v>
      </c>
      <c r="G204" t="s">
        <v>148</v>
      </c>
      <c r="H204" t="s">
        <v>102</v>
      </c>
      <c r="I204" t="s">
        <v>2995</v>
      </c>
      <c r="J204" t="s">
        <v>4</v>
      </c>
      <c r="K204" t="s">
        <v>1300</v>
      </c>
      <c r="L204" t="s">
        <v>121</v>
      </c>
      <c r="M204" t="s">
        <v>2996</v>
      </c>
      <c r="N204" t="s">
        <v>2997</v>
      </c>
      <c r="O204" t="s">
        <v>1890</v>
      </c>
      <c r="P204" t="s">
        <v>729</v>
      </c>
      <c r="Q204" t="s">
        <v>106</v>
      </c>
      <c r="R204" t="s">
        <v>106</v>
      </c>
      <c r="S204" t="s">
        <v>106</v>
      </c>
      <c r="T204" t="s">
        <v>713</v>
      </c>
      <c r="U204" t="s">
        <v>731</v>
      </c>
      <c r="V204" t="s">
        <v>731</v>
      </c>
      <c r="W204" t="s">
        <v>2998</v>
      </c>
      <c r="AB204" t="s">
        <v>1</v>
      </c>
      <c r="AC204" t="s">
        <v>2999</v>
      </c>
      <c r="AD204" t="s">
        <v>3000</v>
      </c>
      <c r="AE204" t="s">
        <v>733</v>
      </c>
      <c r="AF204" t="s">
        <v>752</v>
      </c>
      <c r="AG204" t="s">
        <v>731</v>
      </c>
      <c r="AH204" t="s">
        <v>3001</v>
      </c>
      <c r="AI204" t="s">
        <v>2</v>
      </c>
      <c r="AJ204" t="s">
        <v>3002</v>
      </c>
      <c r="AK204" t="s">
        <v>1669</v>
      </c>
    </row>
    <row r="205" spans="1:37" hidden="1" x14ac:dyDescent="0.3">
      <c r="A205" t="s">
        <v>3005</v>
      </c>
      <c r="B205" s="56">
        <v>45817.547884297841</v>
      </c>
      <c r="C205" t="s">
        <v>3006</v>
      </c>
      <c r="D205" t="s">
        <v>3007</v>
      </c>
      <c r="E205" s="7">
        <v>32054</v>
      </c>
      <c r="F205" t="s">
        <v>3008</v>
      </c>
      <c r="G205" t="s">
        <v>112</v>
      </c>
      <c r="H205" t="s">
        <v>102</v>
      </c>
      <c r="I205" t="s">
        <v>3009</v>
      </c>
      <c r="J205" t="s">
        <v>4</v>
      </c>
      <c r="K205" t="s">
        <v>1300</v>
      </c>
      <c r="L205" t="s">
        <v>104</v>
      </c>
      <c r="M205" t="s">
        <v>889</v>
      </c>
      <c r="N205" t="s">
        <v>912</v>
      </c>
      <c r="O205" t="s">
        <v>1890</v>
      </c>
      <c r="P205" t="s">
        <v>729</v>
      </c>
      <c r="Q205" t="s">
        <v>106</v>
      </c>
      <c r="R205" t="s">
        <v>106</v>
      </c>
      <c r="S205" t="s">
        <v>106</v>
      </c>
      <c r="T205" t="s">
        <v>713</v>
      </c>
      <c r="U205" t="s">
        <v>3010</v>
      </c>
      <c r="V205" t="s">
        <v>731</v>
      </c>
      <c r="W205" t="s">
        <v>3011</v>
      </c>
      <c r="X205" t="s">
        <v>3012</v>
      </c>
      <c r="Y205" t="s">
        <v>1334</v>
      </c>
      <c r="Z205" t="s">
        <v>1335</v>
      </c>
      <c r="AA205" t="s">
        <v>3013</v>
      </c>
      <c r="AB205" t="s">
        <v>733</v>
      </c>
      <c r="AC205" t="s">
        <v>3014</v>
      </c>
      <c r="AD205" t="s">
        <v>2029</v>
      </c>
      <c r="AE205" t="s">
        <v>3015</v>
      </c>
      <c r="AF205" t="s">
        <v>1062</v>
      </c>
      <c r="AG205" t="s">
        <v>731</v>
      </c>
      <c r="AH205" t="s">
        <v>3016</v>
      </c>
      <c r="AI205" t="s">
        <v>2</v>
      </c>
      <c r="AJ205" t="s">
        <v>3017</v>
      </c>
      <c r="AK205" t="s">
        <v>1675</v>
      </c>
    </row>
    <row r="206" spans="1:37" hidden="1" x14ac:dyDescent="0.3">
      <c r="A206" t="s">
        <v>3018</v>
      </c>
      <c r="B206" s="56">
        <v>45819.66009818673</v>
      </c>
      <c r="C206" t="s">
        <v>3019</v>
      </c>
      <c r="D206" t="s">
        <v>3020</v>
      </c>
      <c r="E206" s="7">
        <v>39119</v>
      </c>
      <c r="F206" t="s">
        <v>555</v>
      </c>
      <c r="G206" t="s">
        <v>556</v>
      </c>
      <c r="H206" t="s">
        <v>102</v>
      </c>
      <c r="I206" t="s">
        <v>3021</v>
      </c>
      <c r="J206" t="s">
        <v>4</v>
      </c>
      <c r="K206" t="s">
        <v>557</v>
      </c>
      <c r="L206" t="s">
        <v>117</v>
      </c>
      <c r="M206" t="s">
        <v>760</v>
      </c>
      <c r="N206" t="s">
        <v>736</v>
      </c>
      <c r="O206" t="s">
        <v>116</v>
      </c>
      <c r="P206" t="s">
        <v>729</v>
      </c>
      <c r="Q206" t="s">
        <v>106</v>
      </c>
      <c r="R206" t="s">
        <v>106</v>
      </c>
      <c r="S206" t="s">
        <v>106</v>
      </c>
      <c r="T206" t="s">
        <v>120</v>
      </c>
      <c r="U206" t="s">
        <v>731</v>
      </c>
      <c r="V206" t="s">
        <v>846</v>
      </c>
      <c r="W206" t="s">
        <v>3022</v>
      </c>
      <c r="X206" t="s">
        <v>3023</v>
      </c>
      <c r="Y206" t="s">
        <v>1231</v>
      </c>
      <c r="Z206" t="s">
        <v>3024</v>
      </c>
      <c r="AA206" t="s">
        <v>733</v>
      </c>
      <c r="AB206" t="s">
        <v>1</v>
      </c>
      <c r="AC206" t="s">
        <v>763</v>
      </c>
      <c r="AD206" t="s">
        <v>800</v>
      </c>
      <c r="AE206" t="s">
        <v>835</v>
      </c>
      <c r="AF206" t="s">
        <v>752</v>
      </c>
      <c r="AG206" t="s">
        <v>904</v>
      </c>
      <c r="AH206" t="s">
        <v>3025</v>
      </c>
      <c r="AI206" t="s">
        <v>1</v>
      </c>
      <c r="AJ206" t="s">
        <v>3026</v>
      </c>
      <c r="AK206" t="s">
        <v>3027</v>
      </c>
    </row>
    <row r="207" spans="1:37" hidden="1" x14ac:dyDescent="0.3">
      <c r="A207" t="s">
        <v>3032</v>
      </c>
      <c r="B207" s="56">
        <v>45820.447072145063</v>
      </c>
      <c r="C207" t="s">
        <v>3033</v>
      </c>
      <c r="D207" t="s">
        <v>3034</v>
      </c>
      <c r="E207" s="7">
        <v>36182</v>
      </c>
      <c r="F207" t="s">
        <v>3035</v>
      </c>
      <c r="G207" t="s">
        <v>1553</v>
      </c>
      <c r="H207" t="s">
        <v>102</v>
      </c>
      <c r="I207" t="s">
        <v>3036</v>
      </c>
      <c r="J207" t="s">
        <v>1744</v>
      </c>
      <c r="K207" t="s">
        <v>162</v>
      </c>
      <c r="L207" t="s">
        <v>104</v>
      </c>
      <c r="M207" t="s">
        <v>3037</v>
      </c>
      <c r="N207" t="s">
        <v>3038</v>
      </c>
      <c r="O207" t="s">
        <v>118</v>
      </c>
      <c r="P207" t="s">
        <v>119</v>
      </c>
      <c r="Q207" t="s">
        <v>3039</v>
      </c>
      <c r="R207" t="s">
        <v>104</v>
      </c>
      <c r="S207" t="s">
        <v>106</v>
      </c>
      <c r="T207" t="s">
        <v>713</v>
      </c>
      <c r="U207" t="s">
        <v>731</v>
      </c>
      <c r="V207" t="s">
        <v>731</v>
      </c>
      <c r="W207" t="s">
        <v>3040</v>
      </c>
      <c r="AB207" t="s">
        <v>733</v>
      </c>
      <c r="AC207" t="s">
        <v>3041</v>
      </c>
      <c r="AD207" t="s">
        <v>915</v>
      </c>
      <c r="AE207" t="s">
        <v>986</v>
      </c>
      <c r="AF207" t="s">
        <v>752</v>
      </c>
      <c r="AG207" t="s">
        <v>731</v>
      </c>
      <c r="AH207" t="s">
        <v>3001</v>
      </c>
      <c r="AI207" t="s">
        <v>2</v>
      </c>
      <c r="AJ207" t="s">
        <v>3042</v>
      </c>
      <c r="AK207" t="s">
        <v>1669</v>
      </c>
    </row>
    <row r="208" spans="1:37" hidden="1" x14ac:dyDescent="0.3">
      <c r="A208" t="s">
        <v>3043</v>
      </c>
      <c r="B208" s="56">
        <v>45823.722497106479</v>
      </c>
      <c r="C208" t="s">
        <v>3044</v>
      </c>
      <c r="D208" t="s">
        <v>3045</v>
      </c>
      <c r="E208" s="7">
        <v>36851</v>
      </c>
      <c r="F208" t="s">
        <v>3046</v>
      </c>
      <c r="G208" t="s">
        <v>112</v>
      </c>
      <c r="H208" t="s">
        <v>102</v>
      </c>
      <c r="I208" t="s">
        <v>3047</v>
      </c>
      <c r="J208" t="s">
        <v>4</v>
      </c>
      <c r="K208" t="s">
        <v>2665</v>
      </c>
      <c r="L208" t="s">
        <v>104</v>
      </c>
      <c r="M208" t="s">
        <v>727</v>
      </c>
      <c r="N208" t="s">
        <v>1116</v>
      </c>
      <c r="O208" t="s">
        <v>1890</v>
      </c>
      <c r="P208" t="s">
        <v>729</v>
      </c>
      <c r="Q208" t="s">
        <v>106</v>
      </c>
      <c r="R208" t="s">
        <v>106</v>
      </c>
      <c r="S208" t="s">
        <v>106</v>
      </c>
      <c r="T208" t="s">
        <v>713</v>
      </c>
      <c r="U208" t="s">
        <v>731</v>
      </c>
      <c r="V208" t="s">
        <v>731</v>
      </c>
      <c r="W208" t="s">
        <v>3048</v>
      </c>
      <c r="AB208" t="s">
        <v>733</v>
      </c>
      <c r="AC208" t="s">
        <v>763</v>
      </c>
      <c r="AD208" t="s">
        <v>1032</v>
      </c>
      <c r="AE208" t="s">
        <v>835</v>
      </c>
      <c r="AF208" t="s">
        <v>752</v>
      </c>
      <c r="AG208" t="s">
        <v>731</v>
      </c>
      <c r="AH208" t="s">
        <v>3049</v>
      </c>
      <c r="AI208" t="s">
        <v>1</v>
      </c>
      <c r="AJ208" t="s">
        <v>3050</v>
      </c>
      <c r="AK208" t="s">
        <v>1655</v>
      </c>
    </row>
    <row r="209" spans="1:37" hidden="1" x14ac:dyDescent="0.3">
      <c r="A209" t="s">
        <v>3232</v>
      </c>
      <c r="B209" s="56">
        <v>45827.438925501541</v>
      </c>
      <c r="C209" t="s">
        <v>3233</v>
      </c>
      <c r="D209" t="s">
        <v>3234</v>
      </c>
      <c r="E209" s="7">
        <v>36740</v>
      </c>
      <c r="F209" t="s">
        <v>1911</v>
      </c>
      <c r="G209" t="s">
        <v>1912</v>
      </c>
      <c r="H209" t="s">
        <v>102</v>
      </c>
      <c r="I209" t="s">
        <v>3235</v>
      </c>
      <c r="J209" t="s">
        <v>4</v>
      </c>
      <c r="K209" t="s">
        <v>1914</v>
      </c>
      <c r="L209" t="s">
        <v>115</v>
      </c>
      <c r="M209" t="s">
        <v>1915</v>
      </c>
      <c r="N209" t="s">
        <v>835</v>
      </c>
      <c r="O209" t="s">
        <v>111</v>
      </c>
      <c r="P209" t="s">
        <v>729</v>
      </c>
      <c r="Q209" t="s">
        <v>106</v>
      </c>
      <c r="R209" t="s">
        <v>106</v>
      </c>
      <c r="S209" t="s">
        <v>106</v>
      </c>
      <c r="T209" t="s">
        <v>713</v>
      </c>
      <c r="U209" t="s">
        <v>731</v>
      </c>
      <c r="V209" t="s">
        <v>731</v>
      </c>
      <c r="W209" t="s">
        <v>3236</v>
      </c>
      <c r="X209" t="s">
        <v>3237</v>
      </c>
      <c r="Y209" t="s">
        <v>1871</v>
      </c>
      <c r="Z209" t="s">
        <v>3238</v>
      </c>
      <c r="AB209" t="s">
        <v>1</v>
      </c>
      <c r="AC209" t="s">
        <v>3239</v>
      </c>
      <c r="AD209" t="s">
        <v>1511</v>
      </c>
      <c r="AE209" t="s">
        <v>835</v>
      </c>
      <c r="AF209" t="s">
        <v>752</v>
      </c>
      <c r="AG209" t="s">
        <v>731</v>
      </c>
      <c r="AH209" t="s">
        <v>3240</v>
      </c>
      <c r="AI209" t="s">
        <v>1</v>
      </c>
      <c r="AJ209" t="s">
        <v>3241</v>
      </c>
      <c r="AK209" t="s">
        <v>1655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06FA6-C787-4EB3-9F25-A3788FE69F4C}">
  <sheetPr codeName="Hoja16">
    <tabColor rgb="FFC00000"/>
  </sheetPr>
  <dimension ref="A1:I167"/>
  <sheetViews>
    <sheetView topLeftCell="A136" workbookViewId="0">
      <selection activeCell="C10" sqref="C10"/>
    </sheetView>
  </sheetViews>
  <sheetFormatPr baseColWidth="10" defaultRowHeight="14.4" x14ac:dyDescent="0.3"/>
  <cols>
    <col min="1" max="1" width="10.6640625" bestFit="1" customWidth="1"/>
    <col min="2" max="2" width="36.6640625" bestFit="1" customWidth="1"/>
    <col min="3" max="3" width="40.88671875" bestFit="1" customWidth="1"/>
    <col min="4" max="4" width="33.77734375" bestFit="1" customWidth="1"/>
    <col min="5" max="5" width="18.77734375" bestFit="1" customWidth="1"/>
    <col min="6" max="6" width="17.44140625" bestFit="1" customWidth="1"/>
    <col min="7" max="9" width="12.109375" bestFit="1" customWidth="1"/>
  </cols>
  <sheetData>
    <row r="1" spans="1:9" x14ac:dyDescent="0.3">
      <c r="A1" t="s">
        <v>2164</v>
      </c>
      <c r="B1" t="s">
        <v>2165</v>
      </c>
      <c r="C1" t="s">
        <v>2166</v>
      </c>
      <c r="D1" t="s">
        <v>239</v>
      </c>
      <c r="E1" t="s">
        <v>236</v>
      </c>
      <c r="F1" t="s">
        <v>2167</v>
      </c>
      <c r="G1" t="s">
        <v>2168</v>
      </c>
      <c r="H1" t="s">
        <v>2169</v>
      </c>
      <c r="I1" t="s">
        <v>2170</v>
      </c>
    </row>
    <row r="2" spans="1:9" x14ac:dyDescent="0.3">
      <c r="A2" t="s">
        <v>722</v>
      </c>
      <c r="B2" t="s">
        <v>723</v>
      </c>
      <c r="C2" t="s">
        <v>724</v>
      </c>
      <c r="D2" t="s">
        <v>226</v>
      </c>
      <c r="E2" t="s">
        <v>111</v>
      </c>
      <c r="F2" t="s">
        <v>1553</v>
      </c>
      <c r="G2">
        <v>20000</v>
      </c>
      <c r="H2">
        <v>15000</v>
      </c>
      <c r="I2">
        <v>15000</v>
      </c>
    </row>
    <row r="3" spans="1:9" x14ac:dyDescent="0.3">
      <c r="A3" t="s">
        <v>740</v>
      </c>
      <c r="B3" t="s">
        <v>741</v>
      </c>
      <c r="C3" t="s">
        <v>742</v>
      </c>
      <c r="D3" t="s">
        <v>745</v>
      </c>
      <c r="E3" t="s">
        <v>116</v>
      </c>
      <c r="F3" t="s">
        <v>367</v>
      </c>
      <c r="G3">
        <v>20000</v>
      </c>
      <c r="H3">
        <v>15000</v>
      </c>
      <c r="I3">
        <v>15000</v>
      </c>
    </row>
    <row r="4" spans="1:9" x14ac:dyDescent="0.3">
      <c r="A4" t="s">
        <v>756</v>
      </c>
      <c r="B4" t="s">
        <v>757</v>
      </c>
      <c r="C4" t="s">
        <v>758</v>
      </c>
      <c r="D4" t="s">
        <v>162</v>
      </c>
      <c r="E4" t="s">
        <v>118</v>
      </c>
      <c r="F4" t="s">
        <v>1553</v>
      </c>
      <c r="G4">
        <v>20000</v>
      </c>
      <c r="H4">
        <v>15000</v>
      </c>
      <c r="I4">
        <v>15000</v>
      </c>
    </row>
    <row r="5" spans="1:9" x14ac:dyDescent="0.3">
      <c r="A5" t="s">
        <v>767</v>
      </c>
      <c r="B5" t="s">
        <v>768</v>
      </c>
      <c r="C5" t="s">
        <v>769</v>
      </c>
      <c r="D5" t="s">
        <v>162</v>
      </c>
      <c r="E5" t="s">
        <v>118</v>
      </c>
      <c r="F5" t="s">
        <v>771</v>
      </c>
      <c r="G5">
        <v>20000</v>
      </c>
      <c r="H5">
        <v>15000</v>
      </c>
      <c r="I5">
        <v>15000</v>
      </c>
    </row>
    <row r="6" spans="1:9" x14ac:dyDescent="0.3">
      <c r="A6" t="s">
        <v>781</v>
      </c>
      <c r="B6" t="s">
        <v>782</v>
      </c>
      <c r="C6" t="s">
        <v>783</v>
      </c>
      <c r="D6" t="s">
        <v>113</v>
      </c>
      <c r="E6" t="s">
        <v>1890</v>
      </c>
      <c r="F6" t="s">
        <v>148</v>
      </c>
      <c r="G6">
        <v>20000</v>
      </c>
      <c r="H6">
        <v>15000</v>
      </c>
      <c r="I6">
        <v>15000</v>
      </c>
    </row>
    <row r="7" spans="1:9" x14ac:dyDescent="0.3">
      <c r="A7" t="s">
        <v>793</v>
      </c>
      <c r="B7" t="s">
        <v>794</v>
      </c>
      <c r="C7" t="s">
        <v>795</v>
      </c>
      <c r="D7" t="s">
        <v>162</v>
      </c>
      <c r="E7" t="s">
        <v>118</v>
      </c>
      <c r="F7" t="s">
        <v>118</v>
      </c>
      <c r="G7">
        <v>20000</v>
      </c>
      <c r="H7">
        <v>15000</v>
      </c>
      <c r="I7">
        <v>15000</v>
      </c>
    </row>
    <row r="8" spans="1:9" x14ac:dyDescent="0.3">
      <c r="A8" t="s">
        <v>803</v>
      </c>
      <c r="B8" t="s">
        <v>804</v>
      </c>
      <c r="C8" t="s">
        <v>805</v>
      </c>
      <c r="D8" t="s">
        <v>745</v>
      </c>
      <c r="E8" t="s">
        <v>116</v>
      </c>
      <c r="F8" t="s">
        <v>367</v>
      </c>
      <c r="G8">
        <v>20000</v>
      </c>
      <c r="H8">
        <v>15000</v>
      </c>
      <c r="I8">
        <v>15000</v>
      </c>
    </row>
    <row r="9" spans="1:9" x14ac:dyDescent="0.3">
      <c r="A9" t="s">
        <v>815</v>
      </c>
      <c r="B9" t="s">
        <v>816</v>
      </c>
      <c r="C9" t="s">
        <v>817</v>
      </c>
      <c r="D9" t="s">
        <v>113</v>
      </c>
      <c r="E9" t="s">
        <v>1890</v>
      </c>
      <c r="F9" t="s">
        <v>112</v>
      </c>
      <c r="G9">
        <v>20000</v>
      </c>
      <c r="H9">
        <v>15000</v>
      </c>
      <c r="I9">
        <v>15000</v>
      </c>
    </row>
    <row r="10" spans="1:9" x14ac:dyDescent="0.3">
      <c r="A10" t="s">
        <v>828</v>
      </c>
      <c r="B10" t="s">
        <v>829</v>
      </c>
      <c r="C10" t="s">
        <v>830</v>
      </c>
      <c r="D10" t="s">
        <v>135</v>
      </c>
      <c r="E10" t="s">
        <v>118</v>
      </c>
      <c r="F10" t="s">
        <v>118</v>
      </c>
    </row>
    <row r="11" spans="1:9" x14ac:dyDescent="0.3">
      <c r="A11" t="s">
        <v>838</v>
      </c>
      <c r="B11" t="s">
        <v>839</v>
      </c>
      <c r="C11" t="s">
        <v>840</v>
      </c>
      <c r="D11" t="s">
        <v>413</v>
      </c>
      <c r="E11" t="s">
        <v>105</v>
      </c>
      <c r="F11" t="s">
        <v>148</v>
      </c>
      <c r="G11">
        <v>20000</v>
      </c>
      <c r="H11">
        <v>15000</v>
      </c>
      <c r="I11">
        <v>15000</v>
      </c>
    </row>
    <row r="12" spans="1:9" x14ac:dyDescent="0.3">
      <c r="A12" t="s">
        <v>851</v>
      </c>
      <c r="B12" t="s">
        <v>852</v>
      </c>
      <c r="C12" t="s">
        <v>853</v>
      </c>
      <c r="D12" t="s">
        <v>311</v>
      </c>
      <c r="E12" t="s">
        <v>105</v>
      </c>
      <c r="F12" t="s">
        <v>118</v>
      </c>
    </row>
    <row r="13" spans="1:9" x14ac:dyDescent="0.3">
      <c r="A13" t="s">
        <v>860</v>
      </c>
      <c r="B13" t="s">
        <v>861</v>
      </c>
      <c r="C13" t="s">
        <v>862</v>
      </c>
      <c r="D13" t="s">
        <v>413</v>
      </c>
      <c r="E13" t="s">
        <v>105</v>
      </c>
      <c r="F13" t="s">
        <v>118</v>
      </c>
      <c r="G13">
        <v>20000</v>
      </c>
      <c r="H13">
        <v>15000</v>
      </c>
      <c r="I13">
        <v>15000</v>
      </c>
    </row>
    <row r="14" spans="1:9" x14ac:dyDescent="0.3">
      <c r="A14" t="s">
        <v>871</v>
      </c>
      <c r="B14" t="s">
        <v>872</v>
      </c>
      <c r="C14" t="s">
        <v>873</v>
      </c>
      <c r="D14" t="s">
        <v>876</v>
      </c>
      <c r="E14" t="s">
        <v>1004</v>
      </c>
      <c r="F14" t="s">
        <v>875</v>
      </c>
      <c r="G14">
        <v>20000</v>
      </c>
      <c r="H14">
        <v>15000</v>
      </c>
      <c r="I14">
        <v>15000</v>
      </c>
    </row>
    <row r="15" spans="1:9" x14ac:dyDescent="0.3">
      <c r="A15" t="s">
        <v>884</v>
      </c>
      <c r="B15" t="s">
        <v>885</v>
      </c>
      <c r="C15" t="s">
        <v>886</v>
      </c>
      <c r="D15" t="s">
        <v>876</v>
      </c>
      <c r="E15" t="s">
        <v>1004</v>
      </c>
      <c r="F15" t="s">
        <v>875</v>
      </c>
      <c r="G15">
        <v>20000</v>
      </c>
      <c r="H15">
        <v>15000</v>
      </c>
      <c r="I15">
        <v>15000</v>
      </c>
    </row>
    <row r="16" spans="1:9" x14ac:dyDescent="0.3">
      <c r="A16" t="s">
        <v>894</v>
      </c>
      <c r="B16" t="s">
        <v>895</v>
      </c>
      <c r="C16" t="s">
        <v>896</v>
      </c>
      <c r="D16" t="s">
        <v>413</v>
      </c>
      <c r="E16" t="s">
        <v>105</v>
      </c>
      <c r="F16" t="s">
        <v>112</v>
      </c>
      <c r="G16">
        <v>20000</v>
      </c>
      <c r="H16">
        <v>15000</v>
      </c>
      <c r="I16">
        <v>15000</v>
      </c>
    </row>
    <row r="17" spans="1:9" x14ac:dyDescent="0.3">
      <c r="A17" t="s">
        <v>907</v>
      </c>
      <c r="B17" t="s">
        <v>908</v>
      </c>
      <c r="C17" t="s">
        <v>909</v>
      </c>
      <c r="D17" t="s">
        <v>413</v>
      </c>
      <c r="E17" t="s">
        <v>105</v>
      </c>
      <c r="F17" t="s">
        <v>118</v>
      </c>
      <c r="G17">
        <v>20000</v>
      </c>
      <c r="H17">
        <v>15000</v>
      </c>
      <c r="I17">
        <v>15000</v>
      </c>
    </row>
    <row r="18" spans="1:9" x14ac:dyDescent="0.3">
      <c r="A18" t="s">
        <v>919</v>
      </c>
      <c r="B18" t="s">
        <v>920</v>
      </c>
      <c r="C18" t="s">
        <v>921</v>
      </c>
      <c r="D18" t="s">
        <v>925</v>
      </c>
      <c r="E18" t="s">
        <v>1719</v>
      </c>
      <c r="F18" t="s">
        <v>923</v>
      </c>
    </row>
    <row r="19" spans="1:9" x14ac:dyDescent="0.3">
      <c r="A19" t="s">
        <v>934</v>
      </c>
      <c r="B19" t="s">
        <v>935</v>
      </c>
      <c r="C19" t="s">
        <v>936</v>
      </c>
      <c r="D19" t="s">
        <v>939</v>
      </c>
      <c r="E19" t="s">
        <v>1718</v>
      </c>
      <c r="F19" t="s">
        <v>522</v>
      </c>
      <c r="G19">
        <v>20000</v>
      </c>
      <c r="H19">
        <v>15000</v>
      </c>
      <c r="I19">
        <v>15000</v>
      </c>
    </row>
    <row r="20" spans="1:9" x14ac:dyDescent="0.3">
      <c r="A20" t="s">
        <v>948</v>
      </c>
      <c r="B20" t="s">
        <v>949</v>
      </c>
      <c r="C20" t="s">
        <v>950</v>
      </c>
      <c r="D20" t="s">
        <v>135</v>
      </c>
      <c r="E20" t="s">
        <v>118</v>
      </c>
      <c r="F20" t="s">
        <v>771</v>
      </c>
      <c r="G20">
        <v>20000</v>
      </c>
      <c r="H20">
        <v>15000</v>
      </c>
      <c r="I20">
        <v>15000</v>
      </c>
    </row>
    <row r="21" spans="1:9" x14ac:dyDescent="0.3">
      <c r="A21" t="s">
        <v>957</v>
      </c>
      <c r="B21" t="s">
        <v>958</v>
      </c>
      <c r="C21" t="s">
        <v>959</v>
      </c>
      <c r="D21" t="s">
        <v>123</v>
      </c>
      <c r="E21" t="s">
        <v>118</v>
      </c>
      <c r="F21" t="s">
        <v>112</v>
      </c>
      <c r="G21">
        <v>20000</v>
      </c>
      <c r="H21">
        <v>16500</v>
      </c>
    </row>
    <row r="22" spans="1:9" x14ac:dyDescent="0.3">
      <c r="A22" t="s">
        <v>1554</v>
      </c>
      <c r="B22" t="s">
        <v>973</v>
      </c>
      <c r="C22" t="s">
        <v>974</v>
      </c>
      <c r="D22" t="s">
        <v>135</v>
      </c>
      <c r="E22" t="s">
        <v>118</v>
      </c>
      <c r="F22" t="s">
        <v>771</v>
      </c>
      <c r="G22">
        <v>20000</v>
      </c>
      <c r="H22">
        <v>15000</v>
      </c>
      <c r="I22">
        <v>15000</v>
      </c>
    </row>
    <row r="23" spans="1:9" x14ac:dyDescent="0.3">
      <c r="A23" t="s">
        <v>563</v>
      </c>
      <c r="B23" t="s">
        <v>562</v>
      </c>
      <c r="C23" t="s">
        <v>564</v>
      </c>
      <c r="D23" t="s">
        <v>123</v>
      </c>
      <c r="E23" t="s">
        <v>118</v>
      </c>
      <c r="F23" t="s">
        <v>112</v>
      </c>
      <c r="G23">
        <v>20000</v>
      </c>
      <c r="H23">
        <v>16500</v>
      </c>
    </row>
    <row r="24" spans="1:9" x14ac:dyDescent="0.3">
      <c r="A24" t="s">
        <v>3242</v>
      </c>
      <c r="B24" t="s">
        <v>990</v>
      </c>
      <c r="C24" t="s">
        <v>991</v>
      </c>
      <c r="D24" t="s">
        <v>123</v>
      </c>
      <c r="E24" t="s">
        <v>118</v>
      </c>
      <c r="F24" t="s">
        <v>771</v>
      </c>
      <c r="G24">
        <v>20000</v>
      </c>
      <c r="H24">
        <v>16500</v>
      </c>
    </row>
    <row r="25" spans="1:9" x14ac:dyDescent="0.3">
      <c r="A25" t="s">
        <v>1555</v>
      </c>
      <c r="B25" t="s">
        <v>998</v>
      </c>
      <c r="C25" t="s">
        <v>999</v>
      </c>
      <c r="D25" t="s">
        <v>1003</v>
      </c>
      <c r="E25" t="s">
        <v>1004</v>
      </c>
      <c r="F25" t="s">
        <v>1001</v>
      </c>
      <c r="G25">
        <v>20000</v>
      </c>
      <c r="H25">
        <v>15000</v>
      </c>
      <c r="I25">
        <v>15000</v>
      </c>
    </row>
    <row r="26" spans="1:9" x14ac:dyDescent="0.3">
      <c r="A26" t="s">
        <v>1556</v>
      </c>
      <c r="B26" t="s">
        <v>1012</v>
      </c>
      <c r="C26" t="s">
        <v>1013</v>
      </c>
      <c r="D26" t="s">
        <v>1003</v>
      </c>
      <c r="E26" t="s">
        <v>1004</v>
      </c>
      <c r="F26" t="s">
        <v>1039</v>
      </c>
      <c r="G26">
        <v>20000</v>
      </c>
      <c r="H26">
        <v>15000</v>
      </c>
      <c r="I26">
        <v>15000</v>
      </c>
    </row>
    <row r="27" spans="1:9" x14ac:dyDescent="0.3">
      <c r="A27" t="s">
        <v>1022</v>
      </c>
      <c r="B27" t="s">
        <v>1023</v>
      </c>
      <c r="C27" t="s">
        <v>1024</v>
      </c>
      <c r="D27" t="s">
        <v>113</v>
      </c>
      <c r="E27" t="s">
        <v>1890</v>
      </c>
      <c r="F27" t="s">
        <v>112</v>
      </c>
      <c r="G27">
        <v>20000</v>
      </c>
      <c r="H27">
        <v>15000</v>
      </c>
      <c r="I27">
        <v>15000</v>
      </c>
    </row>
    <row r="28" spans="1:9" x14ac:dyDescent="0.3">
      <c r="A28" t="s">
        <v>1053</v>
      </c>
      <c r="B28" t="s">
        <v>1054</v>
      </c>
      <c r="C28" t="s">
        <v>1055</v>
      </c>
      <c r="D28" t="s">
        <v>135</v>
      </c>
      <c r="E28" t="s">
        <v>118</v>
      </c>
      <c r="F28" t="s">
        <v>118</v>
      </c>
      <c r="G28">
        <v>20000</v>
      </c>
      <c r="H28">
        <v>15000</v>
      </c>
      <c r="I28">
        <v>15000</v>
      </c>
    </row>
    <row r="29" spans="1:9" x14ac:dyDescent="0.3">
      <c r="A29" t="s">
        <v>1065</v>
      </c>
      <c r="B29" t="s">
        <v>1066</v>
      </c>
      <c r="C29" t="s">
        <v>1067</v>
      </c>
      <c r="D29" t="s">
        <v>1003</v>
      </c>
      <c r="E29" t="s">
        <v>1004</v>
      </c>
      <c r="F29" t="s">
        <v>1039</v>
      </c>
      <c r="G29">
        <v>20000</v>
      </c>
      <c r="H29">
        <v>15000</v>
      </c>
      <c r="I29">
        <v>15000</v>
      </c>
    </row>
    <row r="30" spans="1:9" x14ac:dyDescent="0.3">
      <c r="A30" t="s">
        <v>1072</v>
      </c>
      <c r="B30" t="s">
        <v>1073</v>
      </c>
      <c r="C30" t="s">
        <v>1074</v>
      </c>
      <c r="D30" t="s">
        <v>226</v>
      </c>
      <c r="E30" t="s">
        <v>111</v>
      </c>
      <c r="F30" t="s">
        <v>1553</v>
      </c>
      <c r="G30">
        <v>20000</v>
      </c>
      <c r="H30">
        <v>15000</v>
      </c>
      <c r="I30">
        <v>15000</v>
      </c>
    </row>
    <row r="31" spans="1:9" x14ac:dyDescent="0.3">
      <c r="A31" t="s">
        <v>1082</v>
      </c>
      <c r="B31" t="s">
        <v>1083</v>
      </c>
      <c r="C31" t="s">
        <v>1084</v>
      </c>
      <c r="D31" t="s">
        <v>226</v>
      </c>
      <c r="E31" t="s">
        <v>111</v>
      </c>
      <c r="F31" t="s">
        <v>1086</v>
      </c>
      <c r="G31">
        <v>20000</v>
      </c>
      <c r="H31">
        <v>15000</v>
      </c>
      <c r="I31">
        <v>15000</v>
      </c>
    </row>
    <row r="32" spans="1:9" x14ac:dyDescent="0.3">
      <c r="A32" t="s">
        <v>1097</v>
      </c>
      <c r="B32" t="s">
        <v>2861</v>
      </c>
      <c r="C32" t="s">
        <v>1099</v>
      </c>
      <c r="D32" t="s">
        <v>1003</v>
      </c>
      <c r="E32" t="s">
        <v>1004</v>
      </c>
      <c r="F32" t="s">
        <v>1039</v>
      </c>
    </row>
    <row r="33" spans="1:9" x14ac:dyDescent="0.3">
      <c r="A33" t="s">
        <v>1109</v>
      </c>
      <c r="B33" t="s">
        <v>1110</v>
      </c>
      <c r="C33" t="s">
        <v>1111</v>
      </c>
      <c r="D33" t="s">
        <v>123</v>
      </c>
      <c r="E33" t="s">
        <v>118</v>
      </c>
      <c r="F33" t="s">
        <v>118</v>
      </c>
      <c r="G33">
        <v>20000</v>
      </c>
      <c r="H33">
        <v>16500</v>
      </c>
    </row>
    <row r="34" spans="1:9" x14ac:dyDescent="0.3">
      <c r="A34" t="s">
        <v>1120</v>
      </c>
      <c r="B34" t="s">
        <v>1121</v>
      </c>
      <c r="C34" t="s">
        <v>1122</v>
      </c>
      <c r="D34" t="s">
        <v>1125</v>
      </c>
      <c r="E34" t="s">
        <v>118</v>
      </c>
      <c r="F34" t="s">
        <v>771</v>
      </c>
      <c r="G34">
        <v>20000</v>
      </c>
      <c r="H34">
        <v>15000</v>
      </c>
      <c r="I34">
        <v>15000</v>
      </c>
    </row>
    <row r="35" spans="1:9" x14ac:dyDescent="0.3">
      <c r="A35" t="s">
        <v>1132</v>
      </c>
      <c r="B35" t="s">
        <v>1133</v>
      </c>
      <c r="C35" t="s">
        <v>1134</v>
      </c>
      <c r="D35" t="s">
        <v>123</v>
      </c>
      <c r="E35" t="s">
        <v>118</v>
      </c>
      <c r="F35" t="s">
        <v>466</v>
      </c>
      <c r="G35">
        <v>20000</v>
      </c>
      <c r="H35">
        <v>16500</v>
      </c>
    </row>
    <row r="36" spans="1:9" x14ac:dyDescent="0.3">
      <c r="A36" t="s">
        <v>1141</v>
      </c>
      <c r="B36" t="s">
        <v>1142</v>
      </c>
      <c r="C36" t="s">
        <v>1143</v>
      </c>
      <c r="D36" t="s">
        <v>1125</v>
      </c>
      <c r="E36" t="s">
        <v>118</v>
      </c>
      <c r="F36" t="s">
        <v>118</v>
      </c>
      <c r="G36">
        <v>20000</v>
      </c>
      <c r="H36">
        <v>15000</v>
      </c>
      <c r="I36">
        <v>15000</v>
      </c>
    </row>
    <row r="37" spans="1:9" x14ac:dyDescent="0.3">
      <c r="A37" t="s">
        <v>1151</v>
      </c>
      <c r="B37" t="s">
        <v>1152</v>
      </c>
      <c r="C37" t="s">
        <v>1153</v>
      </c>
      <c r="D37" t="s">
        <v>123</v>
      </c>
      <c r="E37" t="s">
        <v>118</v>
      </c>
      <c r="F37" t="s">
        <v>118</v>
      </c>
      <c r="G37">
        <v>20000</v>
      </c>
      <c r="H37">
        <v>16500</v>
      </c>
    </row>
    <row r="38" spans="1:9" x14ac:dyDescent="0.3">
      <c r="A38" t="s">
        <v>1163</v>
      </c>
      <c r="B38" t="s">
        <v>1164</v>
      </c>
      <c r="C38" t="s">
        <v>1165</v>
      </c>
      <c r="D38" t="s">
        <v>123</v>
      </c>
      <c r="E38" t="s">
        <v>118</v>
      </c>
      <c r="F38" t="s">
        <v>466</v>
      </c>
      <c r="G38">
        <v>20000</v>
      </c>
      <c r="H38">
        <v>16500</v>
      </c>
    </row>
    <row r="39" spans="1:9" x14ac:dyDescent="0.3">
      <c r="A39" t="s">
        <v>1176</v>
      </c>
      <c r="B39" t="s">
        <v>1177</v>
      </c>
      <c r="C39" t="s">
        <v>1178</v>
      </c>
      <c r="D39" t="s">
        <v>123</v>
      </c>
      <c r="E39" t="s">
        <v>118</v>
      </c>
      <c r="F39" t="s">
        <v>466</v>
      </c>
      <c r="G39">
        <v>20000</v>
      </c>
      <c r="H39">
        <v>16500</v>
      </c>
    </row>
    <row r="40" spans="1:9" x14ac:dyDescent="0.3">
      <c r="A40" t="s">
        <v>1557</v>
      </c>
      <c r="B40" t="s">
        <v>1186</v>
      </c>
      <c r="C40" t="s">
        <v>1187</v>
      </c>
      <c r="D40" t="s">
        <v>1003</v>
      </c>
      <c r="E40" t="s">
        <v>1004</v>
      </c>
      <c r="F40" t="s">
        <v>1039</v>
      </c>
      <c r="G40">
        <v>20000</v>
      </c>
      <c r="H40">
        <v>15000</v>
      </c>
      <c r="I40">
        <v>15000</v>
      </c>
    </row>
    <row r="41" spans="1:9" x14ac:dyDescent="0.3">
      <c r="A41" t="s">
        <v>1194</v>
      </c>
      <c r="B41" t="s">
        <v>1195</v>
      </c>
      <c r="C41" t="s">
        <v>1196</v>
      </c>
      <c r="D41" t="s">
        <v>123</v>
      </c>
      <c r="E41" t="s">
        <v>118</v>
      </c>
      <c r="F41" t="s">
        <v>771</v>
      </c>
      <c r="G41">
        <v>20000</v>
      </c>
      <c r="H41">
        <v>16500</v>
      </c>
    </row>
    <row r="42" spans="1:9" x14ac:dyDescent="0.3">
      <c r="A42" t="s">
        <v>1204</v>
      </c>
      <c r="B42" t="s">
        <v>1205</v>
      </c>
      <c r="C42" t="s">
        <v>1206</v>
      </c>
      <c r="D42" t="s">
        <v>123</v>
      </c>
      <c r="E42" t="s">
        <v>118</v>
      </c>
      <c r="F42" t="s">
        <v>118</v>
      </c>
      <c r="G42">
        <v>20000</v>
      </c>
      <c r="H42">
        <v>16500</v>
      </c>
    </row>
    <row r="43" spans="1:9" x14ac:dyDescent="0.3">
      <c r="A43" t="s">
        <v>1215</v>
      </c>
      <c r="B43" t="s">
        <v>1216</v>
      </c>
      <c r="C43" t="s">
        <v>1217</v>
      </c>
      <c r="D43" t="s">
        <v>123</v>
      </c>
      <c r="E43" t="s">
        <v>118</v>
      </c>
      <c r="F43" t="s">
        <v>118</v>
      </c>
      <c r="G43">
        <v>20000</v>
      </c>
      <c r="H43">
        <v>16500</v>
      </c>
    </row>
    <row r="44" spans="1:9" x14ac:dyDescent="0.3">
      <c r="A44" t="s">
        <v>1224</v>
      </c>
      <c r="B44" t="s">
        <v>1225</v>
      </c>
      <c r="C44" t="s">
        <v>1226</v>
      </c>
      <c r="D44" t="s">
        <v>123</v>
      </c>
      <c r="E44" t="s">
        <v>118</v>
      </c>
      <c r="F44" t="s">
        <v>771</v>
      </c>
    </row>
    <row r="45" spans="1:9" x14ac:dyDescent="0.3">
      <c r="A45" t="s">
        <v>1558</v>
      </c>
      <c r="B45" t="s">
        <v>1238</v>
      </c>
      <c r="C45" t="s">
        <v>1239</v>
      </c>
      <c r="D45" t="s">
        <v>123</v>
      </c>
      <c r="E45" t="s">
        <v>118</v>
      </c>
      <c r="F45" t="s">
        <v>118</v>
      </c>
      <c r="G45">
        <v>20000</v>
      </c>
      <c r="H45">
        <v>16500</v>
      </c>
    </row>
    <row r="46" spans="1:9" x14ac:dyDescent="0.3">
      <c r="A46" t="s">
        <v>1248</v>
      </c>
      <c r="B46" t="s">
        <v>1249</v>
      </c>
      <c r="C46" t="s">
        <v>1250</v>
      </c>
      <c r="D46" t="s">
        <v>1253</v>
      </c>
      <c r="E46" t="s">
        <v>105</v>
      </c>
      <c r="F46" t="s">
        <v>148</v>
      </c>
      <c r="G46">
        <v>20000</v>
      </c>
      <c r="H46">
        <v>15000</v>
      </c>
      <c r="I46">
        <v>15000</v>
      </c>
    </row>
    <row r="47" spans="1:9" x14ac:dyDescent="0.3">
      <c r="A47" t="s">
        <v>1257</v>
      </c>
      <c r="B47" t="s">
        <v>1258</v>
      </c>
      <c r="C47" t="s">
        <v>1259</v>
      </c>
      <c r="D47" t="s">
        <v>1253</v>
      </c>
      <c r="E47" t="s">
        <v>105</v>
      </c>
      <c r="F47" t="s">
        <v>771</v>
      </c>
      <c r="G47">
        <v>20000</v>
      </c>
      <c r="H47">
        <v>16500</v>
      </c>
    </row>
    <row r="48" spans="1:9" x14ac:dyDescent="0.3">
      <c r="A48" t="s">
        <v>1264</v>
      </c>
      <c r="B48" t="s">
        <v>1265</v>
      </c>
      <c r="C48" t="s">
        <v>1266</v>
      </c>
      <c r="D48" t="s">
        <v>226</v>
      </c>
      <c r="E48" t="s">
        <v>111</v>
      </c>
      <c r="F48" t="s">
        <v>1553</v>
      </c>
      <c r="G48">
        <v>20000</v>
      </c>
      <c r="H48">
        <v>15000</v>
      </c>
      <c r="I48">
        <v>15000</v>
      </c>
    </row>
    <row r="49" spans="1:9" x14ac:dyDescent="0.3">
      <c r="A49" t="s">
        <v>1276</v>
      </c>
      <c r="B49" t="s">
        <v>1277</v>
      </c>
      <c r="C49" t="s">
        <v>1278</v>
      </c>
      <c r="D49" t="s">
        <v>162</v>
      </c>
      <c r="E49" t="s">
        <v>118</v>
      </c>
      <c r="F49" t="s">
        <v>118</v>
      </c>
      <c r="G49">
        <v>20000</v>
      </c>
      <c r="H49">
        <v>15000</v>
      </c>
      <c r="I49">
        <v>15000</v>
      </c>
    </row>
    <row r="50" spans="1:9" x14ac:dyDescent="0.3">
      <c r="A50" t="s">
        <v>1288</v>
      </c>
      <c r="B50" t="s">
        <v>1289</v>
      </c>
      <c r="C50" t="s">
        <v>1290</v>
      </c>
      <c r="D50" t="s">
        <v>1003</v>
      </c>
      <c r="E50" t="s">
        <v>1004</v>
      </c>
      <c r="F50" t="s">
        <v>1039</v>
      </c>
      <c r="G50">
        <v>20000</v>
      </c>
      <c r="H50">
        <v>15000</v>
      </c>
      <c r="I50">
        <v>15000</v>
      </c>
    </row>
    <row r="51" spans="1:9" x14ac:dyDescent="0.3">
      <c r="A51" t="s">
        <v>1295</v>
      </c>
      <c r="B51" t="s">
        <v>1296</v>
      </c>
      <c r="C51" t="s">
        <v>1297</v>
      </c>
      <c r="D51" t="s">
        <v>1300</v>
      </c>
      <c r="E51" t="s">
        <v>1890</v>
      </c>
      <c r="F51" t="s">
        <v>112</v>
      </c>
      <c r="G51">
        <v>20000</v>
      </c>
      <c r="H51">
        <v>15000</v>
      </c>
      <c r="I51">
        <v>15000</v>
      </c>
    </row>
    <row r="52" spans="1:9" x14ac:dyDescent="0.3">
      <c r="A52" t="s">
        <v>1306</v>
      </c>
      <c r="B52" t="s">
        <v>1307</v>
      </c>
      <c r="C52" t="s">
        <v>1308</v>
      </c>
      <c r="D52" t="s">
        <v>126</v>
      </c>
      <c r="E52" t="s">
        <v>116</v>
      </c>
      <c r="F52" t="s">
        <v>367</v>
      </c>
      <c r="G52">
        <v>20000</v>
      </c>
      <c r="H52">
        <v>16500</v>
      </c>
    </row>
    <row r="53" spans="1:9" x14ac:dyDescent="0.3">
      <c r="A53" t="s">
        <v>1316</v>
      </c>
      <c r="B53" t="s">
        <v>1317</v>
      </c>
      <c r="C53" t="s">
        <v>1318</v>
      </c>
      <c r="D53" t="s">
        <v>1003</v>
      </c>
      <c r="E53" t="s">
        <v>1004</v>
      </c>
      <c r="F53" t="s">
        <v>1039</v>
      </c>
      <c r="G53">
        <v>20000</v>
      </c>
      <c r="H53">
        <v>15000</v>
      </c>
      <c r="I53">
        <v>15000</v>
      </c>
    </row>
    <row r="54" spans="1:9" x14ac:dyDescent="0.3">
      <c r="A54" t="s">
        <v>1325</v>
      </c>
      <c r="B54" t="s">
        <v>1326</v>
      </c>
      <c r="C54" t="s">
        <v>1327</v>
      </c>
      <c r="D54" t="s">
        <v>123</v>
      </c>
      <c r="E54" t="s">
        <v>118</v>
      </c>
      <c r="F54" t="s">
        <v>118</v>
      </c>
      <c r="G54">
        <v>20000</v>
      </c>
      <c r="H54">
        <v>16500</v>
      </c>
    </row>
    <row r="55" spans="1:9" x14ac:dyDescent="0.3">
      <c r="A55" t="s">
        <v>1340</v>
      </c>
      <c r="B55" t="s">
        <v>1341</v>
      </c>
      <c r="C55" t="s">
        <v>1342</v>
      </c>
      <c r="D55" t="s">
        <v>3003</v>
      </c>
      <c r="E55" t="s">
        <v>1004</v>
      </c>
      <c r="F55" t="s">
        <v>124</v>
      </c>
      <c r="G55">
        <v>20000</v>
      </c>
      <c r="H55">
        <v>16500</v>
      </c>
    </row>
    <row r="56" spans="1:9" x14ac:dyDescent="0.3">
      <c r="A56" t="s">
        <v>1350</v>
      </c>
      <c r="B56" t="s">
        <v>1351</v>
      </c>
      <c r="C56" t="s">
        <v>1352</v>
      </c>
      <c r="D56" t="s">
        <v>126</v>
      </c>
      <c r="E56" t="s">
        <v>116</v>
      </c>
      <c r="F56" t="s">
        <v>367</v>
      </c>
      <c r="G56">
        <v>20000</v>
      </c>
      <c r="H56">
        <v>15000</v>
      </c>
      <c r="I56">
        <v>15000</v>
      </c>
    </row>
    <row r="57" spans="1:9" x14ac:dyDescent="0.3">
      <c r="A57" t="s">
        <v>1358</v>
      </c>
      <c r="B57" t="s">
        <v>1359</v>
      </c>
      <c r="C57" t="s">
        <v>1360</v>
      </c>
      <c r="D57" t="s">
        <v>1300</v>
      </c>
      <c r="E57" t="s">
        <v>1890</v>
      </c>
      <c r="F57" t="s">
        <v>112</v>
      </c>
    </row>
    <row r="58" spans="1:9" x14ac:dyDescent="0.3">
      <c r="A58" t="s">
        <v>1369</v>
      </c>
      <c r="B58" t="s">
        <v>1370</v>
      </c>
      <c r="C58" t="s">
        <v>1371</v>
      </c>
      <c r="D58" t="s">
        <v>3003</v>
      </c>
      <c r="E58" t="s">
        <v>1004</v>
      </c>
      <c r="F58" t="s">
        <v>124</v>
      </c>
      <c r="G58">
        <v>20000</v>
      </c>
      <c r="H58">
        <v>16500</v>
      </c>
    </row>
    <row r="59" spans="1:9" x14ac:dyDescent="0.3">
      <c r="A59" t="s">
        <v>1380</v>
      </c>
      <c r="B59" t="s">
        <v>1381</v>
      </c>
      <c r="C59" t="s">
        <v>1382</v>
      </c>
      <c r="D59" t="s">
        <v>1003</v>
      </c>
      <c r="E59" t="s">
        <v>1004</v>
      </c>
      <c r="F59" t="s">
        <v>1039</v>
      </c>
      <c r="G59">
        <v>20000</v>
      </c>
      <c r="H59">
        <v>15000</v>
      </c>
      <c r="I59">
        <v>15000</v>
      </c>
    </row>
    <row r="60" spans="1:9" x14ac:dyDescent="0.3">
      <c r="A60" t="s">
        <v>1389</v>
      </c>
      <c r="B60" t="s">
        <v>1390</v>
      </c>
      <c r="C60" t="s">
        <v>1391</v>
      </c>
      <c r="D60" t="s">
        <v>3003</v>
      </c>
      <c r="E60" t="s">
        <v>1004</v>
      </c>
      <c r="F60" t="s">
        <v>124</v>
      </c>
      <c r="G60">
        <v>20000</v>
      </c>
      <c r="H60">
        <v>16500</v>
      </c>
    </row>
    <row r="61" spans="1:9" x14ac:dyDescent="0.3">
      <c r="A61" t="s">
        <v>1396</v>
      </c>
      <c r="B61" t="s">
        <v>1397</v>
      </c>
      <c r="C61" t="s">
        <v>1398</v>
      </c>
      <c r="D61" t="s">
        <v>3003</v>
      </c>
      <c r="E61" t="s">
        <v>1004</v>
      </c>
      <c r="F61" t="s">
        <v>124</v>
      </c>
      <c r="G61">
        <v>20000</v>
      </c>
      <c r="H61">
        <v>16500</v>
      </c>
    </row>
    <row r="62" spans="1:9" x14ac:dyDescent="0.3">
      <c r="A62" t="s">
        <v>1415</v>
      </c>
      <c r="B62" t="s">
        <v>1416</v>
      </c>
      <c r="C62" t="s">
        <v>1417</v>
      </c>
      <c r="D62" t="s">
        <v>3003</v>
      </c>
      <c r="E62" t="s">
        <v>1004</v>
      </c>
      <c r="F62" t="s">
        <v>118</v>
      </c>
      <c r="G62">
        <v>20000</v>
      </c>
      <c r="H62">
        <v>16500</v>
      </c>
    </row>
    <row r="63" spans="1:9" x14ac:dyDescent="0.3">
      <c r="A63" t="s">
        <v>1425</v>
      </c>
      <c r="B63" t="s">
        <v>1426</v>
      </c>
      <c r="C63" t="s">
        <v>1427</v>
      </c>
      <c r="D63" t="s">
        <v>126</v>
      </c>
      <c r="E63" t="s">
        <v>116</v>
      </c>
      <c r="F63" t="s">
        <v>367</v>
      </c>
      <c r="G63">
        <v>20000</v>
      </c>
      <c r="H63">
        <v>16500</v>
      </c>
    </row>
    <row r="64" spans="1:9" x14ac:dyDescent="0.3">
      <c r="A64" t="s">
        <v>1438</v>
      </c>
      <c r="B64" t="s">
        <v>1439</v>
      </c>
      <c r="C64" t="s">
        <v>1440</v>
      </c>
      <c r="D64" t="s">
        <v>126</v>
      </c>
      <c r="E64" t="s">
        <v>116</v>
      </c>
      <c r="F64" t="s">
        <v>118</v>
      </c>
      <c r="G64">
        <v>20000</v>
      </c>
      <c r="H64">
        <v>16500</v>
      </c>
    </row>
    <row r="65" spans="1:9" x14ac:dyDescent="0.3">
      <c r="A65" t="s">
        <v>1463</v>
      </c>
      <c r="B65" t="s">
        <v>1464</v>
      </c>
      <c r="C65" t="s">
        <v>1465</v>
      </c>
      <c r="D65" t="s">
        <v>123</v>
      </c>
      <c r="E65" t="s">
        <v>118</v>
      </c>
      <c r="F65" t="s">
        <v>118</v>
      </c>
      <c r="G65">
        <v>20000</v>
      </c>
      <c r="H65">
        <v>16500</v>
      </c>
    </row>
    <row r="66" spans="1:9" x14ac:dyDescent="0.3">
      <c r="A66" t="s">
        <v>1471</v>
      </c>
      <c r="B66" t="s">
        <v>1472</v>
      </c>
      <c r="C66" t="s">
        <v>1473</v>
      </c>
      <c r="D66" t="s">
        <v>1476</v>
      </c>
      <c r="E66" t="s">
        <v>1004</v>
      </c>
      <c r="F66" t="s">
        <v>124</v>
      </c>
      <c r="G66">
        <v>20000</v>
      </c>
      <c r="H66">
        <v>15000</v>
      </c>
      <c r="I66">
        <v>15000</v>
      </c>
    </row>
    <row r="67" spans="1:9" x14ac:dyDescent="0.3">
      <c r="A67" t="s">
        <v>1482</v>
      </c>
      <c r="B67" t="s">
        <v>1483</v>
      </c>
      <c r="C67" t="s">
        <v>1484</v>
      </c>
      <c r="D67" t="s">
        <v>413</v>
      </c>
      <c r="E67" t="s">
        <v>105</v>
      </c>
      <c r="F67" t="s">
        <v>148</v>
      </c>
      <c r="G67">
        <v>20000</v>
      </c>
      <c r="H67">
        <v>15000</v>
      </c>
      <c r="I67">
        <v>15000</v>
      </c>
    </row>
    <row r="68" spans="1:9" x14ac:dyDescent="0.3">
      <c r="A68" t="s">
        <v>1490</v>
      </c>
      <c r="B68" t="s">
        <v>1491</v>
      </c>
      <c r="C68" t="s">
        <v>1492</v>
      </c>
      <c r="D68" t="s">
        <v>132</v>
      </c>
      <c r="E68" t="s">
        <v>1890</v>
      </c>
      <c r="F68" t="s">
        <v>112</v>
      </c>
      <c r="G68">
        <v>20000</v>
      </c>
      <c r="H68">
        <v>15000</v>
      </c>
      <c r="I68">
        <v>15000</v>
      </c>
    </row>
    <row r="69" spans="1:9" x14ac:dyDescent="0.3">
      <c r="A69" t="s">
        <v>1501</v>
      </c>
      <c r="B69" t="s">
        <v>1502</v>
      </c>
      <c r="C69" t="s">
        <v>1503</v>
      </c>
      <c r="D69" t="s">
        <v>109</v>
      </c>
      <c r="E69" t="s">
        <v>111</v>
      </c>
      <c r="F69" t="s">
        <v>1505</v>
      </c>
      <c r="G69">
        <v>20000</v>
      </c>
      <c r="H69">
        <v>15000</v>
      </c>
      <c r="I69">
        <v>15000</v>
      </c>
    </row>
    <row r="70" spans="1:9" x14ac:dyDescent="0.3">
      <c r="A70" t="s">
        <v>1559</v>
      </c>
      <c r="B70" t="s">
        <v>1514</v>
      </c>
      <c r="C70" t="s">
        <v>1515</v>
      </c>
      <c r="D70" t="s">
        <v>126</v>
      </c>
      <c r="E70" t="s">
        <v>116</v>
      </c>
      <c r="F70" t="s">
        <v>367</v>
      </c>
      <c r="G70">
        <v>20000</v>
      </c>
      <c r="H70">
        <v>15000</v>
      </c>
      <c r="I70">
        <v>15000</v>
      </c>
    </row>
    <row r="71" spans="1:9" x14ac:dyDescent="0.3">
      <c r="A71" t="s">
        <v>1521</v>
      </c>
      <c r="B71" t="s">
        <v>1522</v>
      </c>
      <c r="C71" t="s">
        <v>1523</v>
      </c>
      <c r="D71" t="s">
        <v>126</v>
      </c>
      <c r="E71" t="s">
        <v>116</v>
      </c>
      <c r="F71" t="s">
        <v>367</v>
      </c>
      <c r="G71">
        <v>20000</v>
      </c>
      <c r="H71">
        <v>15000</v>
      </c>
      <c r="I71">
        <v>15000</v>
      </c>
    </row>
    <row r="72" spans="1:9" x14ac:dyDescent="0.3">
      <c r="A72" t="s">
        <v>1531</v>
      </c>
      <c r="B72" t="s">
        <v>1532</v>
      </c>
      <c r="C72" t="s">
        <v>1533</v>
      </c>
      <c r="D72" t="s">
        <v>1536</v>
      </c>
      <c r="E72" t="s">
        <v>1719</v>
      </c>
      <c r="F72" t="s">
        <v>923</v>
      </c>
    </row>
    <row r="73" spans="1:9" x14ac:dyDescent="0.3">
      <c r="A73" t="s">
        <v>1542</v>
      </c>
      <c r="B73" t="s">
        <v>1543</v>
      </c>
      <c r="C73" t="s">
        <v>1544</v>
      </c>
      <c r="D73" t="s">
        <v>1300</v>
      </c>
      <c r="E73" t="s">
        <v>1890</v>
      </c>
      <c r="F73" t="s">
        <v>112</v>
      </c>
      <c r="G73">
        <v>20000</v>
      </c>
      <c r="H73">
        <v>16500</v>
      </c>
    </row>
    <row r="74" spans="1:9" x14ac:dyDescent="0.3">
      <c r="A74" t="s">
        <v>1611</v>
      </c>
      <c r="B74" t="s">
        <v>1612</v>
      </c>
      <c r="C74" t="s">
        <v>1613</v>
      </c>
      <c r="D74" t="s">
        <v>1253</v>
      </c>
      <c r="E74" t="s">
        <v>105</v>
      </c>
      <c r="F74" t="s">
        <v>118</v>
      </c>
      <c r="G74">
        <v>20000</v>
      </c>
      <c r="H74">
        <v>15000</v>
      </c>
      <c r="I74">
        <v>15000</v>
      </c>
    </row>
    <row r="75" spans="1:9" x14ac:dyDescent="0.3">
      <c r="A75" t="s">
        <v>1620</v>
      </c>
      <c r="B75" t="s">
        <v>1621</v>
      </c>
      <c r="C75" t="s">
        <v>1622</v>
      </c>
      <c r="D75" t="s">
        <v>745</v>
      </c>
      <c r="E75" t="s">
        <v>116</v>
      </c>
      <c r="F75" t="s">
        <v>367</v>
      </c>
      <c r="G75">
        <v>15000</v>
      </c>
    </row>
    <row r="76" spans="1:9" x14ac:dyDescent="0.3">
      <c r="A76" t="s">
        <v>1628</v>
      </c>
      <c r="B76" t="s">
        <v>1629</v>
      </c>
      <c r="C76" t="s">
        <v>1630</v>
      </c>
      <c r="D76" t="s">
        <v>1300</v>
      </c>
      <c r="E76" t="s">
        <v>1890</v>
      </c>
      <c r="F76" t="s">
        <v>771</v>
      </c>
      <c r="G76">
        <v>20000</v>
      </c>
      <c r="H76">
        <v>15000</v>
      </c>
      <c r="I76">
        <v>15000</v>
      </c>
    </row>
    <row r="77" spans="1:9" x14ac:dyDescent="0.3">
      <c r="A77" t="s">
        <v>1642</v>
      </c>
      <c r="B77" t="s">
        <v>1643</v>
      </c>
      <c r="C77" t="s">
        <v>1644</v>
      </c>
      <c r="D77" t="s">
        <v>386</v>
      </c>
      <c r="E77" t="s">
        <v>1890</v>
      </c>
      <c r="F77" t="s">
        <v>112</v>
      </c>
      <c r="G77">
        <v>20000</v>
      </c>
      <c r="H77">
        <v>15000</v>
      </c>
      <c r="I77">
        <v>15000</v>
      </c>
    </row>
    <row r="78" spans="1:9" x14ac:dyDescent="0.3">
      <c r="A78" t="s">
        <v>1745</v>
      </c>
      <c r="B78" t="s">
        <v>1746</v>
      </c>
      <c r="C78" t="s">
        <v>1747</v>
      </c>
      <c r="D78" t="s">
        <v>245</v>
      </c>
      <c r="E78" t="s">
        <v>111</v>
      </c>
      <c r="F78" t="s">
        <v>1749</v>
      </c>
      <c r="G78">
        <v>20000</v>
      </c>
    </row>
    <row r="79" spans="1:9" x14ac:dyDescent="0.3">
      <c r="A79" t="s">
        <v>1758</v>
      </c>
      <c r="B79" t="s">
        <v>1759</v>
      </c>
      <c r="C79" t="s">
        <v>1760</v>
      </c>
      <c r="D79" t="s">
        <v>113</v>
      </c>
      <c r="E79" t="s">
        <v>1890</v>
      </c>
      <c r="F79" t="s">
        <v>148</v>
      </c>
      <c r="G79">
        <v>20000</v>
      </c>
      <c r="H79">
        <v>15000</v>
      </c>
      <c r="I79">
        <v>15000</v>
      </c>
    </row>
    <row r="80" spans="1:9" x14ac:dyDescent="0.3">
      <c r="A80" t="s">
        <v>1771</v>
      </c>
      <c r="B80" t="s">
        <v>1772</v>
      </c>
      <c r="C80" t="s">
        <v>1773</v>
      </c>
      <c r="D80" t="s">
        <v>135</v>
      </c>
      <c r="E80" t="s">
        <v>118</v>
      </c>
      <c r="F80" t="s">
        <v>118</v>
      </c>
    </row>
    <row r="81" spans="1:9" x14ac:dyDescent="0.3">
      <c r="A81" t="s">
        <v>1780</v>
      </c>
      <c r="B81" t="s">
        <v>1781</v>
      </c>
      <c r="C81" t="s">
        <v>1782</v>
      </c>
      <c r="D81" t="s">
        <v>135</v>
      </c>
      <c r="E81" t="s">
        <v>118</v>
      </c>
      <c r="F81" t="s">
        <v>1553</v>
      </c>
      <c r="G81">
        <v>20000</v>
      </c>
      <c r="H81">
        <v>16500</v>
      </c>
    </row>
    <row r="82" spans="1:9" x14ac:dyDescent="0.3">
      <c r="A82" t="s">
        <v>1788</v>
      </c>
      <c r="B82" t="s">
        <v>1789</v>
      </c>
      <c r="C82" t="s">
        <v>1790</v>
      </c>
      <c r="D82" t="s">
        <v>311</v>
      </c>
      <c r="E82" t="s">
        <v>105</v>
      </c>
      <c r="F82" t="s">
        <v>118</v>
      </c>
    </row>
    <row r="83" spans="1:9" x14ac:dyDescent="0.3">
      <c r="A83" t="s">
        <v>1798</v>
      </c>
      <c r="B83" t="s">
        <v>1799</v>
      </c>
      <c r="C83" t="s">
        <v>1800</v>
      </c>
      <c r="D83" t="s">
        <v>114</v>
      </c>
      <c r="E83" t="s">
        <v>116</v>
      </c>
      <c r="F83" t="s">
        <v>367</v>
      </c>
      <c r="G83">
        <v>20000</v>
      </c>
      <c r="H83">
        <v>15000</v>
      </c>
      <c r="I83">
        <v>15000</v>
      </c>
    </row>
    <row r="84" spans="1:9" x14ac:dyDescent="0.3">
      <c r="A84" t="s">
        <v>1807</v>
      </c>
      <c r="B84" t="s">
        <v>1808</v>
      </c>
      <c r="C84" t="s">
        <v>1809</v>
      </c>
      <c r="D84" t="s">
        <v>162</v>
      </c>
      <c r="E84" t="s">
        <v>118</v>
      </c>
      <c r="F84" t="s">
        <v>118</v>
      </c>
      <c r="G84">
        <v>20000</v>
      </c>
      <c r="H84">
        <v>15000</v>
      </c>
      <c r="I84">
        <v>15000</v>
      </c>
    </row>
    <row r="85" spans="1:9" x14ac:dyDescent="0.3">
      <c r="A85" t="s">
        <v>1883</v>
      </c>
      <c r="B85" t="s">
        <v>1832</v>
      </c>
      <c r="C85" t="s">
        <v>1833</v>
      </c>
      <c r="D85" t="s">
        <v>226</v>
      </c>
      <c r="E85" t="s">
        <v>111</v>
      </c>
      <c r="F85" t="s">
        <v>328</v>
      </c>
      <c r="G85">
        <v>20000</v>
      </c>
      <c r="H85">
        <v>15000</v>
      </c>
      <c r="I85">
        <v>15000</v>
      </c>
    </row>
    <row r="86" spans="1:9" x14ac:dyDescent="0.3">
      <c r="A86" t="s">
        <v>1891</v>
      </c>
      <c r="B86" t="s">
        <v>1892</v>
      </c>
      <c r="C86" t="s">
        <v>1893</v>
      </c>
      <c r="D86" t="s">
        <v>132</v>
      </c>
      <c r="E86" t="s">
        <v>1890</v>
      </c>
      <c r="F86" t="s">
        <v>112</v>
      </c>
      <c r="G86">
        <v>20000</v>
      </c>
      <c r="H86">
        <v>15000</v>
      </c>
      <c r="I86">
        <v>15000</v>
      </c>
    </row>
    <row r="87" spans="1:9" x14ac:dyDescent="0.3">
      <c r="A87" t="s">
        <v>1900</v>
      </c>
      <c r="B87" t="s">
        <v>1901</v>
      </c>
      <c r="C87" t="s">
        <v>1902</v>
      </c>
      <c r="D87" t="s">
        <v>113</v>
      </c>
      <c r="E87" t="s">
        <v>1890</v>
      </c>
      <c r="F87" t="s">
        <v>148</v>
      </c>
      <c r="G87">
        <v>20000</v>
      </c>
      <c r="H87">
        <v>15000</v>
      </c>
      <c r="I87">
        <v>15000</v>
      </c>
    </row>
    <row r="88" spans="1:9" x14ac:dyDescent="0.3">
      <c r="A88" t="s">
        <v>1908</v>
      </c>
      <c r="B88" t="s">
        <v>1909</v>
      </c>
      <c r="C88" t="s">
        <v>1910</v>
      </c>
      <c r="D88" t="s">
        <v>1914</v>
      </c>
      <c r="E88" t="s">
        <v>111</v>
      </c>
      <c r="F88" t="s">
        <v>1912</v>
      </c>
      <c r="G88">
        <v>20000</v>
      </c>
      <c r="H88">
        <v>15000</v>
      </c>
      <c r="I88">
        <v>15000</v>
      </c>
    </row>
    <row r="89" spans="1:9" x14ac:dyDescent="0.3">
      <c r="A89" t="s">
        <v>1923</v>
      </c>
      <c r="B89" t="s">
        <v>1924</v>
      </c>
      <c r="C89" t="s">
        <v>1925</v>
      </c>
      <c r="D89" t="s">
        <v>1928</v>
      </c>
      <c r="E89" t="s">
        <v>1890</v>
      </c>
      <c r="F89" t="s">
        <v>112</v>
      </c>
      <c r="G89">
        <v>20000</v>
      </c>
      <c r="H89">
        <v>16500</v>
      </c>
    </row>
    <row r="90" spans="1:9" x14ac:dyDescent="0.3">
      <c r="A90" t="s">
        <v>1942</v>
      </c>
      <c r="B90" t="s">
        <v>1943</v>
      </c>
      <c r="C90" t="s">
        <v>1944</v>
      </c>
      <c r="D90" t="s">
        <v>1928</v>
      </c>
      <c r="E90" t="s">
        <v>1890</v>
      </c>
      <c r="F90" t="s">
        <v>112</v>
      </c>
      <c r="G90">
        <v>20000</v>
      </c>
      <c r="H90">
        <v>16500</v>
      </c>
    </row>
    <row r="91" spans="1:9" x14ac:dyDescent="0.3">
      <c r="A91" t="s">
        <v>1953</v>
      </c>
      <c r="B91" t="s">
        <v>1954</v>
      </c>
      <c r="C91" t="s">
        <v>1955</v>
      </c>
      <c r="D91" t="s">
        <v>3003</v>
      </c>
      <c r="E91" t="s">
        <v>1004</v>
      </c>
      <c r="F91" t="s">
        <v>124</v>
      </c>
      <c r="G91">
        <v>20000</v>
      </c>
      <c r="H91">
        <v>15000</v>
      </c>
      <c r="I91">
        <v>15000</v>
      </c>
    </row>
    <row r="92" spans="1:9" x14ac:dyDescent="0.3">
      <c r="A92" t="s">
        <v>1963</v>
      </c>
      <c r="B92" t="s">
        <v>1964</v>
      </c>
      <c r="C92" t="s">
        <v>1965</v>
      </c>
      <c r="D92" t="s">
        <v>113</v>
      </c>
      <c r="E92" t="s">
        <v>1890</v>
      </c>
      <c r="F92" t="s">
        <v>148</v>
      </c>
    </row>
    <row r="93" spans="1:9" x14ac:dyDescent="0.3">
      <c r="A93" t="s">
        <v>2054</v>
      </c>
      <c r="B93" t="s">
        <v>2055</v>
      </c>
      <c r="C93" t="s">
        <v>2056</v>
      </c>
      <c r="D93" t="s">
        <v>150</v>
      </c>
      <c r="E93" t="s">
        <v>1890</v>
      </c>
      <c r="F93" t="s">
        <v>112</v>
      </c>
      <c r="G93">
        <v>20000</v>
      </c>
      <c r="H93">
        <v>15000</v>
      </c>
      <c r="I93">
        <v>15000</v>
      </c>
    </row>
    <row r="94" spans="1:9" x14ac:dyDescent="0.3">
      <c r="A94" t="s">
        <v>2062</v>
      </c>
      <c r="B94" t="s">
        <v>2063</v>
      </c>
      <c r="C94" t="s">
        <v>2064</v>
      </c>
      <c r="D94" t="s">
        <v>150</v>
      </c>
      <c r="E94" t="s">
        <v>1890</v>
      </c>
      <c r="F94" t="s">
        <v>148</v>
      </c>
      <c r="G94">
        <v>20000</v>
      </c>
      <c r="H94">
        <v>15000</v>
      </c>
      <c r="I94">
        <v>15000</v>
      </c>
    </row>
    <row r="95" spans="1:9" x14ac:dyDescent="0.3">
      <c r="A95" t="s">
        <v>2077</v>
      </c>
      <c r="B95" t="s">
        <v>2078</v>
      </c>
      <c r="C95" t="s">
        <v>2079</v>
      </c>
      <c r="D95" t="s">
        <v>3003</v>
      </c>
      <c r="E95" t="s">
        <v>1004</v>
      </c>
      <c r="F95" t="s">
        <v>124</v>
      </c>
      <c r="G95">
        <v>20000</v>
      </c>
      <c r="H95">
        <v>15000</v>
      </c>
      <c r="I95">
        <v>15000</v>
      </c>
    </row>
    <row r="96" spans="1:9" x14ac:dyDescent="0.3">
      <c r="A96" t="s">
        <v>2087</v>
      </c>
      <c r="B96" t="s">
        <v>2088</v>
      </c>
      <c r="C96" t="s">
        <v>2089</v>
      </c>
      <c r="D96" t="s">
        <v>3003</v>
      </c>
      <c r="E96" t="s">
        <v>1004</v>
      </c>
      <c r="F96" t="s">
        <v>124</v>
      </c>
    </row>
    <row r="97" spans="1:9" x14ac:dyDescent="0.3">
      <c r="A97" t="s">
        <v>2095</v>
      </c>
      <c r="B97" t="s">
        <v>2096</v>
      </c>
      <c r="C97" t="s">
        <v>2097</v>
      </c>
      <c r="D97" t="s">
        <v>2101</v>
      </c>
      <c r="E97" t="s">
        <v>116</v>
      </c>
      <c r="F97" t="s">
        <v>2099</v>
      </c>
      <c r="G97">
        <v>20000</v>
      </c>
      <c r="H97">
        <v>15000</v>
      </c>
      <c r="I97">
        <v>15000</v>
      </c>
    </row>
    <row r="98" spans="1:9" x14ac:dyDescent="0.3">
      <c r="A98" t="s">
        <v>2106</v>
      </c>
      <c r="B98" t="s">
        <v>2107</v>
      </c>
      <c r="C98" t="s">
        <v>2108</v>
      </c>
      <c r="D98" t="s">
        <v>3003</v>
      </c>
      <c r="E98" t="s">
        <v>1004</v>
      </c>
      <c r="F98" t="s">
        <v>124</v>
      </c>
      <c r="G98">
        <v>20000</v>
      </c>
      <c r="H98">
        <v>16500</v>
      </c>
    </row>
    <row r="99" spans="1:9" x14ac:dyDescent="0.3">
      <c r="A99" t="s">
        <v>2114</v>
      </c>
      <c r="B99" t="s">
        <v>2115</v>
      </c>
      <c r="C99" t="s">
        <v>2116</v>
      </c>
      <c r="D99" t="s">
        <v>3003</v>
      </c>
      <c r="E99" t="s">
        <v>1004</v>
      </c>
      <c r="F99" t="s">
        <v>124</v>
      </c>
      <c r="G99">
        <v>20000</v>
      </c>
      <c r="H99">
        <v>15000</v>
      </c>
      <c r="I99">
        <v>15000</v>
      </c>
    </row>
    <row r="100" spans="1:9" x14ac:dyDescent="0.3">
      <c r="A100" t="s">
        <v>2127</v>
      </c>
      <c r="B100" t="s">
        <v>2128</v>
      </c>
      <c r="C100" t="s">
        <v>2129</v>
      </c>
      <c r="D100" t="s">
        <v>2132</v>
      </c>
      <c r="E100" t="s">
        <v>111</v>
      </c>
      <c r="F100" t="s">
        <v>328</v>
      </c>
      <c r="G100">
        <v>20000</v>
      </c>
      <c r="H100">
        <v>15000</v>
      </c>
      <c r="I100">
        <v>15000</v>
      </c>
    </row>
    <row r="101" spans="1:9" x14ac:dyDescent="0.3">
      <c r="A101" t="s">
        <v>2141</v>
      </c>
      <c r="B101" t="s">
        <v>2142</v>
      </c>
      <c r="C101" t="s">
        <v>2143</v>
      </c>
      <c r="D101" t="s">
        <v>1928</v>
      </c>
      <c r="E101" t="s">
        <v>1890</v>
      </c>
      <c r="F101" t="s">
        <v>112</v>
      </c>
      <c r="G101">
        <v>20000</v>
      </c>
      <c r="H101">
        <v>16500</v>
      </c>
    </row>
    <row r="102" spans="1:9" x14ac:dyDescent="0.3">
      <c r="A102" t="s">
        <v>1035</v>
      </c>
      <c r="B102" t="s">
        <v>1036</v>
      </c>
      <c r="C102" t="s">
        <v>1037</v>
      </c>
      <c r="D102" t="s">
        <v>1003</v>
      </c>
      <c r="E102" t="s">
        <v>1004</v>
      </c>
      <c r="F102" t="s">
        <v>1039</v>
      </c>
      <c r="G102">
        <v>20000</v>
      </c>
      <c r="H102">
        <v>15000</v>
      </c>
      <c r="I102">
        <v>15000</v>
      </c>
    </row>
    <row r="103" spans="1:9" x14ac:dyDescent="0.3">
      <c r="A103" t="s">
        <v>1045</v>
      </c>
      <c r="B103" t="s">
        <v>1046</v>
      </c>
      <c r="C103" t="s">
        <v>1047</v>
      </c>
      <c r="D103" t="s">
        <v>1003</v>
      </c>
      <c r="E103" t="s">
        <v>1004</v>
      </c>
      <c r="F103" t="s">
        <v>124</v>
      </c>
      <c r="G103">
        <v>20000</v>
      </c>
      <c r="H103">
        <v>15000</v>
      </c>
      <c r="I103">
        <v>15000</v>
      </c>
    </row>
    <row r="104" spans="1:9" x14ac:dyDescent="0.3">
      <c r="A104" t="s">
        <v>1406</v>
      </c>
      <c r="B104" t="s">
        <v>1407</v>
      </c>
      <c r="C104" t="s">
        <v>1408</v>
      </c>
      <c r="D104" t="s">
        <v>3003</v>
      </c>
      <c r="E104" t="s">
        <v>1004</v>
      </c>
      <c r="F104" t="s">
        <v>124</v>
      </c>
      <c r="G104">
        <v>20000</v>
      </c>
      <c r="H104">
        <v>16500</v>
      </c>
    </row>
    <row r="105" spans="1:9" x14ac:dyDescent="0.3">
      <c r="A105" t="s">
        <v>1451</v>
      </c>
      <c r="B105" t="s">
        <v>1452</v>
      </c>
      <c r="C105" t="s">
        <v>1453</v>
      </c>
      <c r="D105" t="s">
        <v>745</v>
      </c>
      <c r="E105" t="s">
        <v>116</v>
      </c>
      <c r="F105" t="s">
        <v>367</v>
      </c>
      <c r="G105">
        <v>20000</v>
      </c>
      <c r="H105">
        <v>15000</v>
      </c>
      <c r="I105">
        <v>15000</v>
      </c>
    </row>
    <row r="106" spans="1:9" x14ac:dyDescent="0.3">
      <c r="A106" t="s">
        <v>1602</v>
      </c>
      <c r="B106" t="s">
        <v>1603</v>
      </c>
      <c r="C106" t="s">
        <v>1604</v>
      </c>
      <c r="D106" t="s">
        <v>745</v>
      </c>
      <c r="E106" t="s">
        <v>116</v>
      </c>
      <c r="F106" t="s">
        <v>367</v>
      </c>
      <c r="G106">
        <v>20000</v>
      </c>
      <c r="H106">
        <v>15000</v>
      </c>
      <c r="I106">
        <v>15000</v>
      </c>
    </row>
    <row r="107" spans="1:9" x14ac:dyDescent="0.3">
      <c r="A107" t="s">
        <v>2018</v>
      </c>
      <c r="B107" t="s">
        <v>2019</v>
      </c>
      <c r="C107" t="s">
        <v>2020</v>
      </c>
      <c r="D107" t="s">
        <v>1928</v>
      </c>
      <c r="E107" t="s">
        <v>1890</v>
      </c>
      <c r="F107" t="s">
        <v>112</v>
      </c>
      <c r="G107">
        <v>6000</v>
      </c>
    </row>
    <row r="108" spans="1:9" x14ac:dyDescent="0.3">
      <c r="A108" t="s">
        <v>2178</v>
      </c>
      <c r="B108" t="s">
        <v>2179</v>
      </c>
      <c r="C108" t="s">
        <v>2180</v>
      </c>
      <c r="D108" t="s">
        <v>1125</v>
      </c>
      <c r="E108" t="s">
        <v>118</v>
      </c>
      <c r="F108" t="s">
        <v>148</v>
      </c>
      <c r="G108">
        <v>20000</v>
      </c>
      <c r="H108">
        <v>15000</v>
      </c>
      <c r="I108">
        <v>15000</v>
      </c>
    </row>
    <row r="109" spans="1:9" x14ac:dyDescent="0.3">
      <c r="A109" t="s">
        <v>2189</v>
      </c>
      <c r="B109" t="s">
        <v>2190</v>
      </c>
      <c r="C109" t="s">
        <v>2191</v>
      </c>
      <c r="D109" t="s">
        <v>1125</v>
      </c>
      <c r="E109" t="s">
        <v>118</v>
      </c>
      <c r="F109" t="s">
        <v>1553</v>
      </c>
      <c r="G109">
        <v>20000</v>
      </c>
      <c r="H109">
        <v>15000</v>
      </c>
      <c r="I109">
        <v>15000</v>
      </c>
    </row>
    <row r="110" spans="1:9" x14ac:dyDescent="0.3">
      <c r="A110" t="s">
        <v>2197</v>
      </c>
      <c r="B110" t="s">
        <v>2198</v>
      </c>
      <c r="C110" t="s">
        <v>2199</v>
      </c>
      <c r="D110" t="s">
        <v>132</v>
      </c>
      <c r="E110" t="s">
        <v>1890</v>
      </c>
      <c r="F110" t="s">
        <v>148</v>
      </c>
      <c r="G110">
        <v>20000</v>
      </c>
      <c r="H110">
        <v>15000</v>
      </c>
      <c r="I110">
        <v>15000</v>
      </c>
    </row>
    <row r="111" spans="1:9" x14ac:dyDescent="0.3">
      <c r="A111" t="s">
        <v>2204</v>
      </c>
      <c r="B111" t="s">
        <v>2205</v>
      </c>
      <c r="C111" t="s">
        <v>2206</v>
      </c>
      <c r="D111" t="s">
        <v>1125</v>
      </c>
      <c r="E111" t="s">
        <v>118</v>
      </c>
      <c r="F111" t="s">
        <v>148</v>
      </c>
      <c r="G111">
        <v>20000</v>
      </c>
      <c r="H111">
        <v>15000</v>
      </c>
      <c r="I111">
        <v>15000</v>
      </c>
    </row>
    <row r="112" spans="1:9" x14ac:dyDescent="0.3">
      <c r="A112" t="s">
        <v>2211</v>
      </c>
      <c r="B112" t="s">
        <v>2212</v>
      </c>
      <c r="C112" t="s">
        <v>2213</v>
      </c>
      <c r="D112" t="s">
        <v>132</v>
      </c>
      <c r="E112" t="s">
        <v>1890</v>
      </c>
      <c r="F112" t="s">
        <v>112</v>
      </c>
      <c r="G112">
        <v>20000</v>
      </c>
      <c r="H112">
        <v>15000</v>
      </c>
      <c r="I112">
        <v>15000</v>
      </c>
    </row>
    <row r="113" spans="1:9" x14ac:dyDescent="0.3">
      <c r="A113" t="s">
        <v>2219</v>
      </c>
      <c r="B113" t="s">
        <v>2220</v>
      </c>
      <c r="C113" t="s">
        <v>2221</v>
      </c>
      <c r="D113" t="s">
        <v>103</v>
      </c>
      <c r="E113" t="s">
        <v>105</v>
      </c>
      <c r="F113" t="s">
        <v>118</v>
      </c>
      <c r="G113">
        <v>20000</v>
      </c>
      <c r="H113">
        <v>15000</v>
      </c>
      <c r="I113">
        <v>15000</v>
      </c>
    </row>
    <row r="114" spans="1:9" x14ac:dyDescent="0.3">
      <c r="A114" t="s">
        <v>2227</v>
      </c>
      <c r="B114" t="s">
        <v>2228</v>
      </c>
      <c r="C114" t="s">
        <v>2229</v>
      </c>
      <c r="D114" t="s">
        <v>103</v>
      </c>
      <c r="E114" t="s">
        <v>105</v>
      </c>
      <c r="F114" t="s">
        <v>118</v>
      </c>
    </row>
    <row r="115" spans="1:9" x14ac:dyDescent="0.3">
      <c r="A115" t="s">
        <v>2237</v>
      </c>
      <c r="B115" t="s">
        <v>2238</v>
      </c>
      <c r="C115" t="s">
        <v>2239</v>
      </c>
      <c r="D115" t="s">
        <v>1928</v>
      </c>
      <c r="E115" t="s">
        <v>1890</v>
      </c>
      <c r="F115" t="s">
        <v>112</v>
      </c>
      <c r="G115">
        <v>20000</v>
      </c>
      <c r="H115">
        <v>15000</v>
      </c>
      <c r="I115">
        <v>15000</v>
      </c>
    </row>
    <row r="116" spans="1:9" x14ac:dyDescent="0.3">
      <c r="A116" t="s">
        <v>2248</v>
      </c>
      <c r="B116" t="s">
        <v>2249</v>
      </c>
      <c r="C116" t="s">
        <v>2250</v>
      </c>
      <c r="D116" t="s">
        <v>103</v>
      </c>
      <c r="E116" t="s">
        <v>105</v>
      </c>
      <c r="F116" t="s">
        <v>118</v>
      </c>
    </row>
    <row r="117" spans="1:9" x14ac:dyDescent="0.3">
      <c r="A117" t="s">
        <v>2258</v>
      </c>
      <c r="B117" t="s">
        <v>2259</v>
      </c>
      <c r="C117" t="s">
        <v>2260</v>
      </c>
      <c r="D117" t="s">
        <v>745</v>
      </c>
      <c r="E117" t="s">
        <v>116</v>
      </c>
      <c r="F117" t="s">
        <v>367</v>
      </c>
      <c r="G117">
        <v>20000</v>
      </c>
      <c r="H117">
        <v>15000</v>
      </c>
      <c r="I117">
        <v>15000</v>
      </c>
    </row>
    <row r="118" spans="1:9" x14ac:dyDescent="0.3">
      <c r="A118" t="s">
        <v>2267</v>
      </c>
      <c r="B118" t="s">
        <v>2268</v>
      </c>
      <c r="C118" t="s">
        <v>2269</v>
      </c>
      <c r="D118" t="s">
        <v>1125</v>
      </c>
      <c r="E118" t="s">
        <v>118</v>
      </c>
      <c r="F118" t="s">
        <v>148</v>
      </c>
      <c r="G118">
        <v>20000</v>
      </c>
      <c r="H118">
        <v>15000</v>
      </c>
      <c r="I118">
        <v>15000</v>
      </c>
    </row>
    <row r="119" spans="1:9" x14ac:dyDescent="0.3">
      <c r="A119" t="s">
        <v>2280</v>
      </c>
      <c r="B119" t="s">
        <v>2281</v>
      </c>
      <c r="C119" t="s">
        <v>2282</v>
      </c>
      <c r="D119" t="s">
        <v>745</v>
      </c>
      <c r="E119" t="s">
        <v>116</v>
      </c>
      <c r="F119" t="s">
        <v>367</v>
      </c>
      <c r="G119">
        <v>20000</v>
      </c>
      <c r="H119">
        <v>15000</v>
      </c>
      <c r="I119">
        <v>15000</v>
      </c>
    </row>
    <row r="120" spans="1:9" x14ac:dyDescent="0.3">
      <c r="A120" t="s">
        <v>2289</v>
      </c>
      <c r="B120" t="s">
        <v>2290</v>
      </c>
      <c r="C120" t="s">
        <v>2291</v>
      </c>
      <c r="D120" t="s">
        <v>2132</v>
      </c>
      <c r="E120" t="s">
        <v>111</v>
      </c>
      <c r="F120" t="s">
        <v>328</v>
      </c>
      <c r="G120">
        <v>20000</v>
      </c>
      <c r="H120">
        <v>15000</v>
      </c>
      <c r="I120">
        <v>15000</v>
      </c>
    </row>
    <row r="121" spans="1:9" x14ac:dyDescent="0.3">
      <c r="A121" t="s">
        <v>2935</v>
      </c>
      <c r="B121" t="s">
        <v>2298</v>
      </c>
      <c r="C121" t="s">
        <v>2299</v>
      </c>
      <c r="D121" t="s">
        <v>2132</v>
      </c>
      <c r="E121" t="s">
        <v>111</v>
      </c>
      <c r="F121" t="s">
        <v>118</v>
      </c>
      <c r="G121">
        <v>20000</v>
      </c>
      <c r="H121">
        <v>15000</v>
      </c>
      <c r="I121">
        <v>15000</v>
      </c>
    </row>
    <row r="122" spans="1:9" x14ac:dyDescent="0.3">
      <c r="A122" t="s">
        <v>2307</v>
      </c>
      <c r="B122" t="s">
        <v>2308</v>
      </c>
      <c r="C122" t="s">
        <v>2309</v>
      </c>
      <c r="D122" t="s">
        <v>745</v>
      </c>
      <c r="E122" t="s">
        <v>116</v>
      </c>
      <c r="F122" t="s">
        <v>367</v>
      </c>
      <c r="G122">
        <v>20000</v>
      </c>
      <c r="H122">
        <v>15000</v>
      </c>
      <c r="I122">
        <v>15000</v>
      </c>
    </row>
    <row r="123" spans="1:9" x14ac:dyDescent="0.3">
      <c r="A123" t="s">
        <v>2322</v>
      </c>
      <c r="B123" t="s">
        <v>2323</v>
      </c>
      <c r="C123" t="s">
        <v>2324</v>
      </c>
      <c r="D123" t="s">
        <v>3003</v>
      </c>
      <c r="E123" t="s">
        <v>1004</v>
      </c>
      <c r="F123" t="s">
        <v>118</v>
      </c>
      <c r="G123">
        <v>20000</v>
      </c>
      <c r="H123">
        <v>15000</v>
      </c>
      <c r="I123">
        <v>15000</v>
      </c>
    </row>
    <row r="124" spans="1:9" x14ac:dyDescent="0.3">
      <c r="A124" t="s">
        <v>2334</v>
      </c>
      <c r="B124" t="s">
        <v>2335</v>
      </c>
      <c r="C124" t="s">
        <v>2336</v>
      </c>
      <c r="D124" t="s">
        <v>1125</v>
      </c>
      <c r="E124" t="s">
        <v>118</v>
      </c>
      <c r="F124" t="s">
        <v>148</v>
      </c>
      <c r="G124">
        <v>20000</v>
      </c>
      <c r="H124">
        <v>15000</v>
      </c>
      <c r="I124">
        <v>15000</v>
      </c>
    </row>
    <row r="125" spans="1:9" x14ac:dyDescent="0.3">
      <c r="A125" t="s">
        <v>2346</v>
      </c>
      <c r="B125" t="s">
        <v>3031</v>
      </c>
      <c r="C125" t="s">
        <v>2347</v>
      </c>
      <c r="D125" t="s">
        <v>3003</v>
      </c>
      <c r="E125" t="s">
        <v>1004</v>
      </c>
      <c r="F125" t="s">
        <v>124</v>
      </c>
    </row>
    <row r="126" spans="1:9" x14ac:dyDescent="0.3">
      <c r="A126" t="s">
        <v>2355</v>
      </c>
      <c r="B126" t="s">
        <v>2356</v>
      </c>
      <c r="C126" t="s">
        <v>2357</v>
      </c>
      <c r="D126" t="s">
        <v>745</v>
      </c>
      <c r="E126" t="s">
        <v>116</v>
      </c>
      <c r="F126" t="s">
        <v>367</v>
      </c>
      <c r="G126">
        <v>20000</v>
      </c>
      <c r="H126">
        <v>15000</v>
      </c>
      <c r="I126">
        <v>15000</v>
      </c>
    </row>
    <row r="127" spans="1:9" x14ac:dyDescent="0.3">
      <c r="A127" t="s">
        <v>2369</v>
      </c>
      <c r="B127" t="s">
        <v>2370</v>
      </c>
      <c r="C127" t="s">
        <v>2371</v>
      </c>
      <c r="D127" t="s">
        <v>745</v>
      </c>
      <c r="E127" t="s">
        <v>116</v>
      </c>
      <c r="F127" t="s">
        <v>118</v>
      </c>
      <c r="G127">
        <v>20000</v>
      </c>
      <c r="H127">
        <v>15000</v>
      </c>
      <c r="I127">
        <v>15000</v>
      </c>
    </row>
    <row r="128" spans="1:9" x14ac:dyDescent="0.3">
      <c r="A128" t="s">
        <v>2380</v>
      </c>
      <c r="B128" t="s">
        <v>2381</v>
      </c>
      <c r="C128" t="s">
        <v>2382</v>
      </c>
      <c r="D128" t="s">
        <v>2386</v>
      </c>
      <c r="E128" t="s">
        <v>2387</v>
      </c>
      <c r="F128" t="s">
        <v>2384</v>
      </c>
      <c r="G128">
        <v>20000</v>
      </c>
      <c r="H128">
        <v>15000</v>
      </c>
      <c r="I128">
        <v>15000</v>
      </c>
    </row>
    <row r="129" spans="1:9" x14ac:dyDescent="0.3">
      <c r="A129" t="s">
        <v>2397</v>
      </c>
      <c r="B129" t="s">
        <v>2398</v>
      </c>
      <c r="C129" t="s">
        <v>2399</v>
      </c>
      <c r="D129" t="s">
        <v>1125</v>
      </c>
      <c r="E129" t="s">
        <v>118</v>
      </c>
      <c r="F129" t="s">
        <v>118</v>
      </c>
      <c r="G129">
        <v>20000</v>
      </c>
      <c r="H129">
        <v>15000</v>
      </c>
      <c r="I129">
        <v>15000</v>
      </c>
    </row>
    <row r="130" spans="1:9" x14ac:dyDescent="0.3">
      <c r="A130" t="s">
        <v>2605</v>
      </c>
      <c r="B130" t="s">
        <v>2606</v>
      </c>
      <c r="C130" t="s">
        <v>2607</v>
      </c>
      <c r="D130" t="s">
        <v>2132</v>
      </c>
      <c r="E130" t="s">
        <v>111</v>
      </c>
      <c r="F130" t="s">
        <v>328</v>
      </c>
      <c r="G130">
        <v>20000</v>
      </c>
      <c r="H130">
        <v>15000</v>
      </c>
      <c r="I130">
        <v>15000</v>
      </c>
    </row>
    <row r="131" spans="1:9" x14ac:dyDescent="0.3">
      <c r="A131" t="s">
        <v>2408</v>
      </c>
      <c r="B131" t="s">
        <v>2409</v>
      </c>
      <c r="C131" t="s">
        <v>2410</v>
      </c>
      <c r="D131" t="s">
        <v>1125</v>
      </c>
      <c r="E131" t="s">
        <v>118</v>
      </c>
      <c r="F131" t="s">
        <v>112</v>
      </c>
    </row>
    <row r="132" spans="1:9" x14ac:dyDescent="0.3">
      <c r="A132" t="s">
        <v>2639</v>
      </c>
      <c r="B132" t="s">
        <v>2640</v>
      </c>
      <c r="C132" t="s">
        <v>2641</v>
      </c>
      <c r="D132" t="s">
        <v>126</v>
      </c>
      <c r="E132" t="s">
        <v>116</v>
      </c>
      <c r="F132" t="s">
        <v>367</v>
      </c>
    </row>
    <row r="133" spans="1:9" x14ac:dyDescent="0.3">
      <c r="A133" t="s">
        <v>2651</v>
      </c>
      <c r="B133" t="s">
        <v>2652</v>
      </c>
      <c r="C133" t="s">
        <v>2653</v>
      </c>
      <c r="D133" t="s">
        <v>2657</v>
      </c>
      <c r="E133" t="s">
        <v>111</v>
      </c>
      <c r="F133" t="s">
        <v>2655</v>
      </c>
    </row>
    <row r="134" spans="1:9" x14ac:dyDescent="0.3">
      <c r="A134" t="s">
        <v>2416</v>
      </c>
      <c r="B134" t="s">
        <v>2417</v>
      </c>
      <c r="C134" t="s">
        <v>2990</v>
      </c>
      <c r="D134" t="s">
        <v>1125</v>
      </c>
      <c r="E134" t="s">
        <v>118</v>
      </c>
      <c r="F134" t="s">
        <v>1553</v>
      </c>
    </row>
    <row r="135" spans="1:9" x14ac:dyDescent="0.3">
      <c r="A135" t="s">
        <v>2430</v>
      </c>
      <c r="B135" t="s">
        <v>2431</v>
      </c>
      <c r="C135" t="s">
        <v>2432</v>
      </c>
      <c r="D135" t="s">
        <v>2132</v>
      </c>
      <c r="E135" t="s">
        <v>111</v>
      </c>
      <c r="F135" t="s">
        <v>1553</v>
      </c>
      <c r="G135">
        <v>20000</v>
      </c>
      <c r="H135">
        <v>15000</v>
      </c>
      <c r="I135">
        <v>15000</v>
      </c>
    </row>
    <row r="136" spans="1:9" x14ac:dyDescent="0.3">
      <c r="A136" t="s">
        <v>2439</v>
      </c>
      <c r="B136" t="s">
        <v>2440</v>
      </c>
      <c r="C136" t="s">
        <v>2441</v>
      </c>
      <c r="D136" t="s">
        <v>150</v>
      </c>
      <c r="E136" t="s">
        <v>1890</v>
      </c>
      <c r="F136" t="s">
        <v>112</v>
      </c>
      <c r="G136">
        <v>20000</v>
      </c>
      <c r="H136">
        <v>15000</v>
      </c>
      <c r="I136">
        <v>15000</v>
      </c>
    </row>
    <row r="137" spans="1:9" x14ac:dyDescent="0.3">
      <c r="A137" t="s">
        <v>2452</v>
      </c>
      <c r="B137" t="s">
        <v>2453</v>
      </c>
      <c r="C137" t="s">
        <v>2454</v>
      </c>
      <c r="D137" t="s">
        <v>2457</v>
      </c>
      <c r="E137" t="s">
        <v>1890</v>
      </c>
      <c r="F137" t="s">
        <v>112</v>
      </c>
      <c r="G137">
        <v>20000</v>
      </c>
      <c r="H137">
        <v>15000</v>
      </c>
      <c r="I137">
        <v>15000</v>
      </c>
    </row>
    <row r="138" spans="1:9" x14ac:dyDescent="0.3">
      <c r="A138" t="s">
        <v>2465</v>
      </c>
      <c r="B138" t="s">
        <v>2466</v>
      </c>
      <c r="C138" t="s">
        <v>2467</v>
      </c>
      <c r="D138" t="s">
        <v>150</v>
      </c>
      <c r="E138" t="s">
        <v>1890</v>
      </c>
      <c r="F138" t="s">
        <v>112</v>
      </c>
      <c r="G138">
        <v>20000</v>
      </c>
      <c r="H138">
        <v>15000</v>
      </c>
      <c r="I138">
        <v>15000</v>
      </c>
    </row>
    <row r="139" spans="1:9" x14ac:dyDescent="0.3">
      <c r="A139" t="s">
        <v>2473</v>
      </c>
      <c r="B139" t="s">
        <v>2474</v>
      </c>
      <c r="C139" t="s">
        <v>2475</v>
      </c>
      <c r="D139" t="s">
        <v>132</v>
      </c>
      <c r="E139" t="s">
        <v>1890</v>
      </c>
      <c r="F139" t="s">
        <v>118</v>
      </c>
      <c r="G139">
        <v>20000</v>
      </c>
      <c r="H139">
        <v>15000</v>
      </c>
      <c r="I139">
        <v>15000</v>
      </c>
    </row>
    <row r="140" spans="1:9" x14ac:dyDescent="0.3">
      <c r="A140" t="s">
        <v>2483</v>
      </c>
      <c r="B140" t="s">
        <v>2484</v>
      </c>
      <c r="C140" t="s">
        <v>2485</v>
      </c>
      <c r="D140" t="s">
        <v>235</v>
      </c>
      <c r="E140" t="s">
        <v>1004</v>
      </c>
      <c r="F140" t="s">
        <v>124</v>
      </c>
      <c r="G140">
        <v>20000</v>
      </c>
      <c r="H140">
        <v>15000</v>
      </c>
      <c r="I140">
        <v>15000</v>
      </c>
    </row>
    <row r="141" spans="1:9" x14ac:dyDescent="0.3">
      <c r="A141" t="s">
        <v>2494</v>
      </c>
      <c r="B141" t="s">
        <v>2495</v>
      </c>
      <c r="C141" t="s">
        <v>2496</v>
      </c>
      <c r="D141" t="s">
        <v>123</v>
      </c>
      <c r="E141" t="s">
        <v>118</v>
      </c>
      <c r="F141" t="s">
        <v>1553</v>
      </c>
    </row>
    <row r="142" spans="1:9" x14ac:dyDescent="0.3">
      <c r="A142" t="s">
        <v>2504</v>
      </c>
      <c r="B142" t="s">
        <v>2505</v>
      </c>
      <c r="C142" t="s">
        <v>2506</v>
      </c>
      <c r="D142" t="s">
        <v>245</v>
      </c>
      <c r="E142" t="s">
        <v>111</v>
      </c>
      <c r="F142" t="s">
        <v>1553</v>
      </c>
      <c r="G142">
        <v>20000</v>
      </c>
      <c r="H142">
        <v>15000</v>
      </c>
      <c r="I142">
        <v>15000</v>
      </c>
    </row>
    <row r="143" spans="1:9" x14ac:dyDescent="0.3">
      <c r="A143" t="s">
        <v>2513</v>
      </c>
      <c r="B143" t="s">
        <v>2514</v>
      </c>
      <c r="C143" t="s">
        <v>2515</v>
      </c>
      <c r="D143" t="s">
        <v>1125</v>
      </c>
      <c r="E143" t="s">
        <v>118</v>
      </c>
      <c r="F143" t="s">
        <v>112</v>
      </c>
      <c r="G143">
        <v>20000</v>
      </c>
      <c r="H143">
        <v>15000</v>
      </c>
      <c r="I143">
        <v>15000</v>
      </c>
    </row>
    <row r="144" spans="1:9" x14ac:dyDescent="0.3">
      <c r="A144" t="s">
        <v>2522</v>
      </c>
      <c r="B144" t="s">
        <v>2523</v>
      </c>
      <c r="C144" t="s">
        <v>2524</v>
      </c>
      <c r="D144" t="s">
        <v>150</v>
      </c>
      <c r="E144" t="s">
        <v>1890</v>
      </c>
      <c r="F144" t="s">
        <v>112</v>
      </c>
      <c r="G144">
        <v>20000</v>
      </c>
      <c r="H144">
        <v>15000</v>
      </c>
      <c r="I144">
        <v>15000</v>
      </c>
    </row>
    <row r="145" spans="1:9" x14ac:dyDescent="0.3">
      <c r="A145" t="s">
        <v>2720</v>
      </c>
      <c r="B145" t="s">
        <v>2530</v>
      </c>
      <c r="C145" t="s">
        <v>2531</v>
      </c>
      <c r="D145" t="s">
        <v>1125</v>
      </c>
      <c r="E145" t="s">
        <v>118</v>
      </c>
      <c r="F145" t="s">
        <v>118</v>
      </c>
      <c r="G145">
        <v>20000</v>
      </c>
      <c r="H145">
        <v>15000</v>
      </c>
      <c r="I145">
        <v>15000</v>
      </c>
    </row>
    <row r="146" spans="1:9" x14ac:dyDescent="0.3">
      <c r="A146" t="s">
        <v>2540</v>
      </c>
      <c r="B146" t="s">
        <v>2541</v>
      </c>
      <c r="C146" t="s">
        <v>2542</v>
      </c>
      <c r="D146" t="s">
        <v>1125</v>
      </c>
      <c r="E146" t="s">
        <v>118</v>
      </c>
      <c r="F146" t="s">
        <v>148</v>
      </c>
      <c r="G146">
        <v>20000</v>
      </c>
      <c r="H146">
        <v>15000</v>
      </c>
      <c r="I146">
        <v>15000</v>
      </c>
    </row>
    <row r="147" spans="1:9" x14ac:dyDescent="0.3">
      <c r="A147" t="s">
        <v>2618</v>
      </c>
      <c r="B147" t="s">
        <v>2619</v>
      </c>
      <c r="C147" t="s">
        <v>2620</v>
      </c>
      <c r="D147" t="s">
        <v>1125</v>
      </c>
      <c r="E147" t="s">
        <v>118</v>
      </c>
      <c r="F147" t="s">
        <v>1553</v>
      </c>
      <c r="G147">
        <v>20000</v>
      </c>
      <c r="H147">
        <v>15000</v>
      </c>
      <c r="I147">
        <v>15000</v>
      </c>
    </row>
    <row r="148" spans="1:9" x14ac:dyDescent="0.3">
      <c r="A148" t="s">
        <v>2591</v>
      </c>
      <c r="B148" t="s">
        <v>2592</v>
      </c>
      <c r="C148" t="s">
        <v>2593</v>
      </c>
      <c r="D148" t="s">
        <v>1300</v>
      </c>
      <c r="E148" t="s">
        <v>1890</v>
      </c>
      <c r="F148" t="s">
        <v>112</v>
      </c>
      <c r="G148">
        <v>20000</v>
      </c>
      <c r="H148">
        <v>15000</v>
      </c>
      <c r="I148">
        <v>15000</v>
      </c>
    </row>
    <row r="149" spans="1:9" x14ac:dyDescent="0.3">
      <c r="A149" t="s">
        <v>2707</v>
      </c>
      <c r="B149" t="s">
        <v>2708</v>
      </c>
      <c r="C149" t="s">
        <v>2709</v>
      </c>
      <c r="D149" t="s">
        <v>2712</v>
      </c>
      <c r="E149" t="s">
        <v>1004</v>
      </c>
      <c r="F149" t="s">
        <v>124</v>
      </c>
      <c r="G149">
        <v>20000</v>
      </c>
      <c r="H149">
        <v>15000</v>
      </c>
      <c r="I149">
        <v>15000</v>
      </c>
    </row>
    <row r="150" spans="1:9" x14ac:dyDescent="0.3">
      <c r="A150" t="s">
        <v>2627</v>
      </c>
      <c r="B150" t="s">
        <v>2628</v>
      </c>
      <c r="C150" t="s">
        <v>2629</v>
      </c>
      <c r="D150" t="s">
        <v>114</v>
      </c>
      <c r="E150" t="s">
        <v>116</v>
      </c>
      <c r="F150" t="s">
        <v>367</v>
      </c>
      <c r="G150">
        <v>20000</v>
      </c>
      <c r="H150">
        <v>15000</v>
      </c>
      <c r="I150">
        <v>15000</v>
      </c>
    </row>
    <row r="151" spans="1:9" x14ac:dyDescent="0.3">
      <c r="A151" t="s">
        <v>2561</v>
      </c>
      <c r="B151" t="s">
        <v>2562</v>
      </c>
      <c r="C151" t="s">
        <v>2563</v>
      </c>
      <c r="D151" t="s">
        <v>3003</v>
      </c>
      <c r="E151" t="s">
        <v>1004</v>
      </c>
      <c r="F151" t="s">
        <v>124</v>
      </c>
      <c r="G151">
        <v>20000</v>
      </c>
      <c r="H151">
        <v>15000</v>
      </c>
      <c r="I151">
        <v>15000</v>
      </c>
    </row>
    <row r="152" spans="1:9" x14ac:dyDescent="0.3">
      <c r="A152" t="s">
        <v>2569</v>
      </c>
      <c r="B152" t="s">
        <v>2570</v>
      </c>
      <c r="C152" t="s">
        <v>2571</v>
      </c>
      <c r="D152" t="s">
        <v>132</v>
      </c>
      <c r="E152" t="s">
        <v>1890</v>
      </c>
      <c r="F152" t="s">
        <v>112</v>
      </c>
      <c r="G152">
        <v>20000</v>
      </c>
      <c r="H152">
        <v>15000</v>
      </c>
      <c r="I152">
        <v>15000</v>
      </c>
    </row>
    <row r="153" spans="1:9" x14ac:dyDescent="0.3">
      <c r="A153" t="s">
        <v>2578</v>
      </c>
      <c r="B153" t="s">
        <v>2579</v>
      </c>
      <c r="C153" t="s">
        <v>2580</v>
      </c>
      <c r="D153" t="s">
        <v>132</v>
      </c>
      <c r="E153" t="s">
        <v>1890</v>
      </c>
      <c r="F153" t="s">
        <v>148</v>
      </c>
      <c r="G153">
        <v>20000</v>
      </c>
      <c r="H153">
        <v>15000</v>
      </c>
      <c r="I153">
        <v>15000</v>
      </c>
    </row>
    <row r="154" spans="1:9" x14ac:dyDescent="0.3">
      <c r="A154" t="s">
        <v>2730</v>
      </c>
      <c r="B154" t="s">
        <v>2731</v>
      </c>
      <c r="C154" t="s">
        <v>2732</v>
      </c>
      <c r="D154" t="s">
        <v>235</v>
      </c>
      <c r="E154" t="s">
        <v>1004</v>
      </c>
      <c r="F154" t="s">
        <v>124</v>
      </c>
      <c r="G154">
        <v>20000</v>
      </c>
      <c r="H154">
        <v>15000</v>
      </c>
      <c r="I154">
        <v>15000</v>
      </c>
    </row>
    <row r="155" spans="1:9" x14ac:dyDescent="0.3">
      <c r="A155" t="s">
        <v>2808</v>
      </c>
      <c r="B155" t="s">
        <v>2809</v>
      </c>
      <c r="C155" t="s">
        <v>2810</v>
      </c>
      <c r="D155" t="s">
        <v>2556</v>
      </c>
      <c r="E155" t="s">
        <v>1004</v>
      </c>
      <c r="F155" t="s">
        <v>124</v>
      </c>
      <c r="G155">
        <v>20000</v>
      </c>
      <c r="H155">
        <v>15000</v>
      </c>
      <c r="I155">
        <v>15000</v>
      </c>
    </row>
    <row r="156" spans="1:9" x14ac:dyDescent="0.3">
      <c r="A156" t="s">
        <v>2818</v>
      </c>
      <c r="B156" t="s">
        <v>2819</v>
      </c>
      <c r="C156" t="s">
        <v>2820</v>
      </c>
      <c r="D156" t="s">
        <v>2823</v>
      </c>
      <c r="E156" t="s">
        <v>1890</v>
      </c>
      <c r="F156" t="s">
        <v>148</v>
      </c>
    </row>
    <row r="157" spans="1:9" x14ac:dyDescent="0.3">
      <c r="A157" t="s">
        <v>2828</v>
      </c>
      <c r="B157" t="s">
        <v>2829</v>
      </c>
      <c r="C157" t="s">
        <v>2830</v>
      </c>
      <c r="D157" t="s">
        <v>123</v>
      </c>
      <c r="E157" t="s">
        <v>118</v>
      </c>
      <c r="F157" t="s">
        <v>118</v>
      </c>
      <c r="G157">
        <v>20000</v>
      </c>
      <c r="H157">
        <v>16500</v>
      </c>
    </row>
    <row r="158" spans="1:9" x14ac:dyDescent="0.3">
      <c r="A158" t="s">
        <v>2837</v>
      </c>
      <c r="B158" t="s">
        <v>2838</v>
      </c>
      <c r="C158" t="s">
        <v>2839</v>
      </c>
      <c r="D158" t="s">
        <v>135</v>
      </c>
      <c r="E158" t="s">
        <v>118</v>
      </c>
      <c r="F158" t="s">
        <v>1553</v>
      </c>
      <c r="G158">
        <v>20000</v>
      </c>
      <c r="H158">
        <v>16500</v>
      </c>
    </row>
    <row r="159" spans="1:9" x14ac:dyDescent="0.3">
      <c r="A159" t="s">
        <v>2862</v>
      </c>
      <c r="B159" t="s">
        <v>2863</v>
      </c>
      <c r="C159" t="s">
        <v>2864</v>
      </c>
      <c r="D159" t="s">
        <v>2712</v>
      </c>
      <c r="E159" t="s">
        <v>1004</v>
      </c>
      <c r="F159" t="s">
        <v>124</v>
      </c>
      <c r="G159">
        <v>20000</v>
      </c>
      <c r="H159">
        <v>15000</v>
      </c>
      <c r="I159">
        <v>15000</v>
      </c>
    </row>
    <row r="160" spans="1:9" x14ac:dyDescent="0.3">
      <c r="A160" t="s">
        <v>2936</v>
      </c>
      <c r="B160" t="s">
        <v>2937</v>
      </c>
      <c r="C160" t="s">
        <v>2938</v>
      </c>
      <c r="D160" t="s">
        <v>123</v>
      </c>
      <c r="E160" t="s">
        <v>118</v>
      </c>
      <c r="F160" t="s">
        <v>118</v>
      </c>
      <c r="G160">
        <v>20000</v>
      </c>
      <c r="H160">
        <v>16500</v>
      </c>
    </row>
    <row r="161" spans="1:9" x14ac:dyDescent="0.3">
      <c r="A161" t="s">
        <v>2991</v>
      </c>
      <c r="B161" t="s">
        <v>2992</v>
      </c>
      <c r="C161" t="s">
        <v>2993</v>
      </c>
      <c r="D161" t="s">
        <v>1300</v>
      </c>
      <c r="E161" t="s">
        <v>1890</v>
      </c>
      <c r="F161" t="s">
        <v>148</v>
      </c>
      <c r="G161">
        <v>20000</v>
      </c>
      <c r="H161">
        <v>15000</v>
      </c>
      <c r="I161">
        <v>15000</v>
      </c>
    </row>
    <row r="162" spans="1:9" x14ac:dyDescent="0.3">
      <c r="A162" t="s">
        <v>3005</v>
      </c>
      <c r="B162" t="s">
        <v>3006</v>
      </c>
      <c r="C162" t="s">
        <v>3007</v>
      </c>
      <c r="D162" t="s">
        <v>1300</v>
      </c>
      <c r="E162" t="s">
        <v>1890</v>
      </c>
      <c r="F162" t="s">
        <v>148</v>
      </c>
      <c r="G162">
        <v>20000</v>
      </c>
      <c r="H162">
        <v>15000</v>
      </c>
      <c r="I162">
        <v>15000</v>
      </c>
    </row>
    <row r="163" spans="1:9" x14ac:dyDescent="0.3">
      <c r="A163" t="s">
        <v>3018</v>
      </c>
      <c r="B163" t="s">
        <v>3019</v>
      </c>
      <c r="C163" t="s">
        <v>3020</v>
      </c>
      <c r="D163" t="s">
        <v>557</v>
      </c>
      <c r="E163" t="s">
        <v>116</v>
      </c>
      <c r="F163" t="s">
        <v>556</v>
      </c>
      <c r="G163">
        <v>20000</v>
      </c>
      <c r="H163">
        <v>15000</v>
      </c>
      <c r="I163">
        <v>15000</v>
      </c>
    </row>
    <row r="164" spans="1:9" x14ac:dyDescent="0.3">
      <c r="A164" t="s">
        <v>2740</v>
      </c>
      <c r="B164" t="s">
        <v>2741</v>
      </c>
      <c r="C164" t="s">
        <v>2742</v>
      </c>
      <c r="D164" t="s">
        <v>114</v>
      </c>
      <c r="E164" t="s">
        <v>116</v>
      </c>
      <c r="F164" t="s">
        <v>367</v>
      </c>
      <c r="G164">
        <v>20000</v>
      </c>
      <c r="H164">
        <v>16500</v>
      </c>
    </row>
    <row r="165" spans="1:9" x14ac:dyDescent="0.3">
      <c r="A165" t="s">
        <v>2969</v>
      </c>
      <c r="B165" t="s">
        <v>2970</v>
      </c>
      <c r="C165" t="s">
        <v>2971</v>
      </c>
      <c r="D165" t="s">
        <v>2665</v>
      </c>
      <c r="E165" t="s">
        <v>1890</v>
      </c>
      <c r="F165" t="s">
        <v>148</v>
      </c>
    </row>
    <row r="166" spans="1:9" x14ac:dyDescent="0.3">
      <c r="A166" t="s">
        <v>3043</v>
      </c>
      <c r="B166" t="s">
        <v>3044</v>
      </c>
      <c r="C166" t="s">
        <v>3045</v>
      </c>
      <c r="D166" t="s">
        <v>2665</v>
      </c>
      <c r="E166" t="s">
        <v>1890</v>
      </c>
      <c r="F166" t="s">
        <v>148</v>
      </c>
      <c r="G166">
        <v>20000</v>
      </c>
      <c r="H166">
        <v>15000</v>
      </c>
      <c r="I166">
        <v>15000</v>
      </c>
    </row>
    <row r="167" spans="1:9" x14ac:dyDescent="0.3">
      <c r="A167" t="s">
        <v>3232</v>
      </c>
      <c r="B167" t="s">
        <v>3233</v>
      </c>
      <c r="C167" t="s">
        <v>3234</v>
      </c>
      <c r="D167" t="s">
        <v>1914</v>
      </c>
      <c r="E167" t="s">
        <v>111</v>
      </c>
      <c r="F167" t="s">
        <v>1912</v>
      </c>
      <c r="G167">
        <v>20000</v>
      </c>
      <c r="H167">
        <v>15000</v>
      </c>
      <c r="I167">
        <v>15000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C8DF5-614A-4CEB-BF37-3BEFF6A80E44}">
  <sheetPr codeName="Hoja5"/>
  <dimension ref="A1:C207"/>
  <sheetViews>
    <sheetView workbookViewId="0">
      <selection activeCell="A207" sqref="A207"/>
    </sheetView>
  </sheetViews>
  <sheetFormatPr baseColWidth="10" defaultRowHeight="14.4" x14ac:dyDescent="0.3"/>
  <sheetData>
    <row r="1" spans="1:3" x14ac:dyDescent="0.3">
      <c r="A1" t="s">
        <v>180</v>
      </c>
      <c r="B1" t="s">
        <v>181</v>
      </c>
      <c r="C1" t="s">
        <v>269</v>
      </c>
    </row>
    <row r="2" spans="1:3" hidden="1" x14ac:dyDescent="0.3">
      <c r="A2" t="s">
        <v>2872</v>
      </c>
      <c r="B2" t="str">
        <f>VLOOKUP(T_RevisionRUT[[#This Row],[BBDD]],T_Voluntarios[],1,FALSE)</f>
        <v>17343653-K</v>
      </c>
      <c r="C2">
        <f>COUNTIF(T_RevisionRUT[BBDD],T_RevisionRUT[[#This Row],[BBDD]])</f>
        <v>1</v>
      </c>
    </row>
    <row r="3" spans="1:3" hidden="1" x14ac:dyDescent="0.3">
      <c r="A3" t="s">
        <v>445</v>
      </c>
      <c r="B3" t="str">
        <f>VLOOKUP(T_RevisionRUT[[#This Row],[BBDD]],T_Voluntarios[],1,FALSE)</f>
        <v>9040564-0</v>
      </c>
      <c r="C3">
        <f>COUNTIF(T_RevisionRUT[BBDD],T_RevisionRUT[[#This Row],[BBDD]])</f>
        <v>1</v>
      </c>
    </row>
    <row r="4" spans="1:3" hidden="1" x14ac:dyDescent="0.3">
      <c r="A4" t="s">
        <v>2881</v>
      </c>
      <c r="B4" t="str">
        <f>VLOOKUP(T_RevisionRUT[[#This Row],[BBDD]],T_Voluntarios[],1,FALSE)</f>
        <v>7836094-1</v>
      </c>
      <c r="C4">
        <f>COUNTIF(T_RevisionRUT[BBDD],T_RevisionRUT[[#This Row],[BBDD]])</f>
        <v>1</v>
      </c>
    </row>
    <row r="5" spans="1:3" hidden="1" x14ac:dyDescent="0.3">
      <c r="A5" t="s">
        <v>165</v>
      </c>
      <c r="B5" t="str">
        <f>VLOOKUP(T_RevisionRUT[[#This Row],[BBDD]],T_Voluntarios[],1,FALSE)</f>
        <v>12918155-9</v>
      </c>
      <c r="C5">
        <f>COUNTIF(T_RevisionRUT[BBDD],T_RevisionRUT[[#This Row],[BBDD]])</f>
        <v>1</v>
      </c>
    </row>
    <row r="6" spans="1:3" hidden="1" x14ac:dyDescent="0.3">
      <c r="A6" t="s">
        <v>2888</v>
      </c>
      <c r="B6" t="str">
        <f>VLOOKUP(T_RevisionRUT[[#This Row],[BBDD]],T_Voluntarios[],1,FALSE)</f>
        <v>17208784-1</v>
      </c>
      <c r="C6">
        <f>COUNTIF(T_RevisionRUT[BBDD],T_RevisionRUT[[#This Row],[BBDD]])</f>
        <v>1</v>
      </c>
    </row>
    <row r="7" spans="1:3" hidden="1" x14ac:dyDescent="0.3">
      <c r="A7" t="s">
        <v>722</v>
      </c>
      <c r="B7" t="str">
        <f>VLOOKUP(T_RevisionRUT[[#This Row],[BBDD]],T_Voluntarios[],1,FALSE)</f>
        <v>18799920-0</v>
      </c>
      <c r="C7">
        <f>COUNTIF(T_RevisionRUT[BBDD],T_RevisionRUT[[#This Row],[BBDD]])</f>
        <v>1</v>
      </c>
    </row>
    <row r="8" spans="1:3" hidden="1" x14ac:dyDescent="0.3">
      <c r="A8" t="s">
        <v>740</v>
      </c>
      <c r="B8" t="str">
        <f>VLOOKUP(T_RevisionRUT[[#This Row],[BBDD]],T_Voluntarios[],1,FALSE)</f>
        <v>20677699-4</v>
      </c>
      <c r="C8">
        <f>COUNTIF(T_RevisionRUT[BBDD],T_RevisionRUT[[#This Row],[BBDD]])</f>
        <v>1</v>
      </c>
    </row>
    <row r="9" spans="1:3" hidden="1" x14ac:dyDescent="0.3">
      <c r="A9" t="s">
        <v>756</v>
      </c>
      <c r="B9" t="str">
        <f>VLOOKUP(T_RevisionRUT[[#This Row],[BBDD]],T_Voluntarios[],1,FALSE)</f>
        <v>20958325-9</v>
      </c>
      <c r="C9">
        <f>COUNTIF(T_RevisionRUT[BBDD],T_RevisionRUT[[#This Row],[BBDD]])</f>
        <v>1</v>
      </c>
    </row>
    <row r="10" spans="1:3" hidden="1" x14ac:dyDescent="0.3">
      <c r="A10" t="s">
        <v>767</v>
      </c>
      <c r="B10" t="str">
        <f>VLOOKUP(T_RevisionRUT[[#This Row],[BBDD]],T_Voluntarios[],1,FALSE)</f>
        <v>20259006-3</v>
      </c>
      <c r="C10">
        <f>COUNTIF(T_RevisionRUT[BBDD],T_RevisionRUT[[#This Row],[BBDD]])</f>
        <v>1</v>
      </c>
    </row>
    <row r="11" spans="1:3" hidden="1" x14ac:dyDescent="0.3">
      <c r="A11" t="s">
        <v>781</v>
      </c>
      <c r="B11" t="str">
        <f>VLOOKUP(T_RevisionRUT[[#This Row],[BBDD]],T_Voluntarios[],1,FALSE)</f>
        <v>17199729-1</v>
      </c>
      <c r="C11">
        <f>COUNTIF(T_RevisionRUT[BBDD],T_RevisionRUT[[#This Row],[BBDD]])</f>
        <v>1</v>
      </c>
    </row>
    <row r="12" spans="1:3" hidden="1" x14ac:dyDescent="0.3">
      <c r="A12" t="s">
        <v>793</v>
      </c>
      <c r="B12" t="str">
        <f>VLOOKUP(T_RevisionRUT[[#This Row],[BBDD]],T_Voluntarios[],1,FALSE)</f>
        <v>21276054-4</v>
      </c>
      <c r="C12">
        <f>COUNTIF(T_RevisionRUT[BBDD],T_RevisionRUT[[#This Row],[BBDD]])</f>
        <v>1</v>
      </c>
    </row>
    <row r="13" spans="1:3" hidden="1" x14ac:dyDescent="0.3">
      <c r="A13" t="s">
        <v>803</v>
      </c>
      <c r="B13" t="str">
        <f>VLOOKUP(T_RevisionRUT[[#This Row],[BBDD]],T_Voluntarios[],1,FALSE)</f>
        <v>20447788-4</v>
      </c>
      <c r="C13">
        <f>COUNTIF(T_RevisionRUT[BBDD],T_RevisionRUT[[#This Row],[BBDD]])</f>
        <v>1</v>
      </c>
    </row>
    <row r="14" spans="1:3" hidden="1" x14ac:dyDescent="0.3">
      <c r="A14" t="s">
        <v>815</v>
      </c>
      <c r="B14" t="str">
        <f>VLOOKUP(T_RevisionRUT[[#This Row],[BBDD]],T_Voluntarios[],1,FALSE)</f>
        <v>20951673-K</v>
      </c>
      <c r="C14">
        <f>COUNTIF(T_RevisionRUT[BBDD],T_RevisionRUT[[#This Row],[BBDD]])</f>
        <v>1</v>
      </c>
    </row>
    <row r="15" spans="1:3" hidden="1" x14ac:dyDescent="0.3">
      <c r="A15" t="s">
        <v>828</v>
      </c>
      <c r="B15" t="str">
        <f>VLOOKUP(T_RevisionRUT[[#This Row],[BBDD]],T_Voluntarios[],1,FALSE)</f>
        <v>20968446-2</v>
      </c>
      <c r="C15">
        <f>COUNTIF(T_RevisionRUT[BBDD],T_RevisionRUT[[#This Row],[BBDD]])</f>
        <v>1</v>
      </c>
    </row>
    <row r="16" spans="1:3" hidden="1" x14ac:dyDescent="0.3">
      <c r="A16" t="s">
        <v>838</v>
      </c>
      <c r="B16" t="str">
        <f>VLOOKUP(T_RevisionRUT[[#This Row],[BBDD]],T_Voluntarios[],1,FALSE)</f>
        <v>21921293-3</v>
      </c>
      <c r="C16">
        <f>COUNTIF(T_RevisionRUT[BBDD],T_RevisionRUT[[#This Row],[BBDD]])</f>
        <v>1</v>
      </c>
    </row>
    <row r="17" spans="1:3" hidden="1" x14ac:dyDescent="0.3">
      <c r="A17" t="s">
        <v>851</v>
      </c>
      <c r="B17" t="str">
        <f>VLOOKUP(T_RevisionRUT[[#This Row],[BBDD]],T_Voluntarios[],1,FALSE)</f>
        <v>21304861-9</v>
      </c>
      <c r="C17">
        <f>COUNTIF(T_RevisionRUT[BBDD],T_RevisionRUT[[#This Row],[BBDD]])</f>
        <v>1</v>
      </c>
    </row>
    <row r="18" spans="1:3" hidden="1" x14ac:dyDescent="0.3">
      <c r="A18" t="s">
        <v>860</v>
      </c>
      <c r="B18" t="str">
        <f>VLOOKUP(T_RevisionRUT[[#This Row],[BBDD]],T_Voluntarios[],1,FALSE)</f>
        <v>21166830-K</v>
      </c>
      <c r="C18">
        <f>COUNTIF(T_RevisionRUT[BBDD],T_RevisionRUT[[#This Row],[BBDD]])</f>
        <v>1</v>
      </c>
    </row>
    <row r="19" spans="1:3" hidden="1" x14ac:dyDescent="0.3">
      <c r="A19" t="s">
        <v>871</v>
      </c>
      <c r="B19" t="str">
        <f>VLOOKUP(T_RevisionRUT[[#This Row],[BBDD]],T_Voluntarios[],1,FALSE)</f>
        <v>20757965-3</v>
      </c>
      <c r="C19">
        <f>COUNTIF(T_RevisionRUT[BBDD],T_RevisionRUT[[#This Row],[BBDD]])</f>
        <v>1</v>
      </c>
    </row>
    <row r="20" spans="1:3" hidden="1" x14ac:dyDescent="0.3">
      <c r="A20" t="s">
        <v>884</v>
      </c>
      <c r="B20" t="str">
        <f>VLOOKUP(T_RevisionRUT[[#This Row],[BBDD]],T_Voluntarios[],1,FALSE)</f>
        <v>16003635-4</v>
      </c>
      <c r="C20">
        <f>COUNTIF(T_RevisionRUT[BBDD],T_RevisionRUT[[#This Row],[BBDD]])</f>
        <v>1</v>
      </c>
    </row>
    <row r="21" spans="1:3" hidden="1" x14ac:dyDescent="0.3">
      <c r="A21" t="s">
        <v>894</v>
      </c>
      <c r="B21" t="str">
        <f>VLOOKUP(T_RevisionRUT[[#This Row],[BBDD]],T_Voluntarios[],1,FALSE)</f>
        <v>21727177-0</v>
      </c>
      <c r="C21">
        <f>COUNTIF(T_RevisionRUT[BBDD],T_RevisionRUT[[#This Row],[BBDD]])</f>
        <v>1</v>
      </c>
    </row>
    <row r="22" spans="1:3" hidden="1" x14ac:dyDescent="0.3">
      <c r="A22" t="s">
        <v>907</v>
      </c>
      <c r="B22" t="str">
        <f>VLOOKUP(T_RevisionRUT[[#This Row],[BBDD]],T_Voluntarios[],1,FALSE)</f>
        <v>21835332-0</v>
      </c>
      <c r="C22">
        <f>COUNTIF(T_RevisionRUT[BBDD],T_RevisionRUT[[#This Row],[BBDD]])</f>
        <v>1</v>
      </c>
    </row>
    <row r="23" spans="1:3" hidden="1" x14ac:dyDescent="0.3">
      <c r="A23" t="s">
        <v>919</v>
      </c>
      <c r="B23" t="str">
        <f>VLOOKUP(T_RevisionRUT[[#This Row],[BBDD]],T_Voluntarios[],1,FALSE)</f>
        <v>13734880-2</v>
      </c>
      <c r="C23">
        <f>COUNTIF(T_RevisionRUT[BBDD],T_RevisionRUT[[#This Row],[BBDD]])</f>
        <v>1</v>
      </c>
    </row>
    <row r="24" spans="1:3" hidden="1" x14ac:dyDescent="0.3">
      <c r="A24" t="s">
        <v>934</v>
      </c>
      <c r="B24" t="str">
        <f>VLOOKUP(T_RevisionRUT[[#This Row],[BBDD]],T_Voluntarios[],1,FALSE)</f>
        <v>17220413-9</v>
      </c>
      <c r="C24">
        <f>COUNTIF(T_RevisionRUT[BBDD],T_RevisionRUT[[#This Row],[BBDD]])</f>
        <v>1</v>
      </c>
    </row>
    <row r="25" spans="1:3" hidden="1" x14ac:dyDescent="0.3">
      <c r="A25" t="s">
        <v>948</v>
      </c>
      <c r="B25" t="str">
        <f>VLOOKUP(T_RevisionRUT[[#This Row],[BBDD]],T_Voluntarios[],1,FALSE)</f>
        <v>17349336-3</v>
      </c>
      <c r="C25">
        <f>COUNTIF(T_RevisionRUT[BBDD],T_RevisionRUT[[#This Row],[BBDD]])</f>
        <v>1</v>
      </c>
    </row>
    <row r="26" spans="1:3" hidden="1" x14ac:dyDescent="0.3">
      <c r="A26" t="s">
        <v>957</v>
      </c>
      <c r="B26" t="str">
        <f>VLOOKUP(T_RevisionRUT[[#This Row],[BBDD]],T_Voluntarios[],1,FALSE)</f>
        <v>21359566-0</v>
      </c>
      <c r="C26">
        <f>COUNTIF(T_RevisionRUT[BBDD],T_RevisionRUT[[#This Row],[BBDD]])</f>
        <v>1</v>
      </c>
    </row>
    <row r="27" spans="1:3" hidden="1" x14ac:dyDescent="0.3">
      <c r="A27" t="s">
        <v>1554</v>
      </c>
      <c r="B27" t="str">
        <f>VLOOKUP(T_RevisionRUT[[#This Row],[BBDD]],T_Voluntarios[],1,FALSE)</f>
        <v>17199463-2</v>
      </c>
      <c r="C27">
        <f>COUNTIF(T_RevisionRUT[BBDD],T_RevisionRUT[[#This Row],[BBDD]])</f>
        <v>1</v>
      </c>
    </row>
    <row r="28" spans="1:3" hidden="1" x14ac:dyDescent="0.3">
      <c r="A28" t="s">
        <v>563</v>
      </c>
      <c r="B28" t="str">
        <f>VLOOKUP(T_RevisionRUT[[#This Row],[BBDD]],T_Voluntarios[],1,FALSE)</f>
        <v>20488355-6</v>
      </c>
      <c r="C28">
        <f>COUNTIF(T_RevisionRUT[BBDD],T_RevisionRUT[[#This Row],[BBDD]])</f>
        <v>1</v>
      </c>
    </row>
    <row r="29" spans="1:3" hidden="1" x14ac:dyDescent="0.3">
      <c r="A29" t="s">
        <v>989</v>
      </c>
      <c r="B29" t="e">
        <f>VLOOKUP(T_RevisionRUT[[#This Row],[BBDD]],T_Voluntarios[],1,FALSE)</f>
        <v>#N/A</v>
      </c>
      <c r="C29">
        <f>COUNTIF(T_RevisionRUT[BBDD],T_RevisionRUT[[#This Row],[BBDD]])</f>
        <v>1</v>
      </c>
    </row>
    <row r="30" spans="1:3" hidden="1" x14ac:dyDescent="0.3">
      <c r="A30" t="s">
        <v>1555</v>
      </c>
      <c r="B30" t="str">
        <f>VLOOKUP(T_RevisionRUT[[#This Row],[BBDD]],T_Voluntarios[],1,FALSE)</f>
        <v>20852142-K</v>
      </c>
      <c r="C30">
        <f>COUNTIF(T_RevisionRUT[BBDD],T_RevisionRUT[[#This Row],[BBDD]])</f>
        <v>1</v>
      </c>
    </row>
    <row r="31" spans="1:3" hidden="1" x14ac:dyDescent="0.3">
      <c r="A31" t="s">
        <v>1556</v>
      </c>
      <c r="B31" t="str">
        <f>VLOOKUP(T_RevisionRUT[[#This Row],[BBDD]],T_Voluntarios[],1,FALSE)</f>
        <v>20648561-2</v>
      </c>
      <c r="C31">
        <f>COUNTIF(T_RevisionRUT[BBDD],T_RevisionRUT[[#This Row],[BBDD]])</f>
        <v>1</v>
      </c>
    </row>
    <row r="32" spans="1:3" hidden="1" x14ac:dyDescent="0.3">
      <c r="A32" t="s">
        <v>1022</v>
      </c>
      <c r="B32" t="str">
        <f>VLOOKUP(T_RevisionRUT[[#This Row],[BBDD]],T_Voluntarios[],1,FALSE)</f>
        <v>18962018-7</v>
      </c>
      <c r="C32">
        <f>COUNTIF(T_RevisionRUT[BBDD],T_RevisionRUT[[#This Row],[BBDD]])</f>
        <v>1</v>
      </c>
    </row>
    <row r="33" spans="1:3" hidden="1" x14ac:dyDescent="0.3">
      <c r="A33" t="s">
        <v>1035</v>
      </c>
      <c r="B33" t="str">
        <f>VLOOKUP(T_RevisionRUT[[#This Row],[BBDD]],T_Voluntarios[],1,FALSE)</f>
        <v>21486862-8</v>
      </c>
      <c r="C33">
        <f>COUNTIF(T_RevisionRUT[BBDD],T_RevisionRUT[[#This Row],[BBDD]])</f>
        <v>1</v>
      </c>
    </row>
    <row r="34" spans="1:3" hidden="1" x14ac:dyDescent="0.3">
      <c r="A34" t="s">
        <v>1045</v>
      </c>
      <c r="B34" t="str">
        <f>VLOOKUP(T_RevisionRUT[[#This Row],[BBDD]],T_Voluntarios[],1,FALSE)</f>
        <v>21861091-9</v>
      </c>
      <c r="C34">
        <f>COUNTIF(T_RevisionRUT[BBDD],T_RevisionRUT[[#This Row],[BBDD]])</f>
        <v>1</v>
      </c>
    </row>
    <row r="35" spans="1:3" hidden="1" x14ac:dyDescent="0.3">
      <c r="A35" t="s">
        <v>1053</v>
      </c>
      <c r="B35" t="str">
        <f>VLOOKUP(T_RevisionRUT[[#This Row],[BBDD]],T_Voluntarios[],1,FALSE)</f>
        <v>16489970-5</v>
      </c>
      <c r="C35">
        <f>COUNTIF(T_RevisionRUT[BBDD],T_RevisionRUT[[#This Row],[BBDD]])</f>
        <v>1</v>
      </c>
    </row>
    <row r="36" spans="1:3" hidden="1" x14ac:dyDescent="0.3">
      <c r="A36" t="s">
        <v>1065</v>
      </c>
      <c r="B36" t="str">
        <f>VLOOKUP(T_RevisionRUT[[#This Row],[BBDD]],T_Voluntarios[],1,FALSE)</f>
        <v>21537964-7</v>
      </c>
      <c r="C36">
        <f>COUNTIF(T_RevisionRUT[BBDD],T_RevisionRUT[[#This Row],[BBDD]])</f>
        <v>1</v>
      </c>
    </row>
    <row r="37" spans="1:3" hidden="1" x14ac:dyDescent="0.3">
      <c r="A37" t="s">
        <v>1072</v>
      </c>
      <c r="B37" t="str">
        <f>VLOOKUP(T_RevisionRUT[[#This Row],[BBDD]],T_Voluntarios[],1,FALSE)</f>
        <v>19088730-8</v>
      </c>
      <c r="C37">
        <f>COUNTIF(T_RevisionRUT[BBDD],T_RevisionRUT[[#This Row],[BBDD]])</f>
        <v>1</v>
      </c>
    </row>
    <row r="38" spans="1:3" hidden="1" x14ac:dyDescent="0.3">
      <c r="A38" t="s">
        <v>1082</v>
      </c>
      <c r="B38" t="str">
        <f>VLOOKUP(T_RevisionRUT[[#This Row],[BBDD]],T_Voluntarios[],1,FALSE)</f>
        <v>17641213-5</v>
      </c>
      <c r="C38">
        <f>COUNTIF(T_RevisionRUT[BBDD],T_RevisionRUT[[#This Row],[BBDD]])</f>
        <v>1</v>
      </c>
    </row>
    <row r="39" spans="1:3" hidden="1" x14ac:dyDescent="0.3">
      <c r="A39" t="s">
        <v>1097</v>
      </c>
      <c r="B39" t="str">
        <f>VLOOKUP(T_RevisionRUT[[#This Row],[BBDD]],T_Voluntarios[],1,FALSE)</f>
        <v>18770447-2</v>
      </c>
      <c r="C39">
        <f>COUNTIF(T_RevisionRUT[BBDD],T_RevisionRUT[[#This Row],[BBDD]])</f>
        <v>1</v>
      </c>
    </row>
    <row r="40" spans="1:3" hidden="1" x14ac:dyDescent="0.3">
      <c r="A40" t="s">
        <v>1109</v>
      </c>
      <c r="B40" t="str">
        <f>VLOOKUP(T_RevisionRUT[[#This Row],[BBDD]],T_Voluntarios[],1,FALSE)</f>
        <v>21748001-9</v>
      </c>
      <c r="C40">
        <f>COUNTIF(T_RevisionRUT[BBDD],T_RevisionRUT[[#This Row],[BBDD]])</f>
        <v>1</v>
      </c>
    </row>
    <row r="41" spans="1:3" hidden="1" x14ac:dyDescent="0.3">
      <c r="A41" t="s">
        <v>1120</v>
      </c>
      <c r="B41" t="str">
        <f>VLOOKUP(T_RevisionRUT[[#This Row],[BBDD]],T_Voluntarios[],1,FALSE)</f>
        <v>21261995-7</v>
      </c>
      <c r="C41">
        <f>COUNTIF(T_RevisionRUT[BBDD],T_RevisionRUT[[#This Row],[BBDD]])</f>
        <v>1</v>
      </c>
    </row>
    <row r="42" spans="1:3" hidden="1" x14ac:dyDescent="0.3">
      <c r="A42" t="s">
        <v>1132</v>
      </c>
      <c r="B42" t="str">
        <f>VLOOKUP(T_RevisionRUT[[#This Row],[BBDD]],T_Voluntarios[],1,FALSE)</f>
        <v>20021994-5</v>
      </c>
      <c r="C42">
        <f>COUNTIF(T_RevisionRUT[BBDD],T_RevisionRUT[[#This Row],[BBDD]])</f>
        <v>1</v>
      </c>
    </row>
    <row r="43" spans="1:3" hidden="1" x14ac:dyDescent="0.3">
      <c r="A43" t="s">
        <v>1141</v>
      </c>
      <c r="B43" t="str">
        <f>VLOOKUP(T_RevisionRUT[[#This Row],[BBDD]],T_Voluntarios[],1,FALSE)</f>
        <v>21098317-1</v>
      </c>
      <c r="C43">
        <f>COUNTIF(T_RevisionRUT[BBDD],T_RevisionRUT[[#This Row],[BBDD]])</f>
        <v>1</v>
      </c>
    </row>
    <row r="44" spans="1:3" hidden="1" x14ac:dyDescent="0.3">
      <c r="A44" t="s">
        <v>1151</v>
      </c>
      <c r="B44" t="str">
        <f>VLOOKUP(T_RevisionRUT[[#This Row],[BBDD]],T_Voluntarios[],1,FALSE)</f>
        <v>21027384-0</v>
      </c>
      <c r="C44">
        <f>COUNTIF(T_RevisionRUT[BBDD],T_RevisionRUT[[#This Row],[BBDD]])</f>
        <v>1</v>
      </c>
    </row>
    <row r="45" spans="1:3" hidden="1" x14ac:dyDescent="0.3">
      <c r="A45" t="s">
        <v>1163</v>
      </c>
      <c r="B45" t="str">
        <f>VLOOKUP(T_RevisionRUT[[#This Row],[BBDD]],T_Voluntarios[],1,FALSE)</f>
        <v>19157712-4</v>
      </c>
      <c r="C45">
        <f>COUNTIF(T_RevisionRUT[BBDD],T_RevisionRUT[[#This Row],[BBDD]])</f>
        <v>1</v>
      </c>
    </row>
    <row r="46" spans="1:3" hidden="1" x14ac:dyDescent="0.3">
      <c r="A46" t="s">
        <v>1176</v>
      </c>
      <c r="B46" t="str">
        <f>VLOOKUP(T_RevisionRUT[[#This Row],[BBDD]],T_Voluntarios[],1,FALSE)</f>
        <v>21137969-3</v>
      </c>
      <c r="C46">
        <f>COUNTIF(T_RevisionRUT[BBDD],T_RevisionRUT[[#This Row],[BBDD]])</f>
        <v>1</v>
      </c>
    </row>
    <row r="47" spans="1:3" hidden="1" x14ac:dyDescent="0.3">
      <c r="A47" t="s">
        <v>1557</v>
      </c>
      <c r="B47" t="str">
        <f>VLOOKUP(T_RevisionRUT[[#This Row],[BBDD]],T_Voluntarios[],1,FALSE)</f>
        <v>19725767-9</v>
      </c>
      <c r="C47">
        <f>COUNTIF(T_RevisionRUT[BBDD],T_RevisionRUT[[#This Row],[BBDD]])</f>
        <v>1</v>
      </c>
    </row>
    <row r="48" spans="1:3" hidden="1" x14ac:dyDescent="0.3">
      <c r="A48" t="s">
        <v>1194</v>
      </c>
      <c r="B48" t="str">
        <f>VLOOKUP(T_RevisionRUT[[#This Row],[BBDD]],T_Voluntarios[],1,FALSE)</f>
        <v>21765475-0</v>
      </c>
      <c r="C48">
        <f>COUNTIF(T_RevisionRUT[BBDD],T_RevisionRUT[[#This Row],[BBDD]])</f>
        <v>1</v>
      </c>
    </row>
    <row r="49" spans="1:3" hidden="1" x14ac:dyDescent="0.3">
      <c r="A49" t="s">
        <v>1204</v>
      </c>
      <c r="B49" t="str">
        <f>VLOOKUP(T_RevisionRUT[[#This Row],[BBDD]],T_Voluntarios[],1,FALSE)</f>
        <v>21254120-6</v>
      </c>
      <c r="C49">
        <f>COUNTIF(T_RevisionRUT[BBDD],T_RevisionRUT[[#This Row],[BBDD]])</f>
        <v>1</v>
      </c>
    </row>
    <row r="50" spans="1:3" hidden="1" x14ac:dyDescent="0.3">
      <c r="A50" t="s">
        <v>1215</v>
      </c>
      <c r="B50" t="str">
        <f>VLOOKUP(T_RevisionRUT[[#This Row],[BBDD]],T_Voluntarios[],1,FALSE)</f>
        <v>21951620-7</v>
      </c>
      <c r="C50">
        <f>COUNTIF(T_RevisionRUT[BBDD],T_RevisionRUT[[#This Row],[BBDD]])</f>
        <v>1</v>
      </c>
    </row>
    <row r="51" spans="1:3" hidden="1" x14ac:dyDescent="0.3">
      <c r="A51" t="s">
        <v>1224</v>
      </c>
      <c r="B51" t="str">
        <f>VLOOKUP(T_RevisionRUT[[#This Row],[BBDD]],T_Voluntarios[],1,FALSE)</f>
        <v>17206911-8</v>
      </c>
      <c r="C51">
        <f>COUNTIF(T_RevisionRUT[BBDD],T_RevisionRUT[[#This Row],[BBDD]])</f>
        <v>1</v>
      </c>
    </row>
    <row r="52" spans="1:3" hidden="1" x14ac:dyDescent="0.3">
      <c r="A52" t="s">
        <v>1558</v>
      </c>
      <c r="B52" t="str">
        <f>VLOOKUP(T_RevisionRUT[[#This Row],[BBDD]],T_Voluntarios[],1,FALSE)</f>
        <v>20019984-7</v>
      </c>
      <c r="C52">
        <f>COUNTIF(T_RevisionRUT[BBDD],T_RevisionRUT[[#This Row],[BBDD]])</f>
        <v>1</v>
      </c>
    </row>
    <row r="53" spans="1:3" hidden="1" x14ac:dyDescent="0.3">
      <c r="A53" t="s">
        <v>1248</v>
      </c>
      <c r="B53" t="str">
        <f>VLOOKUP(T_RevisionRUT[[#This Row],[BBDD]],T_Voluntarios[],1,FALSE)</f>
        <v>21698615-6</v>
      </c>
      <c r="C53">
        <f>COUNTIF(T_RevisionRUT[BBDD],T_RevisionRUT[[#This Row],[BBDD]])</f>
        <v>1</v>
      </c>
    </row>
    <row r="54" spans="1:3" hidden="1" x14ac:dyDescent="0.3">
      <c r="A54" t="s">
        <v>1257</v>
      </c>
      <c r="B54" t="str">
        <f>VLOOKUP(T_RevisionRUT[[#This Row],[BBDD]],T_Voluntarios[],1,FALSE)</f>
        <v>21006509-1</v>
      </c>
      <c r="C54">
        <f>COUNTIF(T_RevisionRUT[BBDD],T_RevisionRUT[[#This Row],[BBDD]])</f>
        <v>1</v>
      </c>
    </row>
    <row r="55" spans="1:3" hidden="1" x14ac:dyDescent="0.3">
      <c r="A55" t="s">
        <v>1264</v>
      </c>
      <c r="B55" t="str">
        <f>VLOOKUP(T_RevisionRUT[[#This Row],[BBDD]],T_Voluntarios[],1,FALSE)</f>
        <v>16139761-K</v>
      </c>
      <c r="C55">
        <f>COUNTIF(T_RevisionRUT[BBDD],T_RevisionRUT[[#This Row],[BBDD]])</f>
        <v>1</v>
      </c>
    </row>
    <row r="56" spans="1:3" hidden="1" x14ac:dyDescent="0.3">
      <c r="A56" t="s">
        <v>1276</v>
      </c>
      <c r="B56" t="str">
        <f>VLOOKUP(T_RevisionRUT[[#This Row],[BBDD]],T_Voluntarios[],1,FALSE)</f>
        <v>20195612-9</v>
      </c>
      <c r="C56">
        <f>COUNTIF(T_RevisionRUT[BBDD],T_RevisionRUT[[#This Row],[BBDD]])</f>
        <v>1</v>
      </c>
    </row>
    <row r="57" spans="1:3" hidden="1" x14ac:dyDescent="0.3">
      <c r="A57" t="s">
        <v>1288</v>
      </c>
      <c r="B57" t="str">
        <f>VLOOKUP(T_RevisionRUT[[#This Row],[BBDD]],T_Voluntarios[],1,FALSE)</f>
        <v>20921553-5</v>
      </c>
      <c r="C57">
        <f>COUNTIF(T_RevisionRUT[BBDD],T_RevisionRUT[[#This Row],[BBDD]])</f>
        <v>1</v>
      </c>
    </row>
    <row r="58" spans="1:3" hidden="1" x14ac:dyDescent="0.3">
      <c r="A58" t="s">
        <v>1295</v>
      </c>
      <c r="B58" t="str">
        <f>VLOOKUP(T_RevisionRUT[[#This Row],[BBDD]],T_Voluntarios[],1,FALSE)</f>
        <v>19425691-4</v>
      </c>
      <c r="C58">
        <f>COUNTIF(T_RevisionRUT[BBDD],T_RevisionRUT[[#This Row],[BBDD]])</f>
        <v>1</v>
      </c>
    </row>
    <row r="59" spans="1:3" hidden="1" x14ac:dyDescent="0.3">
      <c r="A59" t="s">
        <v>1306</v>
      </c>
      <c r="B59" t="str">
        <f>VLOOKUP(T_RevisionRUT[[#This Row],[BBDD]],T_Voluntarios[],1,FALSE)</f>
        <v>19715480-2</v>
      </c>
      <c r="C59">
        <f>COUNTIF(T_RevisionRUT[BBDD],T_RevisionRUT[[#This Row],[BBDD]])</f>
        <v>1</v>
      </c>
    </row>
    <row r="60" spans="1:3" hidden="1" x14ac:dyDescent="0.3">
      <c r="A60" t="s">
        <v>1316</v>
      </c>
      <c r="B60" t="str">
        <f>VLOOKUP(T_RevisionRUT[[#This Row],[BBDD]],T_Voluntarios[],1,FALSE)</f>
        <v>21875658-1</v>
      </c>
      <c r="C60">
        <f>COUNTIF(T_RevisionRUT[BBDD],T_RevisionRUT[[#This Row],[BBDD]])</f>
        <v>1</v>
      </c>
    </row>
    <row r="61" spans="1:3" hidden="1" x14ac:dyDescent="0.3">
      <c r="A61" t="s">
        <v>1325</v>
      </c>
      <c r="B61" t="str">
        <f>VLOOKUP(T_RevisionRUT[[#This Row],[BBDD]],T_Voluntarios[],1,FALSE)</f>
        <v>21239488-2</v>
      </c>
      <c r="C61">
        <f>COUNTIF(T_RevisionRUT[BBDD],T_RevisionRUT[[#This Row],[BBDD]])</f>
        <v>1</v>
      </c>
    </row>
    <row r="62" spans="1:3" hidden="1" x14ac:dyDescent="0.3">
      <c r="A62" t="s">
        <v>1340</v>
      </c>
      <c r="B62" t="str">
        <f>VLOOKUP(T_RevisionRUT[[#This Row],[BBDD]],T_Voluntarios[],1,FALSE)</f>
        <v>21591571-9</v>
      </c>
      <c r="C62">
        <f>COUNTIF(T_RevisionRUT[BBDD],T_RevisionRUT[[#This Row],[BBDD]])</f>
        <v>1</v>
      </c>
    </row>
    <row r="63" spans="1:3" hidden="1" x14ac:dyDescent="0.3">
      <c r="A63" t="s">
        <v>1350</v>
      </c>
      <c r="B63" t="str">
        <f>VLOOKUP(T_RevisionRUT[[#This Row],[BBDD]],T_Voluntarios[],1,FALSE)</f>
        <v>21448774-8</v>
      </c>
      <c r="C63">
        <f>COUNTIF(T_RevisionRUT[BBDD],T_RevisionRUT[[#This Row],[BBDD]])</f>
        <v>1</v>
      </c>
    </row>
    <row r="64" spans="1:3" hidden="1" x14ac:dyDescent="0.3">
      <c r="A64" t="s">
        <v>1358</v>
      </c>
      <c r="B64" t="str">
        <f>VLOOKUP(T_RevisionRUT[[#This Row],[BBDD]],T_Voluntarios[],1,FALSE)</f>
        <v>18828110-9</v>
      </c>
      <c r="C64">
        <f>COUNTIF(T_RevisionRUT[BBDD],T_RevisionRUT[[#This Row],[BBDD]])</f>
        <v>1</v>
      </c>
    </row>
    <row r="65" spans="1:3" hidden="1" x14ac:dyDescent="0.3">
      <c r="A65" t="s">
        <v>1369</v>
      </c>
      <c r="B65" t="str">
        <f>VLOOKUP(T_RevisionRUT[[#This Row],[BBDD]],T_Voluntarios[],1,FALSE)</f>
        <v>21099023-2</v>
      </c>
      <c r="C65">
        <f>COUNTIF(T_RevisionRUT[BBDD],T_RevisionRUT[[#This Row],[BBDD]])</f>
        <v>1</v>
      </c>
    </row>
    <row r="66" spans="1:3" hidden="1" x14ac:dyDescent="0.3">
      <c r="A66" t="s">
        <v>1380</v>
      </c>
      <c r="B66" t="str">
        <f>VLOOKUP(T_RevisionRUT[[#This Row],[BBDD]],T_Voluntarios[],1,FALSE)</f>
        <v>21338943-2</v>
      </c>
      <c r="C66">
        <f>COUNTIF(T_RevisionRUT[BBDD],T_RevisionRUT[[#This Row],[BBDD]])</f>
        <v>1</v>
      </c>
    </row>
    <row r="67" spans="1:3" hidden="1" x14ac:dyDescent="0.3">
      <c r="A67" t="s">
        <v>1389</v>
      </c>
      <c r="B67" t="str">
        <f>VLOOKUP(T_RevisionRUT[[#This Row],[BBDD]],T_Voluntarios[],1,FALSE)</f>
        <v>21609731-9</v>
      </c>
      <c r="C67">
        <f>COUNTIF(T_RevisionRUT[BBDD],T_RevisionRUT[[#This Row],[BBDD]])</f>
        <v>1</v>
      </c>
    </row>
    <row r="68" spans="1:3" hidden="1" x14ac:dyDescent="0.3">
      <c r="A68" t="s">
        <v>1396</v>
      </c>
      <c r="B68" t="str">
        <f>VLOOKUP(T_RevisionRUT[[#This Row],[BBDD]],T_Voluntarios[],1,FALSE)</f>
        <v>21218725-9</v>
      </c>
      <c r="C68">
        <f>COUNTIF(T_RevisionRUT[BBDD],T_RevisionRUT[[#This Row],[BBDD]])</f>
        <v>1</v>
      </c>
    </row>
    <row r="69" spans="1:3" hidden="1" x14ac:dyDescent="0.3">
      <c r="A69" t="s">
        <v>1406</v>
      </c>
      <c r="B69" t="str">
        <f>VLOOKUP(T_RevisionRUT[[#This Row],[BBDD]],T_Voluntarios[],1,FALSE)</f>
        <v>21721885-3</v>
      </c>
      <c r="C69">
        <f>COUNTIF(T_RevisionRUT[BBDD],T_RevisionRUT[[#This Row],[BBDD]])</f>
        <v>1</v>
      </c>
    </row>
    <row r="70" spans="1:3" hidden="1" x14ac:dyDescent="0.3">
      <c r="A70" t="s">
        <v>1415</v>
      </c>
      <c r="B70" t="str">
        <f>VLOOKUP(T_RevisionRUT[[#This Row],[BBDD]],T_Voluntarios[],1,FALSE)</f>
        <v>21412999-K</v>
      </c>
      <c r="C70">
        <f>COUNTIF(T_RevisionRUT[BBDD],T_RevisionRUT[[#This Row],[BBDD]])</f>
        <v>1</v>
      </c>
    </row>
    <row r="71" spans="1:3" hidden="1" x14ac:dyDescent="0.3">
      <c r="A71" t="s">
        <v>1425</v>
      </c>
      <c r="B71" t="str">
        <f>VLOOKUP(T_RevisionRUT[[#This Row],[BBDD]],T_Voluntarios[],1,FALSE)</f>
        <v>20618777-8</v>
      </c>
      <c r="C71">
        <f>COUNTIF(T_RevisionRUT[BBDD],T_RevisionRUT[[#This Row],[BBDD]])</f>
        <v>1</v>
      </c>
    </row>
    <row r="72" spans="1:3" hidden="1" x14ac:dyDescent="0.3">
      <c r="A72" t="s">
        <v>1438</v>
      </c>
      <c r="B72" t="str">
        <f>VLOOKUP(T_RevisionRUT[[#This Row],[BBDD]],T_Voluntarios[],1,FALSE)</f>
        <v>21540865-5</v>
      </c>
      <c r="C72">
        <f>COUNTIF(T_RevisionRUT[BBDD],T_RevisionRUT[[#This Row],[BBDD]])</f>
        <v>1</v>
      </c>
    </row>
    <row r="73" spans="1:3" hidden="1" x14ac:dyDescent="0.3">
      <c r="A73" t="s">
        <v>1451</v>
      </c>
      <c r="B73" t="str">
        <f>VLOOKUP(T_RevisionRUT[[#This Row],[BBDD]],T_Voluntarios[],1,FALSE)</f>
        <v>15206532-9</v>
      </c>
      <c r="C73">
        <f>COUNTIF(T_RevisionRUT[BBDD],T_RevisionRUT[[#This Row],[BBDD]])</f>
        <v>1</v>
      </c>
    </row>
    <row r="74" spans="1:3" hidden="1" x14ac:dyDescent="0.3">
      <c r="A74" t="s">
        <v>1463</v>
      </c>
      <c r="B74" t="str">
        <f>VLOOKUP(T_RevisionRUT[[#This Row],[BBDD]],T_Voluntarios[],1,FALSE)</f>
        <v>21437691-1</v>
      </c>
      <c r="C74">
        <f>COUNTIF(T_RevisionRUT[BBDD],T_RevisionRUT[[#This Row],[BBDD]])</f>
        <v>1</v>
      </c>
    </row>
    <row r="75" spans="1:3" hidden="1" x14ac:dyDescent="0.3">
      <c r="A75" t="s">
        <v>1471</v>
      </c>
      <c r="B75" t="str">
        <f>VLOOKUP(T_RevisionRUT[[#This Row],[BBDD]],T_Voluntarios[],1,FALSE)</f>
        <v>20000855-3</v>
      </c>
      <c r="C75">
        <f>COUNTIF(T_RevisionRUT[BBDD],T_RevisionRUT[[#This Row],[BBDD]])</f>
        <v>1</v>
      </c>
    </row>
    <row r="76" spans="1:3" hidden="1" x14ac:dyDescent="0.3">
      <c r="A76" t="s">
        <v>1482</v>
      </c>
      <c r="B76" t="str">
        <f>VLOOKUP(T_RevisionRUT[[#This Row],[BBDD]],T_Voluntarios[],1,FALSE)</f>
        <v>21089732-1</v>
      </c>
      <c r="C76">
        <f>COUNTIF(T_RevisionRUT[BBDD],T_RevisionRUT[[#This Row],[BBDD]])</f>
        <v>1</v>
      </c>
    </row>
    <row r="77" spans="1:3" hidden="1" x14ac:dyDescent="0.3">
      <c r="A77" t="s">
        <v>1490</v>
      </c>
      <c r="B77" t="str">
        <f>VLOOKUP(T_RevisionRUT[[#This Row],[BBDD]],T_Voluntarios[],1,FALSE)</f>
        <v>16009047-2</v>
      </c>
      <c r="C77">
        <f>COUNTIF(T_RevisionRUT[BBDD],T_RevisionRUT[[#This Row],[BBDD]])</f>
        <v>1</v>
      </c>
    </row>
    <row r="78" spans="1:3" hidden="1" x14ac:dyDescent="0.3">
      <c r="A78" t="s">
        <v>1501</v>
      </c>
      <c r="B78" t="str">
        <f>VLOOKUP(T_RevisionRUT[[#This Row],[BBDD]],T_Voluntarios[],1,FALSE)</f>
        <v>18947308-7</v>
      </c>
      <c r="C78">
        <f>COUNTIF(T_RevisionRUT[BBDD],T_RevisionRUT[[#This Row],[BBDD]])</f>
        <v>1</v>
      </c>
    </row>
    <row r="79" spans="1:3" hidden="1" x14ac:dyDescent="0.3">
      <c r="A79" t="s">
        <v>1559</v>
      </c>
      <c r="B79" t="str">
        <f>VLOOKUP(T_RevisionRUT[[#This Row],[BBDD]],T_Voluntarios[],1,FALSE)</f>
        <v>22098684-5</v>
      </c>
      <c r="C79">
        <f>COUNTIF(T_RevisionRUT[BBDD],T_RevisionRUT[[#This Row],[BBDD]])</f>
        <v>1</v>
      </c>
    </row>
    <row r="80" spans="1:3" hidden="1" x14ac:dyDescent="0.3">
      <c r="A80" t="s">
        <v>1521</v>
      </c>
      <c r="B80" t="str">
        <f>VLOOKUP(T_RevisionRUT[[#This Row],[BBDD]],T_Voluntarios[],1,FALSE)</f>
        <v>21125989-2</v>
      </c>
      <c r="C80">
        <f>COUNTIF(T_RevisionRUT[BBDD],T_RevisionRUT[[#This Row],[BBDD]])</f>
        <v>1</v>
      </c>
    </row>
    <row r="81" spans="1:3" hidden="1" x14ac:dyDescent="0.3">
      <c r="A81" t="s">
        <v>1531</v>
      </c>
      <c r="B81" t="str">
        <f>VLOOKUP(T_RevisionRUT[[#This Row],[BBDD]],T_Voluntarios[],1,FALSE)</f>
        <v>15687768-9</v>
      </c>
      <c r="C81">
        <f>COUNTIF(T_RevisionRUT[BBDD],T_RevisionRUT[[#This Row],[BBDD]])</f>
        <v>1</v>
      </c>
    </row>
    <row r="82" spans="1:3" hidden="1" x14ac:dyDescent="0.3">
      <c r="A82" t="s">
        <v>1542</v>
      </c>
      <c r="B82" t="str">
        <f>VLOOKUP(T_RevisionRUT[[#This Row],[BBDD]],T_Voluntarios[],1,FALSE)</f>
        <v>16774006-5</v>
      </c>
      <c r="C82">
        <f>COUNTIF(T_RevisionRUT[BBDD],T_RevisionRUT[[#This Row],[BBDD]])</f>
        <v>1</v>
      </c>
    </row>
    <row r="83" spans="1:3" hidden="1" x14ac:dyDescent="0.3">
      <c r="A83" t="s">
        <v>1628</v>
      </c>
      <c r="B83" t="str">
        <f>VLOOKUP(T_RevisionRUT[[#This Row],[BBDD]],T_Voluntarios[],1,FALSE)</f>
        <v>16139416-5</v>
      </c>
      <c r="C83">
        <f>COUNTIF(T_RevisionRUT[BBDD],T_RevisionRUT[[#This Row],[BBDD]])</f>
        <v>1</v>
      </c>
    </row>
    <row r="84" spans="1:3" hidden="1" x14ac:dyDescent="0.3">
      <c r="A84" t="s">
        <v>1602</v>
      </c>
      <c r="B84" t="str">
        <f>VLOOKUP(T_RevisionRUT[[#This Row],[BBDD]],T_Voluntarios[],1,FALSE)</f>
        <v>19736352-5</v>
      </c>
      <c r="C84">
        <f>COUNTIF(T_RevisionRUT[BBDD],T_RevisionRUT[[#This Row],[BBDD]])</f>
        <v>1</v>
      </c>
    </row>
    <row r="85" spans="1:3" hidden="1" x14ac:dyDescent="0.3">
      <c r="A85" t="s">
        <v>1611</v>
      </c>
      <c r="B85" t="str">
        <f>VLOOKUP(T_RevisionRUT[[#This Row],[BBDD]],T_Voluntarios[],1,FALSE)</f>
        <v>20623385-0</v>
      </c>
      <c r="C85">
        <f>COUNTIF(T_RevisionRUT[BBDD],T_RevisionRUT[[#This Row],[BBDD]])</f>
        <v>1</v>
      </c>
    </row>
    <row r="86" spans="1:3" hidden="1" x14ac:dyDescent="0.3">
      <c r="A86" t="s">
        <v>1620</v>
      </c>
      <c r="B86" t="str">
        <f>VLOOKUP(T_RevisionRUT[[#This Row],[BBDD]],T_Voluntarios[],1,FALSE)</f>
        <v>21065520-4</v>
      </c>
      <c r="C86">
        <f>COUNTIF(T_RevisionRUT[BBDD],T_RevisionRUT[[#This Row],[BBDD]])</f>
        <v>1</v>
      </c>
    </row>
    <row r="87" spans="1:3" hidden="1" x14ac:dyDescent="0.3">
      <c r="A87" t="s">
        <v>1642</v>
      </c>
      <c r="B87" t="str">
        <f>VLOOKUP(T_RevisionRUT[[#This Row],[BBDD]],T_Voluntarios[],1,FALSE)</f>
        <v>19598321-6</v>
      </c>
      <c r="C87">
        <f>COUNTIF(T_RevisionRUT[BBDD],T_RevisionRUT[[#This Row],[BBDD]])</f>
        <v>1</v>
      </c>
    </row>
    <row r="88" spans="1:3" hidden="1" x14ac:dyDescent="0.3">
      <c r="A88" t="s">
        <v>282</v>
      </c>
      <c r="B88" t="str">
        <f>VLOOKUP(T_RevisionRUT[[#This Row],[BBDD]],T_Voluntarios[],1,FALSE)</f>
        <v>19509993-6</v>
      </c>
      <c r="C88">
        <f>COUNTIF(T_RevisionRUT[BBDD],T_RevisionRUT[[#This Row],[BBDD]])</f>
        <v>1</v>
      </c>
    </row>
    <row r="89" spans="1:3" hidden="1" x14ac:dyDescent="0.3">
      <c r="A89" t="s">
        <v>221</v>
      </c>
      <c r="B89" t="str">
        <f>VLOOKUP(T_RevisionRUT[[#This Row],[BBDD]],T_Voluntarios[],1,FALSE)</f>
        <v>13725336-4</v>
      </c>
      <c r="C89">
        <f>COUNTIF(T_RevisionRUT[BBDD],T_RevisionRUT[[#This Row],[BBDD]])</f>
        <v>1</v>
      </c>
    </row>
    <row r="90" spans="1:3" hidden="1" x14ac:dyDescent="0.3">
      <c r="A90" t="s">
        <v>501</v>
      </c>
      <c r="B90" t="str">
        <f>VLOOKUP(T_RevisionRUT[[#This Row],[BBDD]],T_Voluntarios[],1,FALSE)</f>
        <v>20258730-5</v>
      </c>
      <c r="C90">
        <f>COUNTIF(T_RevisionRUT[BBDD],T_RevisionRUT[[#This Row],[BBDD]])</f>
        <v>1</v>
      </c>
    </row>
    <row r="91" spans="1:3" hidden="1" x14ac:dyDescent="0.3">
      <c r="A91" t="s">
        <v>1709</v>
      </c>
      <c r="B91" t="str">
        <f>VLOOKUP(T_RevisionRUT[[#This Row],[BBDD]],T_Voluntarios[],1,FALSE)</f>
        <v>17400182-0</v>
      </c>
      <c r="C91">
        <f>COUNTIF(T_RevisionRUT[BBDD],T_RevisionRUT[[#This Row],[BBDD]])</f>
        <v>1</v>
      </c>
    </row>
    <row r="92" spans="1:3" hidden="1" x14ac:dyDescent="0.3">
      <c r="A92" t="s">
        <v>203</v>
      </c>
      <c r="B92" t="str">
        <f>VLOOKUP(T_RevisionRUT[[#This Row],[BBDD]],T_Voluntarios[],1,FALSE)</f>
        <v>12362790-3</v>
      </c>
      <c r="C92">
        <f>COUNTIF(T_RevisionRUT[BBDD],T_RevisionRUT[[#This Row],[BBDD]])</f>
        <v>1</v>
      </c>
    </row>
    <row r="93" spans="1:3" hidden="1" x14ac:dyDescent="0.3">
      <c r="A93" t="s">
        <v>1720</v>
      </c>
      <c r="B93" t="str">
        <f>VLOOKUP(T_RevisionRUT[[#This Row],[BBDD]],T_Voluntarios[],1,FALSE)</f>
        <v>20778093-6</v>
      </c>
      <c r="C93">
        <f>COUNTIF(T_RevisionRUT[BBDD],T_RevisionRUT[[#This Row],[BBDD]])</f>
        <v>1</v>
      </c>
    </row>
    <row r="94" spans="1:3" hidden="1" x14ac:dyDescent="0.3">
      <c r="A94" t="s">
        <v>287</v>
      </c>
      <c r="B94" t="str">
        <f>VLOOKUP(T_RevisionRUT[[#This Row],[BBDD]],T_Voluntarios[],1,FALSE)</f>
        <v>18419830-4</v>
      </c>
      <c r="C94">
        <f>COUNTIF(T_RevisionRUT[BBDD],T_RevisionRUT[[#This Row],[BBDD]])</f>
        <v>1</v>
      </c>
    </row>
    <row r="95" spans="1:3" hidden="1" x14ac:dyDescent="0.3">
      <c r="A95" t="s">
        <v>264</v>
      </c>
      <c r="B95" t="str">
        <f>VLOOKUP(T_RevisionRUT[[#This Row],[BBDD]],T_Voluntarios[],1,FALSE)</f>
        <v>20116981-K</v>
      </c>
      <c r="C95">
        <f>COUNTIF(T_RevisionRUT[BBDD],T_RevisionRUT[[#This Row],[BBDD]])</f>
        <v>1</v>
      </c>
    </row>
    <row r="96" spans="1:3" hidden="1" x14ac:dyDescent="0.3">
      <c r="A96" t="s">
        <v>1883</v>
      </c>
      <c r="B96" t="str">
        <f>VLOOKUP(T_RevisionRUT[[#This Row],[BBDD]],T_Voluntarios[],1,FALSE)</f>
        <v>16765815-6</v>
      </c>
      <c r="C96">
        <f>COUNTIF(T_RevisionRUT[BBDD],T_RevisionRUT[[#This Row],[BBDD]])</f>
        <v>1</v>
      </c>
    </row>
    <row r="97" spans="1:3" hidden="1" x14ac:dyDescent="0.3">
      <c r="A97" t="s">
        <v>1745</v>
      </c>
      <c r="B97" t="str">
        <f>VLOOKUP(T_RevisionRUT[[#This Row],[BBDD]],T_Voluntarios[],1,FALSE)</f>
        <v>12700415-3</v>
      </c>
      <c r="C97">
        <f>COUNTIF(T_RevisionRUT[BBDD],T_RevisionRUT[[#This Row],[BBDD]])</f>
        <v>1</v>
      </c>
    </row>
    <row r="98" spans="1:3" hidden="1" x14ac:dyDescent="0.3">
      <c r="A98" t="s">
        <v>303</v>
      </c>
      <c r="B98" t="str">
        <f>VLOOKUP(T_RevisionRUT[[#This Row],[BBDD]],T_Voluntarios[],1,FALSE)</f>
        <v>12133343-0</v>
      </c>
      <c r="C98">
        <f>COUNTIF(T_RevisionRUT[BBDD],T_RevisionRUT[[#This Row],[BBDD]])</f>
        <v>1</v>
      </c>
    </row>
    <row r="99" spans="1:3" hidden="1" x14ac:dyDescent="0.3">
      <c r="A99" t="s">
        <v>175</v>
      </c>
      <c r="B99" t="str">
        <f>VLOOKUP(T_RevisionRUT[[#This Row],[BBDD]],T_Voluntarios[],1,FALSE)</f>
        <v>17343643-2</v>
      </c>
      <c r="C99">
        <f>COUNTIF(T_RevisionRUT[BBDD],T_RevisionRUT[[#This Row],[BBDD]])</f>
        <v>1</v>
      </c>
    </row>
    <row r="100" spans="1:3" hidden="1" x14ac:dyDescent="0.3">
      <c r="A100" t="s">
        <v>686</v>
      </c>
      <c r="B100" t="str">
        <f>VLOOKUP(T_RevisionRUT[[#This Row],[BBDD]],T_Voluntarios[],1,FALSE)</f>
        <v>19798265-9</v>
      </c>
      <c r="C100">
        <f>COUNTIF(T_RevisionRUT[BBDD],T_RevisionRUT[[#This Row],[BBDD]])</f>
        <v>1</v>
      </c>
    </row>
    <row r="101" spans="1:3" hidden="1" x14ac:dyDescent="0.3">
      <c r="A101" t="s">
        <v>138</v>
      </c>
      <c r="B101" t="str">
        <f>VLOOKUP(T_RevisionRUT[[#This Row],[BBDD]],T_Voluntarios[],1,FALSE)</f>
        <v>17395890-0</v>
      </c>
      <c r="C101">
        <f>COUNTIF(T_RevisionRUT[BBDD],T_RevisionRUT[[#This Row],[BBDD]])</f>
        <v>1</v>
      </c>
    </row>
    <row r="102" spans="1:3" hidden="1" x14ac:dyDescent="0.3">
      <c r="A102" t="s">
        <v>1758</v>
      </c>
      <c r="B102" t="str">
        <f>VLOOKUP(T_RevisionRUT[[#This Row],[BBDD]],T_Voluntarios[],1,FALSE)</f>
        <v>16490600-0</v>
      </c>
      <c r="C102">
        <f>COUNTIF(T_RevisionRUT[BBDD],T_RevisionRUT[[#This Row],[BBDD]])</f>
        <v>1</v>
      </c>
    </row>
    <row r="103" spans="1:3" hidden="1" x14ac:dyDescent="0.3">
      <c r="A103" t="s">
        <v>1771</v>
      </c>
      <c r="B103" t="str">
        <f>VLOOKUP(T_RevisionRUT[[#This Row],[BBDD]],T_Voluntarios[],1,FALSE)</f>
        <v>20823656-3</v>
      </c>
      <c r="C103">
        <f>COUNTIF(T_RevisionRUT[BBDD],T_RevisionRUT[[#This Row],[BBDD]])</f>
        <v>1</v>
      </c>
    </row>
    <row r="104" spans="1:3" hidden="1" x14ac:dyDescent="0.3">
      <c r="A104" t="s">
        <v>1780</v>
      </c>
      <c r="B104" t="str">
        <f>VLOOKUP(T_RevisionRUT[[#This Row],[BBDD]],T_Voluntarios[],1,FALSE)</f>
        <v>21305751-0</v>
      </c>
      <c r="C104">
        <f>COUNTIF(T_RevisionRUT[BBDD],T_RevisionRUT[[#This Row],[BBDD]])</f>
        <v>1</v>
      </c>
    </row>
    <row r="105" spans="1:3" hidden="1" x14ac:dyDescent="0.3">
      <c r="A105" t="s">
        <v>251</v>
      </c>
      <c r="B105" t="str">
        <f>VLOOKUP(T_RevisionRUT[[#This Row],[BBDD]],T_Voluntarios[],1,FALSE)</f>
        <v>18686470-0</v>
      </c>
      <c r="C105">
        <f>COUNTIF(T_RevisionRUT[BBDD],T_RevisionRUT[[#This Row],[BBDD]])</f>
        <v>1</v>
      </c>
    </row>
    <row r="106" spans="1:3" hidden="1" x14ac:dyDescent="0.3">
      <c r="A106" t="s">
        <v>1788</v>
      </c>
      <c r="B106" t="str">
        <f>VLOOKUP(T_RevisionRUT[[#This Row],[BBDD]],T_Voluntarios[],1,FALSE)</f>
        <v>19765737-5</v>
      </c>
      <c r="C106">
        <f>COUNTIF(T_RevisionRUT[BBDD],T_RevisionRUT[[#This Row],[BBDD]])</f>
        <v>1</v>
      </c>
    </row>
    <row r="107" spans="1:3" hidden="1" x14ac:dyDescent="0.3">
      <c r="A107" t="s">
        <v>1798</v>
      </c>
      <c r="B107" t="str">
        <f>VLOOKUP(T_RevisionRUT[[#This Row],[BBDD]],T_Voluntarios[],1,FALSE)</f>
        <v>13387134-9</v>
      </c>
      <c r="C107">
        <f>COUNTIF(T_RevisionRUT[BBDD],T_RevisionRUT[[#This Row],[BBDD]])</f>
        <v>1</v>
      </c>
    </row>
    <row r="108" spans="1:3" hidden="1" x14ac:dyDescent="0.3">
      <c r="A108" t="s">
        <v>1807</v>
      </c>
      <c r="B108" t="str">
        <f>VLOOKUP(T_RevisionRUT[[#This Row],[BBDD]],T_Voluntarios[],1,FALSE)</f>
        <v>20973166-5</v>
      </c>
      <c r="C108">
        <f>COUNTIF(T_RevisionRUT[BBDD],T_RevisionRUT[[#This Row],[BBDD]])</f>
        <v>1</v>
      </c>
    </row>
    <row r="109" spans="1:3" hidden="1" x14ac:dyDescent="0.3">
      <c r="A109" t="s">
        <v>546</v>
      </c>
      <c r="B109" t="str">
        <f>VLOOKUP(T_RevisionRUT[[#This Row],[BBDD]],T_Voluntarios[],1,FALSE)</f>
        <v>18525115-2</v>
      </c>
      <c r="C109">
        <f>COUNTIF(T_RevisionRUT[BBDD],T_RevisionRUT[[#This Row],[BBDD]])</f>
        <v>1</v>
      </c>
    </row>
    <row r="110" spans="1:3" hidden="1" x14ac:dyDescent="0.3">
      <c r="A110" t="s">
        <v>535</v>
      </c>
      <c r="B110" t="str">
        <f>VLOOKUP(T_RevisionRUT[[#This Row],[BBDD]],T_Voluntarios[],1,FALSE)</f>
        <v>19816809-2</v>
      </c>
      <c r="C110">
        <f>COUNTIF(T_RevisionRUT[BBDD],T_RevisionRUT[[#This Row],[BBDD]])</f>
        <v>1</v>
      </c>
    </row>
    <row r="111" spans="1:3" hidden="1" x14ac:dyDescent="0.3">
      <c r="A111" t="s">
        <v>1891</v>
      </c>
      <c r="B111" t="str">
        <f>VLOOKUP(T_RevisionRUT[[#This Row],[BBDD]],T_Voluntarios[],1,FALSE)</f>
        <v>20680877-2</v>
      </c>
      <c r="C111">
        <f>COUNTIF(T_RevisionRUT[BBDD],T_RevisionRUT[[#This Row],[BBDD]])</f>
        <v>1</v>
      </c>
    </row>
    <row r="112" spans="1:3" hidden="1" x14ac:dyDescent="0.3">
      <c r="A112" t="s">
        <v>1963</v>
      </c>
      <c r="B112" t="str">
        <f>VLOOKUP(T_RevisionRUT[[#This Row],[BBDD]],T_Voluntarios[],1,FALSE)</f>
        <v>16738221-5</v>
      </c>
      <c r="C112">
        <f>COUNTIF(T_RevisionRUT[BBDD],T_RevisionRUT[[#This Row],[BBDD]])</f>
        <v>1</v>
      </c>
    </row>
    <row r="113" spans="1:3" hidden="1" x14ac:dyDescent="0.3">
      <c r="A113" t="s">
        <v>1900</v>
      </c>
      <c r="B113" t="str">
        <f>VLOOKUP(T_RevisionRUT[[#This Row],[BBDD]],T_Voluntarios[],1,FALSE)</f>
        <v>16898721-8</v>
      </c>
      <c r="C113">
        <f>COUNTIF(T_RevisionRUT[BBDD],T_RevisionRUT[[#This Row],[BBDD]])</f>
        <v>1</v>
      </c>
    </row>
    <row r="114" spans="1:3" hidden="1" x14ac:dyDescent="0.3">
      <c r="A114" t="s">
        <v>1908</v>
      </c>
      <c r="B114" t="str">
        <f>VLOOKUP(T_RevisionRUT[[#This Row],[BBDD]],T_Voluntarios[],1,FALSE)</f>
        <v>20020612-6</v>
      </c>
      <c r="C114">
        <f>COUNTIF(T_RevisionRUT[BBDD],T_RevisionRUT[[#This Row],[BBDD]])</f>
        <v>1</v>
      </c>
    </row>
    <row r="115" spans="1:3" hidden="1" x14ac:dyDescent="0.3">
      <c r="A115" t="s">
        <v>1990</v>
      </c>
      <c r="B115" t="str">
        <f>VLOOKUP(T_RevisionRUT[[#This Row],[BBDD]],T_Voluntarios[],1,FALSE)</f>
        <v>19797172-K</v>
      </c>
      <c r="C115">
        <f>COUNTIF(T_RevisionRUT[BBDD],T_RevisionRUT[[#This Row],[BBDD]])</f>
        <v>1</v>
      </c>
    </row>
    <row r="116" spans="1:3" hidden="1" x14ac:dyDescent="0.3">
      <c r="A116" t="s">
        <v>147</v>
      </c>
      <c r="B116" t="str">
        <f>VLOOKUP(T_RevisionRUT[[#This Row],[BBDD]],T_Voluntarios[],1,FALSE)</f>
        <v>19533643-1</v>
      </c>
      <c r="C116">
        <f>COUNTIF(T_RevisionRUT[BBDD],T_RevisionRUT[[#This Row],[BBDD]])</f>
        <v>1</v>
      </c>
    </row>
    <row r="117" spans="1:3" hidden="1" x14ac:dyDescent="0.3">
      <c r="A117" t="s">
        <v>1923</v>
      </c>
      <c r="B117" t="str">
        <f>VLOOKUP(T_RevisionRUT[[#This Row],[BBDD]],T_Voluntarios[],1,FALSE)</f>
        <v>18807829-K</v>
      </c>
      <c r="C117">
        <f>COUNTIF(T_RevisionRUT[BBDD],T_RevisionRUT[[#This Row],[BBDD]])</f>
        <v>1</v>
      </c>
    </row>
    <row r="118" spans="1:3" hidden="1" x14ac:dyDescent="0.3">
      <c r="A118" t="s">
        <v>1942</v>
      </c>
      <c r="B118" t="str">
        <f>VLOOKUP(T_RevisionRUT[[#This Row],[BBDD]],T_Voluntarios[],1,FALSE)</f>
        <v>19615529-5</v>
      </c>
      <c r="C118">
        <f>COUNTIF(T_RevisionRUT[BBDD],T_RevisionRUT[[#This Row],[BBDD]])</f>
        <v>1</v>
      </c>
    </row>
    <row r="119" spans="1:3" hidden="1" x14ac:dyDescent="0.3">
      <c r="A119" t="s">
        <v>1953</v>
      </c>
      <c r="B119" t="str">
        <f>VLOOKUP(T_RevisionRUT[[#This Row],[BBDD]],T_Voluntarios[],1,FALSE)</f>
        <v>21483687-4</v>
      </c>
      <c r="C119">
        <f>COUNTIF(T_RevisionRUT[BBDD],T_RevisionRUT[[#This Row],[BBDD]])</f>
        <v>1</v>
      </c>
    </row>
    <row r="120" spans="1:3" hidden="1" x14ac:dyDescent="0.3">
      <c r="A120" t="s">
        <v>2018</v>
      </c>
      <c r="B120" t="str">
        <f>VLOOKUP(T_RevisionRUT[[#This Row],[BBDD]],T_Voluntarios[],1,FALSE)</f>
        <v>19835330-2</v>
      </c>
      <c r="C120">
        <f>COUNTIF(T_RevisionRUT[BBDD],T_RevisionRUT[[#This Row],[BBDD]])</f>
        <v>1</v>
      </c>
    </row>
    <row r="121" spans="1:3" hidden="1" x14ac:dyDescent="0.3">
      <c r="A121" t="s">
        <v>525</v>
      </c>
      <c r="B121" t="str">
        <f>VLOOKUP(T_RevisionRUT[[#This Row],[BBDD]],T_Voluntarios[],1,FALSE)</f>
        <v>14068351-5</v>
      </c>
      <c r="C121">
        <f>COUNTIF(T_RevisionRUT[BBDD],T_RevisionRUT[[#This Row],[BBDD]])</f>
        <v>1</v>
      </c>
    </row>
    <row r="122" spans="1:3" hidden="1" x14ac:dyDescent="0.3">
      <c r="A122" t="s">
        <v>228</v>
      </c>
      <c r="B122" t="str">
        <f>VLOOKUP(T_RevisionRUT[[#This Row],[BBDD]],T_Voluntarios[],1,FALSE)</f>
        <v>12549494-3</v>
      </c>
      <c r="C122">
        <f>COUNTIF(T_RevisionRUT[BBDD],T_RevisionRUT[[#This Row],[BBDD]])</f>
        <v>1</v>
      </c>
    </row>
    <row r="123" spans="1:3" hidden="1" x14ac:dyDescent="0.3">
      <c r="A123" t="s">
        <v>2114</v>
      </c>
      <c r="B123" t="str">
        <f>VLOOKUP(T_RevisionRUT[[#This Row],[BBDD]],T_Voluntarios[],1,FALSE)</f>
        <v>14028528-5</v>
      </c>
      <c r="C123">
        <f>COUNTIF(T_RevisionRUT[BBDD],T_RevisionRUT[[#This Row],[BBDD]])</f>
        <v>1</v>
      </c>
    </row>
    <row r="124" spans="1:3" hidden="1" x14ac:dyDescent="0.3">
      <c r="A124" t="s">
        <v>2054</v>
      </c>
      <c r="B124" t="str">
        <f>VLOOKUP(T_RevisionRUT[[#This Row],[BBDD]],T_Voluntarios[],1,FALSE)</f>
        <v>19835395-7</v>
      </c>
      <c r="C124">
        <f>COUNTIF(T_RevisionRUT[BBDD],T_RevisionRUT[[#This Row],[BBDD]])</f>
        <v>1</v>
      </c>
    </row>
    <row r="125" spans="1:3" hidden="1" x14ac:dyDescent="0.3">
      <c r="A125" t="s">
        <v>2062</v>
      </c>
      <c r="B125" t="str">
        <f>VLOOKUP(T_RevisionRUT[[#This Row],[BBDD]],T_Voluntarios[],1,FALSE)</f>
        <v>19834316-1</v>
      </c>
      <c r="C125">
        <f>COUNTIF(T_RevisionRUT[BBDD],T_RevisionRUT[[#This Row],[BBDD]])</f>
        <v>1</v>
      </c>
    </row>
    <row r="126" spans="1:3" hidden="1" x14ac:dyDescent="0.3">
      <c r="A126" t="s">
        <v>2141</v>
      </c>
      <c r="B126" t="str">
        <f>VLOOKUP(T_RevisionRUT[[#This Row],[BBDD]],T_Voluntarios[],1,FALSE)</f>
        <v>16764087-7</v>
      </c>
      <c r="C126">
        <f>COUNTIF(T_RevisionRUT[BBDD],T_RevisionRUT[[#This Row],[BBDD]])</f>
        <v>1</v>
      </c>
    </row>
    <row r="127" spans="1:3" hidden="1" x14ac:dyDescent="0.3">
      <c r="A127" t="s">
        <v>2077</v>
      </c>
      <c r="B127" t="str">
        <f>VLOOKUP(T_RevisionRUT[[#This Row],[BBDD]],T_Voluntarios[],1,FALSE)</f>
        <v>20949468-K</v>
      </c>
      <c r="C127">
        <f>COUNTIF(T_RevisionRUT[BBDD],T_RevisionRUT[[#This Row],[BBDD]])</f>
        <v>1</v>
      </c>
    </row>
    <row r="128" spans="1:3" hidden="1" x14ac:dyDescent="0.3">
      <c r="A128" t="s">
        <v>2152</v>
      </c>
      <c r="B128" t="str">
        <f>VLOOKUP(T_RevisionRUT[[#This Row],[BBDD]],T_Voluntarios[],1,FALSE)</f>
        <v>19947418-9</v>
      </c>
      <c r="C128">
        <f>COUNTIF(T_RevisionRUT[BBDD],T_RevisionRUT[[#This Row],[BBDD]])</f>
        <v>1</v>
      </c>
    </row>
    <row r="129" spans="1:3" hidden="1" x14ac:dyDescent="0.3">
      <c r="A129" t="s">
        <v>2087</v>
      </c>
      <c r="B129" t="str">
        <f>VLOOKUP(T_RevisionRUT[[#This Row],[BBDD]],T_Voluntarios[],1,FALSE)</f>
        <v>21572281-3</v>
      </c>
      <c r="C129">
        <f>COUNTIF(T_RevisionRUT[BBDD],T_RevisionRUT[[#This Row],[BBDD]])</f>
        <v>1</v>
      </c>
    </row>
    <row r="130" spans="1:3" hidden="1" x14ac:dyDescent="0.3">
      <c r="A130" t="s">
        <v>2095</v>
      </c>
      <c r="B130" t="str">
        <f>VLOOKUP(T_RevisionRUT[[#This Row],[BBDD]],T_Voluntarios[],1,FALSE)</f>
        <v>21313286-5</v>
      </c>
      <c r="C130">
        <f>COUNTIF(T_RevisionRUT[BBDD],T_RevisionRUT[[#This Row],[BBDD]])</f>
        <v>1</v>
      </c>
    </row>
    <row r="131" spans="1:3" hidden="1" x14ac:dyDescent="0.3">
      <c r="A131" t="s">
        <v>2106</v>
      </c>
      <c r="B131" t="str">
        <f>VLOOKUP(T_RevisionRUT[[#This Row],[BBDD]],T_Voluntarios[],1,FALSE)</f>
        <v>21252064-0</v>
      </c>
      <c r="C131">
        <f>COUNTIF(T_RevisionRUT[BBDD],T_RevisionRUT[[#This Row],[BBDD]])</f>
        <v>1</v>
      </c>
    </row>
    <row r="132" spans="1:3" hidden="1" x14ac:dyDescent="0.3">
      <c r="A132" t="s">
        <v>2127</v>
      </c>
      <c r="B132" t="str">
        <f>VLOOKUP(T_RevisionRUT[[#This Row],[BBDD]],T_Voluntarios[],1,FALSE)</f>
        <v>12073270-6</v>
      </c>
      <c r="C132">
        <f>COUNTIF(T_RevisionRUT[BBDD],T_RevisionRUT[[#This Row],[BBDD]])</f>
        <v>1</v>
      </c>
    </row>
    <row r="133" spans="1:3" hidden="1" x14ac:dyDescent="0.3">
      <c r="A133" t="s">
        <v>559</v>
      </c>
      <c r="B133" t="str">
        <f>VLOOKUP(T_RevisionRUT[[#This Row],[BBDD]],T_Voluntarios[],1,FALSE)</f>
        <v>20994815-K</v>
      </c>
      <c r="C133">
        <f>COUNTIF(T_RevisionRUT[BBDD],T_RevisionRUT[[#This Row],[BBDD]])</f>
        <v>1</v>
      </c>
    </row>
    <row r="134" spans="1:3" hidden="1" x14ac:dyDescent="0.3">
      <c r="A134" t="s">
        <v>2334</v>
      </c>
      <c r="B134" t="str">
        <f>VLOOKUP(T_RevisionRUT[[#This Row],[BBDD]],T_Voluntarios[],1,FALSE)</f>
        <v>21129923-1</v>
      </c>
      <c r="C134">
        <f>COUNTIF(T_RevisionRUT[BBDD],T_RevisionRUT[[#This Row],[BBDD]])</f>
        <v>1</v>
      </c>
    </row>
    <row r="135" spans="1:3" hidden="1" x14ac:dyDescent="0.3">
      <c r="A135" t="s">
        <v>2178</v>
      </c>
      <c r="B135" t="str">
        <f>VLOOKUP(T_RevisionRUT[[#This Row],[BBDD]],T_Voluntarios[],1,FALSE)</f>
        <v>20827682-4</v>
      </c>
      <c r="C135">
        <f>COUNTIF(T_RevisionRUT[BBDD],T_RevisionRUT[[#This Row],[BBDD]])</f>
        <v>1</v>
      </c>
    </row>
    <row r="136" spans="1:3" hidden="1" x14ac:dyDescent="0.3">
      <c r="A136" t="s">
        <v>2189</v>
      </c>
      <c r="B136" t="str">
        <f>VLOOKUP(T_RevisionRUT[[#This Row],[BBDD]],T_Voluntarios[],1,FALSE)</f>
        <v>21388383-6</v>
      </c>
      <c r="C136">
        <f>COUNTIF(T_RevisionRUT[BBDD],T_RevisionRUT[[#This Row],[BBDD]])</f>
        <v>1</v>
      </c>
    </row>
    <row r="137" spans="1:3" hidden="1" x14ac:dyDescent="0.3">
      <c r="A137" t="s">
        <v>2227</v>
      </c>
      <c r="B137" t="str">
        <f>VLOOKUP(T_RevisionRUT[[#This Row],[BBDD]],T_Voluntarios[],1,FALSE)</f>
        <v>20917350-6</v>
      </c>
      <c r="C137">
        <f>COUNTIF(T_RevisionRUT[BBDD],T_RevisionRUT[[#This Row],[BBDD]])</f>
        <v>1</v>
      </c>
    </row>
    <row r="138" spans="1:3" hidden="1" x14ac:dyDescent="0.3">
      <c r="A138" t="s">
        <v>2197</v>
      </c>
      <c r="B138" t="str">
        <f>VLOOKUP(T_RevisionRUT[[#This Row],[BBDD]],T_Voluntarios[],1,FALSE)</f>
        <v>20911665-0</v>
      </c>
      <c r="C138">
        <f>COUNTIF(T_RevisionRUT[BBDD],T_RevisionRUT[[#This Row],[BBDD]])</f>
        <v>1</v>
      </c>
    </row>
    <row r="139" spans="1:3" hidden="1" x14ac:dyDescent="0.3">
      <c r="A139" t="s">
        <v>2237</v>
      </c>
      <c r="B139" t="str">
        <f>VLOOKUP(T_RevisionRUT[[#This Row],[BBDD]],T_Voluntarios[],1,FALSE)</f>
        <v>16037886-7</v>
      </c>
      <c r="C139">
        <f>COUNTIF(T_RevisionRUT[BBDD],T_RevisionRUT[[#This Row],[BBDD]])</f>
        <v>1</v>
      </c>
    </row>
    <row r="140" spans="1:3" hidden="1" x14ac:dyDescent="0.3">
      <c r="A140" t="s">
        <v>2322</v>
      </c>
      <c r="B140" t="str">
        <f>VLOOKUP(T_RevisionRUT[[#This Row],[BBDD]],T_Voluntarios[],1,FALSE)</f>
        <v>20983670-K</v>
      </c>
      <c r="C140">
        <f>COUNTIF(T_RevisionRUT[BBDD],T_RevisionRUT[[#This Row],[BBDD]])</f>
        <v>1</v>
      </c>
    </row>
    <row r="141" spans="1:3" hidden="1" x14ac:dyDescent="0.3">
      <c r="A141" t="s">
        <v>2204</v>
      </c>
      <c r="B141" t="str">
        <f>VLOOKUP(T_RevisionRUT[[#This Row],[BBDD]],T_Voluntarios[],1,FALSE)</f>
        <v>21179860-2</v>
      </c>
      <c r="C141">
        <f>COUNTIF(T_RevisionRUT[BBDD],T_RevisionRUT[[#This Row],[BBDD]])</f>
        <v>1</v>
      </c>
    </row>
    <row r="142" spans="1:3" hidden="1" x14ac:dyDescent="0.3">
      <c r="A142" t="s">
        <v>2289</v>
      </c>
      <c r="B142" t="str">
        <f>VLOOKUP(T_RevisionRUT[[#This Row],[BBDD]],T_Voluntarios[],1,FALSE)</f>
        <v>16229438-5</v>
      </c>
      <c r="C142">
        <f>COUNTIF(T_RevisionRUT[BBDD],T_RevisionRUT[[#This Row],[BBDD]])</f>
        <v>1</v>
      </c>
    </row>
    <row r="143" spans="1:3" hidden="1" x14ac:dyDescent="0.3">
      <c r="A143" t="s">
        <v>2346</v>
      </c>
      <c r="B143" t="str">
        <f>VLOOKUP(T_RevisionRUT[[#This Row],[BBDD]],T_Voluntarios[],1,FALSE)</f>
        <v>21613232-7</v>
      </c>
      <c r="C143">
        <f>COUNTIF(T_RevisionRUT[BBDD],T_RevisionRUT[[#This Row],[BBDD]])</f>
        <v>1</v>
      </c>
    </row>
    <row r="144" spans="1:3" hidden="1" x14ac:dyDescent="0.3">
      <c r="A144" t="s">
        <v>2211</v>
      </c>
      <c r="B144" t="str">
        <f>VLOOKUP(T_RevisionRUT[[#This Row],[BBDD]],T_Voluntarios[],1,FALSE)</f>
        <v>21616122-K</v>
      </c>
      <c r="C144">
        <f>COUNTIF(T_RevisionRUT[BBDD],T_RevisionRUT[[#This Row],[BBDD]])</f>
        <v>1</v>
      </c>
    </row>
    <row r="145" spans="1:3" hidden="1" x14ac:dyDescent="0.3">
      <c r="A145" t="s">
        <v>2935</v>
      </c>
      <c r="B145" t="str">
        <f>VLOOKUP(T_RevisionRUT[[#This Row],[BBDD]],T_Voluntarios[],1,FALSE)</f>
        <v>18413346-6</v>
      </c>
      <c r="C145">
        <f>COUNTIF(T_RevisionRUT[BBDD],T_RevisionRUT[[#This Row],[BBDD]])</f>
        <v>1</v>
      </c>
    </row>
    <row r="146" spans="1:3" hidden="1" x14ac:dyDescent="0.3">
      <c r="A146" t="s">
        <v>2219</v>
      </c>
      <c r="B146" t="str">
        <f>VLOOKUP(T_RevisionRUT[[#This Row],[BBDD]],T_Voluntarios[],1,FALSE)</f>
        <v>20913656-2</v>
      </c>
      <c r="C146">
        <f>COUNTIF(T_RevisionRUT[BBDD],T_RevisionRUT[[#This Row],[BBDD]])</f>
        <v>1</v>
      </c>
    </row>
    <row r="147" spans="1:3" hidden="1" x14ac:dyDescent="0.3">
      <c r="A147" t="s">
        <v>2355</v>
      </c>
      <c r="B147" t="str">
        <f>VLOOKUP(T_RevisionRUT[[#This Row],[BBDD]],T_Voluntarios[],1,FALSE)</f>
        <v>17869632-7</v>
      </c>
      <c r="C147">
        <f>COUNTIF(T_RevisionRUT[BBDD],T_RevisionRUT[[#This Row],[BBDD]])</f>
        <v>1</v>
      </c>
    </row>
    <row r="148" spans="1:3" hidden="1" x14ac:dyDescent="0.3">
      <c r="A148" t="s">
        <v>2307</v>
      </c>
      <c r="B148" t="str">
        <f>VLOOKUP(T_RevisionRUT[[#This Row],[BBDD]],T_Voluntarios[],1,FALSE)</f>
        <v>14545408-5</v>
      </c>
      <c r="C148">
        <f>COUNTIF(T_RevisionRUT[BBDD],T_RevisionRUT[[#This Row],[BBDD]])</f>
        <v>1</v>
      </c>
    </row>
    <row r="149" spans="1:3" hidden="1" x14ac:dyDescent="0.3">
      <c r="A149" t="s">
        <v>2369</v>
      </c>
      <c r="B149" t="str">
        <f>VLOOKUP(T_RevisionRUT[[#This Row],[BBDD]],T_Voluntarios[],1,FALSE)</f>
        <v>20114528-7</v>
      </c>
      <c r="C149">
        <f>COUNTIF(T_RevisionRUT[BBDD],T_RevisionRUT[[#This Row],[BBDD]])</f>
        <v>1</v>
      </c>
    </row>
    <row r="150" spans="1:3" hidden="1" x14ac:dyDescent="0.3">
      <c r="A150" t="s">
        <v>2248</v>
      </c>
      <c r="B150" t="str">
        <f>VLOOKUP(T_RevisionRUT[[#This Row],[BBDD]],T_Voluntarios[],1,FALSE)</f>
        <v>21149119-1</v>
      </c>
      <c r="C150">
        <f>COUNTIF(T_RevisionRUT[BBDD],T_RevisionRUT[[#This Row],[BBDD]])</f>
        <v>1</v>
      </c>
    </row>
    <row r="151" spans="1:3" hidden="1" x14ac:dyDescent="0.3">
      <c r="A151" t="s">
        <v>2258</v>
      </c>
      <c r="B151" t="str">
        <f>VLOOKUP(T_RevisionRUT[[#This Row],[BBDD]],T_Voluntarios[],1,FALSE)</f>
        <v>21467393-2</v>
      </c>
      <c r="C151">
        <f>COUNTIF(T_RevisionRUT[BBDD],T_RevisionRUT[[#This Row],[BBDD]])</f>
        <v>1</v>
      </c>
    </row>
    <row r="152" spans="1:3" hidden="1" x14ac:dyDescent="0.3">
      <c r="A152" t="s">
        <v>2280</v>
      </c>
      <c r="B152" t="str">
        <f>VLOOKUP(T_RevisionRUT[[#This Row],[BBDD]],T_Voluntarios[],1,FALSE)</f>
        <v>16395741-8</v>
      </c>
      <c r="C152">
        <f>COUNTIF(T_RevisionRUT[BBDD],T_RevisionRUT[[#This Row],[BBDD]])</f>
        <v>1</v>
      </c>
    </row>
    <row r="153" spans="1:3" hidden="1" x14ac:dyDescent="0.3">
      <c r="A153" t="s">
        <v>2267</v>
      </c>
      <c r="B153" t="str">
        <f>VLOOKUP(T_RevisionRUT[[#This Row],[BBDD]],T_Voluntarios[],1,FALSE)</f>
        <v>21130967-9</v>
      </c>
      <c r="C153">
        <f>COUNTIF(T_RevisionRUT[BBDD],T_RevisionRUT[[#This Row],[BBDD]])</f>
        <v>1</v>
      </c>
    </row>
    <row r="154" spans="1:3" hidden="1" x14ac:dyDescent="0.3">
      <c r="A154" t="s">
        <v>2380</v>
      </c>
      <c r="B154" t="str">
        <f>VLOOKUP(T_RevisionRUT[[#This Row],[BBDD]],T_Voluntarios[],1,FALSE)</f>
        <v>20346662-5</v>
      </c>
      <c r="C154">
        <f>COUNTIF(T_RevisionRUT[BBDD],T_RevisionRUT[[#This Row],[BBDD]])</f>
        <v>1</v>
      </c>
    </row>
    <row r="155" spans="1:3" hidden="1" x14ac:dyDescent="0.3">
      <c r="A155" t="s">
        <v>2397</v>
      </c>
      <c r="B155" t="str">
        <f>VLOOKUP(T_RevisionRUT[[#This Row],[BBDD]],T_Voluntarios[],1,FALSE)</f>
        <v>21262310-5</v>
      </c>
      <c r="C155">
        <f>COUNTIF(T_RevisionRUT[BBDD],T_RevisionRUT[[#This Row],[BBDD]])</f>
        <v>1</v>
      </c>
    </row>
    <row r="156" spans="1:3" hidden="1" x14ac:dyDescent="0.3">
      <c r="A156" t="s">
        <v>2605</v>
      </c>
      <c r="B156" t="str">
        <f>VLOOKUP(T_RevisionRUT[[#This Row],[BBDD]],T_Voluntarios[],1,FALSE)</f>
        <v>12303496-1</v>
      </c>
      <c r="C156">
        <f>COUNTIF(T_RevisionRUT[BBDD],T_RevisionRUT[[#This Row],[BBDD]])</f>
        <v>1</v>
      </c>
    </row>
    <row r="157" spans="1:3" hidden="1" x14ac:dyDescent="0.3">
      <c r="A157" t="s">
        <v>2408</v>
      </c>
      <c r="B157" t="str">
        <f>VLOOKUP(T_RevisionRUT[[#This Row],[BBDD]],T_Voluntarios[],1,FALSE)</f>
        <v>21044758-K</v>
      </c>
      <c r="C157">
        <f>COUNTIF(T_RevisionRUT[BBDD],T_RevisionRUT[[#This Row],[BBDD]])</f>
        <v>1</v>
      </c>
    </row>
    <row r="158" spans="1:3" hidden="1" x14ac:dyDescent="0.3">
      <c r="A158" t="s">
        <v>2639</v>
      </c>
      <c r="B158" t="str">
        <f>VLOOKUP(T_RevisionRUT[[#This Row],[BBDD]],T_Voluntarios[],1,FALSE)</f>
        <v>18800211-0</v>
      </c>
      <c r="C158">
        <f>COUNTIF(T_RevisionRUT[BBDD],T_RevisionRUT[[#This Row],[BBDD]])</f>
        <v>1</v>
      </c>
    </row>
    <row r="159" spans="1:3" hidden="1" x14ac:dyDescent="0.3">
      <c r="A159" t="s">
        <v>2651</v>
      </c>
      <c r="B159" t="str">
        <f>VLOOKUP(T_RevisionRUT[[#This Row],[BBDD]],T_Voluntarios[],1,FALSE)</f>
        <v>20515958-4</v>
      </c>
      <c r="C159">
        <f>COUNTIF(T_RevisionRUT[BBDD],T_RevisionRUT[[#This Row],[BBDD]])</f>
        <v>1</v>
      </c>
    </row>
    <row r="160" spans="1:3" hidden="1" x14ac:dyDescent="0.3">
      <c r="A160" t="s">
        <v>2416</v>
      </c>
      <c r="B160" t="str">
        <f>VLOOKUP(T_RevisionRUT[[#This Row],[BBDD]],T_Voluntarios[],1,FALSE)</f>
        <v>21236548-3</v>
      </c>
      <c r="C160">
        <f>COUNTIF(T_RevisionRUT[BBDD],T_RevisionRUT[[#This Row],[BBDD]])</f>
        <v>1</v>
      </c>
    </row>
    <row r="161" spans="1:3" hidden="1" x14ac:dyDescent="0.3">
      <c r="A161" t="s">
        <v>2430</v>
      </c>
      <c r="B161" t="str">
        <f>VLOOKUP(T_RevisionRUT[[#This Row],[BBDD]],T_Voluntarios[],1,FALSE)</f>
        <v>22060019-K</v>
      </c>
      <c r="C161">
        <f>COUNTIF(T_RevisionRUT[BBDD],T_RevisionRUT[[#This Row],[BBDD]])</f>
        <v>1</v>
      </c>
    </row>
    <row r="162" spans="1:3" hidden="1" x14ac:dyDescent="0.3">
      <c r="A162" t="s">
        <v>217</v>
      </c>
      <c r="B162" t="str">
        <f>VLOOKUP(T_RevisionRUT[[#This Row],[BBDD]],T_Voluntarios[],1,FALSE)</f>
        <v>19090410-5</v>
      </c>
      <c r="C162">
        <f>COUNTIF(T_RevisionRUT[BBDD],T_RevisionRUT[[#This Row],[BBDD]])</f>
        <v>1</v>
      </c>
    </row>
    <row r="163" spans="1:3" hidden="1" x14ac:dyDescent="0.3">
      <c r="A163" t="s">
        <v>2439</v>
      </c>
      <c r="B163" t="str">
        <f>VLOOKUP(T_RevisionRUT[[#This Row],[BBDD]],T_Voluntarios[],1,FALSE)</f>
        <v>19596163-8</v>
      </c>
      <c r="C163">
        <f>COUNTIF(T_RevisionRUT[BBDD],T_RevisionRUT[[#This Row],[BBDD]])</f>
        <v>1</v>
      </c>
    </row>
    <row r="164" spans="1:3" hidden="1" x14ac:dyDescent="0.3">
      <c r="A164" t="s">
        <v>2671</v>
      </c>
      <c r="B164" t="str">
        <f>VLOOKUP(T_RevisionRUT[[#This Row],[BBDD]],T_Voluntarios[],1,FALSE)</f>
        <v>19580739-6</v>
      </c>
      <c r="C164">
        <f>COUNTIF(T_RevisionRUT[BBDD],T_RevisionRUT[[#This Row],[BBDD]])</f>
        <v>1</v>
      </c>
    </row>
    <row r="165" spans="1:3" hidden="1" x14ac:dyDescent="0.3">
      <c r="A165" t="s">
        <v>2452</v>
      </c>
      <c r="B165" t="str">
        <f>VLOOKUP(T_RevisionRUT[[#This Row],[BBDD]],T_Voluntarios[],1,FALSE)</f>
        <v>21198146-6</v>
      </c>
      <c r="C165">
        <f>COUNTIF(T_RevisionRUT[BBDD],T_RevisionRUT[[#This Row],[BBDD]])</f>
        <v>1</v>
      </c>
    </row>
    <row r="166" spans="1:3" hidden="1" x14ac:dyDescent="0.3">
      <c r="A166" t="s">
        <v>2465</v>
      </c>
      <c r="B166" t="str">
        <f>VLOOKUP(T_RevisionRUT[[#This Row],[BBDD]],T_Voluntarios[],1,FALSE)</f>
        <v>21219951-6</v>
      </c>
      <c r="C166">
        <f>COUNTIF(T_RevisionRUT[BBDD],T_RevisionRUT[[#This Row],[BBDD]])</f>
        <v>1</v>
      </c>
    </row>
    <row r="167" spans="1:3" hidden="1" x14ac:dyDescent="0.3">
      <c r="A167" t="s">
        <v>544</v>
      </c>
      <c r="B167" t="str">
        <f>VLOOKUP(T_RevisionRUT[[#This Row],[BBDD]],T_Voluntarios[],1,FALSE)</f>
        <v>19615922-3</v>
      </c>
      <c r="C167">
        <f>COUNTIF(T_RevisionRUT[BBDD],T_RevisionRUT[[#This Row],[BBDD]])</f>
        <v>1</v>
      </c>
    </row>
    <row r="168" spans="1:3" hidden="1" x14ac:dyDescent="0.3">
      <c r="A168" t="s">
        <v>2473</v>
      </c>
      <c r="B168" t="str">
        <f>VLOOKUP(T_RevisionRUT[[#This Row],[BBDD]],T_Voluntarios[],1,FALSE)</f>
        <v>19808577-4</v>
      </c>
      <c r="C168">
        <f>COUNTIF(T_RevisionRUT[BBDD],T_RevisionRUT[[#This Row],[BBDD]])</f>
        <v>1</v>
      </c>
    </row>
    <row r="169" spans="1:3" hidden="1" x14ac:dyDescent="0.3">
      <c r="A169" t="s">
        <v>2483</v>
      </c>
      <c r="B169" t="str">
        <f>VLOOKUP(T_RevisionRUT[[#This Row],[BBDD]],T_Voluntarios[],1,FALSE)</f>
        <v>17040813-6</v>
      </c>
      <c r="C169">
        <f>COUNTIF(T_RevisionRUT[BBDD],T_RevisionRUT[[#This Row],[BBDD]])</f>
        <v>1</v>
      </c>
    </row>
    <row r="170" spans="1:3" hidden="1" x14ac:dyDescent="0.3">
      <c r="A170" t="s">
        <v>2494</v>
      </c>
      <c r="B170" t="str">
        <f>VLOOKUP(T_RevisionRUT[[#This Row],[BBDD]],T_Voluntarios[],1,FALSE)</f>
        <v>21789622-3</v>
      </c>
      <c r="C170">
        <f>COUNTIF(T_RevisionRUT[BBDD],T_RevisionRUT[[#This Row],[BBDD]])</f>
        <v>1</v>
      </c>
    </row>
    <row r="171" spans="1:3" hidden="1" x14ac:dyDescent="0.3">
      <c r="A171" t="s">
        <v>2504</v>
      </c>
      <c r="B171" t="str">
        <f>VLOOKUP(T_RevisionRUT[[#This Row],[BBDD]],T_Voluntarios[],1,FALSE)</f>
        <v>21931418-3</v>
      </c>
      <c r="C171">
        <f>COUNTIF(T_RevisionRUT[BBDD],T_RevisionRUT[[#This Row],[BBDD]])</f>
        <v>1</v>
      </c>
    </row>
    <row r="172" spans="1:3" hidden="1" x14ac:dyDescent="0.3">
      <c r="A172" t="s">
        <v>2513</v>
      </c>
      <c r="B172" t="str">
        <f>VLOOKUP(T_RevisionRUT[[#This Row],[BBDD]],T_Voluntarios[],1,FALSE)</f>
        <v>19336099-8</v>
      </c>
      <c r="C172">
        <f>COUNTIF(T_RevisionRUT[BBDD],T_RevisionRUT[[#This Row],[BBDD]])</f>
        <v>1</v>
      </c>
    </row>
    <row r="173" spans="1:3" hidden="1" x14ac:dyDescent="0.3">
      <c r="A173" t="s">
        <v>2522</v>
      </c>
      <c r="B173" t="str">
        <f>VLOOKUP(T_RevisionRUT[[#This Row],[BBDD]],T_Voluntarios[],1,FALSE)</f>
        <v>20977871-8</v>
      </c>
      <c r="C173">
        <f>COUNTIF(T_RevisionRUT[BBDD],T_RevisionRUT[[#This Row],[BBDD]])</f>
        <v>1</v>
      </c>
    </row>
    <row r="174" spans="1:3" hidden="1" x14ac:dyDescent="0.3">
      <c r="A174" t="s">
        <v>2720</v>
      </c>
      <c r="B174" t="str">
        <f>VLOOKUP(T_RevisionRUT[[#This Row],[BBDD]],T_Voluntarios[],1,FALSE)</f>
        <v>20727528-K</v>
      </c>
      <c r="C174">
        <f>COUNTIF(T_RevisionRUT[BBDD],T_RevisionRUT[[#This Row],[BBDD]])</f>
        <v>1</v>
      </c>
    </row>
    <row r="175" spans="1:3" hidden="1" x14ac:dyDescent="0.3">
      <c r="A175" t="s">
        <v>2540</v>
      </c>
      <c r="B175" t="str">
        <f>VLOOKUP(T_RevisionRUT[[#This Row],[BBDD]],T_Voluntarios[],1,FALSE)</f>
        <v>21216333-3</v>
      </c>
      <c r="C175">
        <f>COUNTIF(T_RevisionRUT[BBDD],T_RevisionRUT[[#This Row],[BBDD]])</f>
        <v>1</v>
      </c>
    </row>
    <row r="176" spans="1:3" hidden="1" x14ac:dyDescent="0.3">
      <c r="A176" t="s">
        <v>2618</v>
      </c>
      <c r="B176" t="str">
        <f>VLOOKUP(T_RevisionRUT[[#This Row],[BBDD]],T_Voluntarios[],1,FALSE)</f>
        <v>20489410-8</v>
      </c>
      <c r="C176">
        <f>COUNTIF(T_RevisionRUT[BBDD],T_RevisionRUT[[#This Row],[BBDD]])</f>
        <v>1</v>
      </c>
    </row>
    <row r="177" spans="1:3" hidden="1" x14ac:dyDescent="0.3">
      <c r="A177" t="s">
        <v>2691</v>
      </c>
      <c r="B177" t="str">
        <f>VLOOKUP(T_RevisionRUT[[#This Row],[BBDD]],T_Voluntarios[],1,FALSE)</f>
        <v>13670458-3</v>
      </c>
      <c r="C177">
        <f>COUNTIF(T_RevisionRUT[BBDD],T_RevisionRUT[[#This Row],[BBDD]])</f>
        <v>1</v>
      </c>
    </row>
    <row r="178" spans="1:3" hidden="1" x14ac:dyDescent="0.3">
      <c r="A178" t="s">
        <v>2591</v>
      </c>
      <c r="B178" t="str">
        <f>VLOOKUP(T_RevisionRUT[[#This Row],[BBDD]],T_Voluntarios[],1,FALSE)</f>
        <v>14417326-0</v>
      </c>
      <c r="C178">
        <f>COUNTIF(T_RevisionRUT[BBDD],T_RevisionRUT[[#This Row],[BBDD]])</f>
        <v>1</v>
      </c>
    </row>
    <row r="179" spans="1:3" hidden="1" x14ac:dyDescent="0.3">
      <c r="A179" t="s">
        <v>2707</v>
      </c>
      <c r="B179" t="str">
        <f>VLOOKUP(T_RevisionRUT[[#This Row],[BBDD]],T_Voluntarios[],1,FALSE)</f>
        <v>18214617-K</v>
      </c>
      <c r="C179">
        <f>COUNTIF(T_RevisionRUT[BBDD],T_RevisionRUT[[#This Row],[BBDD]])</f>
        <v>1</v>
      </c>
    </row>
    <row r="180" spans="1:3" hidden="1" x14ac:dyDescent="0.3">
      <c r="A180" t="s">
        <v>2551</v>
      </c>
      <c r="B180" t="str">
        <f>VLOOKUP(T_RevisionRUT[[#This Row],[BBDD]],T_Voluntarios[],1,FALSE)</f>
        <v>20992153-7</v>
      </c>
      <c r="C180">
        <f>COUNTIF(T_RevisionRUT[BBDD],T_RevisionRUT[[#This Row],[BBDD]])</f>
        <v>1</v>
      </c>
    </row>
    <row r="181" spans="1:3" hidden="1" x14ac:dyDescent="0.3">
      <c r="A181" t="s">
        <v>2627</v>
      </c>
      <c r="B181" t="str">
        <f>VLOOKUP(T_RevisionRUT[[#This Row],[BBDD]],T_Voluntarios[],1,FALSE)</f>
        <v>16396404-K</v>
      </c>
      <c r="C181">
        <f>COUNTIF(T_RevisionRUT[BBDD],T_RevisionRUT[[#This Row],[BBDD]])</f>
        <v>1</v>
      </c>
    </row>
    <row r="182" spans="1:3" hidden="1" x14ac:dyDescent="0.3">
      <c r="A182" t="s">
        <v>2561</v>
      </c>
      <c r="B182" t="str">
        <f>VLOOKUP(T_RevisionRUT[[#This Row],[BBDD]],T_Voluntarios[],1,FALSE)</f>
        <v>20375255-5</v>
      </c>
      <c r="C182">
        <f>COUNTIF(T_RevisionRUT[BBDD],T_RevisionRUT[[#This Row],[BBDD]])</f>
        <v>1</v>
      </c>
    </row>
    <row r="183" spans="1:3" hidden="1" x14ac:dyDescent="0.3">
      <c r="A183" t="s">
        <v>2569</v>
      </c>
      <c r="B183" t="str">
        <f>VLOOKUP(T_RevisionRUT[[#This Row],[BBDD]],T_Voluntarios[],1,FALSE)</f>
        <v>21073153-9</v>
      </c>
      <c r="C183">
        <f>COUNTIF(T_RevisionRUT[BBDD],T_RevisionRUT[[#This Row],[BBDD]])</f>
        <v>1</v>
      </c>
    </row>
    <row r="184" spans="1:3" hidden="1" x14ac:dyDescent="0.3">
      <c r="A184" t="s">
        <v>2578</v>
      </c>
      <c r="B184" t="str">
        <f>VLOOKUP(T_RevisionRUT[[#This Row],[BBDD]],T_Voluntarios[],1,FALSE)</f>
        <v>19595070-9</v>
      </c>
      <c r="C184">
        <f>COUNTIF(T_RevisionRUT[BBDD],T_RevisionRUT[[#This Row],[BBDD]])</f>
        <v>1</v>
      </c>
    </row>
    <row r="185" spans="1:3" hidden="1" x14ac:dyDescent="0.3">
      <c r="A185" t="s">
        <v>2730</v>
      </c>
      <c r="B185" t="str">
        <f>VLOOKUP(T_RevisionRUT[[#This Row],[BBDD]],T_Voluntarios[],1,FALSE)</f>
        <v>16734885-8</v>
      </c>
      <c r="C185">
        <f>COUNTIF(T_RevisionRUT[BBDD],T_RevisionRUT[[#This Row],[BBDD]])</f>
        <v>1</v>
      </c>
    </row>
    <row r="186" spans="1:3" hidden="1" x14ac:dyDescent="0.3">
      <c r="A186" t="s">
        <v>2740</v>
      </c>
      <c r="B186" t="str">
        <f>VLOOKUP(T_RevisionRUT[[#This Row],[BBDD]],T_Voluntarios[],1,FALSE)</f>
        <v>20999968-4</v>
      </c>
      <c r="C186">
        <f>COUNTIF(T_RevisionRUT[BBDD],T_RevisionRUT[[#This Row],[BBDD]])</f>
        <v>1</v>
      </c>
    </row>
    <row r="187" spans="1:3" hidden="1" x14ac:dyDescent="0.3">
      <c r="A187" t="s">
        <v>2749</v>
      </c>
      <c r="B187" t="str">
        <f>VLOOKUP(T_RevisionRUT[[#This Row],[BBDD]],T_Voluntarios[],1,FALSE)</f>
        <v>12078390-4</v>
      </c>
      <c r="C187">
        <f>COUNTIF(T_RevisionRUT[BBDD],T_RevisionRUT[[#This Row],[BBDD]])</f>
        <v>1</v>
      </c>
    </row>
    <row r="188" spans="1:3" hidden="1" x14ac:dyDescent="0.3">
      <c r="A188" t="s">
        <v>2762</v>
      </c>
      <c r="B188" t="str">
        <f>VLOOKUP(T_RevisionRUT[[#This Row],[BBDD]],T_Voluntarios[],1,FALSE)</f>
        <v>20988214-0</v>
      </c>
      <c r="C188">
        <f>COUNTIF(T_RevisionRUT[BBDD],T_RevisionRUT[[#This Row],[BBDD]])</f>
        <v>1</v>
      </c>
    </row>
    <row r="189" spans="1:3" hidden="1" x14ac:dyDescent="0.3">
      <c r="A189" t="s">
        <v>2808</v>
      </c>
      <c r="B189" t="str">
        <f>VLOOKUP(T_RevisionRUT[[#This Row],[BBDD]],T_Voluntarios[],1,FALSE)</f>
        <v>20881296-3</v>
      </c>
      <c r="C189">
        <f>COUNTIF(T_RevisionRUT[BBDD],T_RevisionRUT[[#This Row],[BBDD]])</f>
        <v>1</v>
      </c>
    </row>
    <row r="190" spans="1:3" hidden="1" x14ac:dyDescent="0.3">
      <c r="A190" t="s">
        <v>2845</v>
      </c>
      <c r="B190" t="str">
        <f>VLOOKUP(T_RevisionRUT[[#This Row],[BBDD]],T_Voluntarios[],1,FALSE)</f>
        <v>17857920-7</v>
      </c>
      <c r="C190">
        <f>COUNTIF(T_RevisionRUT[BBDD],T_RevisionRUT[[#This Row],[BBDD]])</f>
        <v>1</v>
      </c>
    </row>
    <row r="191" spans="1:3" hidden="1" x14ac:dyDescent="0.3">
      <c r="A191" t="s">
        <v>2818</v>
      </c>
      <c r="B191" t="str">
        <f>VLOOKUP(T_RevisionRUT[[#This Row],[BBDD]],T_Voluntarios[],1,FALSE)</f>
        <v>21382811-8</v>
      </c>
      <c r="C191">
        <f>COUNTIF(T_RevisionRUT[BBDD],T_RevisionRUT[[#This Row],[BBDD]])</f>
        <v>1</v>
      </c>
    </row>
    <row r="192" spans="1:3" hidden="1" x14ac:dyDescent="0.3">
      <c r="A192" t="s">
        <v>2828</v>
      </c>
      <c r="B192" t="str">
        <f>VLOOKUP(T_RevisionRUT[[#This Row],[BBDD]],T_Voluntarios[],1,FALSE)</f>
        <v>21218527-2</v>
      </c>
      <c r="C192">
        <f>COUNTIF(T_RevisionRUT[BBDD],T_RevisionRUT[[#This Row],[BBDD]])</f>
        <v>1</v>
      </c>
    </row>
    <row r="193" spans="1:3" hidden="1" x14ac:dyDescent="0.3">
      <c r="A193" t="s">
        <v>2837</v>
      </c>
      <c r="B193" t="str">
        <f>VLOOKUP(T_RevisionRUT[[#This Row],[BBDD]],T_Voluntarios[],1,FALSE)</f>
        <v>21482816-2</v>
      </c>
      <c r="C193">
        <f>COUNTIF(T_RevisionRUT[BBDD],T_RevisionRUT[[#This Row],[BBDD]])</f>
        <v>1</v>
      </c>
    </row>
    <row r="194" spans="1:3" hidden="1" x14ac:dyDescent="0.3">
      <c r="A194" t="s">
        <v>2893</v>
      </c>
      <c r="B194" t="str">
        <f>VLOOKUP(T_RevisionRUT[[#This Row],[BBDD]],T_Voluntarios[],1,FALSE)</f>
        <v>20720516-8</v>
      </c>
      <c r="C194">
        <f>COUNTIF(T_RevisionRUT[BBDD],T_RevisionRUT[[#This Row],[BBDD]])</f>
        <v>1</v>
      </c>
    </row>
    <row r="195" spans="1:3" hidden="1" x14ac:dyDescent="0.3">
      <c r="A195" t="s">
        <v>174</v>
      </c>
      <c r="B195" t="str">
        <f>VLOOKUP(T_RevisionRUT[[#This Row],[BBDD]],T_Voluntarios[],1,FALSE)</f>
        <v>14390617-5</v>
      </c>
      <c r="C195">
        <f>COUNTIF(T_RevisionRUT[BBDD],T_RevisionRUT[[#This Row],[BBDD]])</f>
        <v>1</v>
      </c>
    </row>
    <row r="196" spans="1:3" hidden="1" x14ac:dyDescent="0.3">
      <c r="A196" t="s">
        <v>2862</v>
      </c>
      <c r="B196" t="str">
        <f>VLOOKUP(T_RevisionRUT[[#This Row],[BBDD]],T_Voluntarios[],1,FALSE)</f>
        <v>18771058-8</v>
      </c>
      <c r="C196">
        <f>COUNTIF(T_RevisionRUT[BBDD],T_RevisionRUT[[#This Row],[BBDD]])</f>
        <v>1</v>
      </c>
    </row>
    <row r="197" spans="1:3" hidden="1" x14ac:dyDescent="0.3">
      <c r="A197" t="s">
        <v>2910</v>
      </c>
      <c r="B197" t="str">
        <f>VLOOKUP(T_RevisionRUT[[#This Row],[BBDD]],T_Voluntarios[],1,FALSE)</f>
        <v>16246556-2</v>
      </c>
      <c r="C197">
        <f>COUNTIF(T_RevisionRUT[BBDD],T_RevisionRUT[[#This Row],[BBDD]])</f>
        <v>1</v>
      </c>
    </row>
    <row r="198" spans="1:3" hidden="1" x14ac:dyDescent="0.3">
      <c r="A198" t="s">
        <v>2955</v>
      </c>
      <c r="B198" t="str">
        <f>VLOOKUP(T_RevisionRUT[[#This Row],[BBDD]],T_Voluntarios[],1,FALSE)</f>
        <v>16723098-9</v>
      </c>
      <c r="C198">
        <f>COUNTIF(T_RevisionRUT[BBDD],T_RevisionRUT[[#This Row],[BBDD]])</f>
        <v>1</v>
      </c>
    </row>
    <row r="199" spans="1:3" hidden="1" x14ac:dyDescent="0.3">
      <c r="A199" t="s">
        <v>2945</v>
      </c>
      <c r="B199" t="str">
        <f>VLOOKUP(T_RevisionRUT[[#This Row],[BBDD]],T_Voluntarios[],1,FALSE)</f>
        <v>21813696-4</v>
      </c>
      <c r="C199">
        <f>COUNTIF(T_RevisionRUT[BBDD],T_RevisionRUT[[#This Row],[BBDD]])</f>
        <v>1</v>
      </c>
    </row>
    <row r="200" spans="1:3" hidden="1" x14ac:dyDescent="0.3">
      <c r="A200" t="s">
        <v>2936</v>
      </c>
      <c r="B200" t="str">
        <f>VLOOKUP(T_RevisionRUT[[#This Row],[BBDD]],T_Voluntarios[],1,FALSE)</f>
        <v>21040156-3</v>
      </c>
      <c r="C200">
        <f>COUNTIF(T_RevisionRUT[BBDD],T_RevisionRUT[[#This Row],[BBDD]])</f>
        <v>1</v>
      </c>
    </row>
    <row r="201" spans="1:3" hidden="1" x14ac:dyDescent="0.3">
      <c r="A201" t="s">
        <v>2969</v>
      </c>
      <c r="B201" t="str">
        <f>VLOOKUP(T_RevisionRUT[[#This Row],[BBDD]],T_Voluntarios[],1,FALSE)</f>
        <v>20155115-3</v>
      </c>
      <c r="C201">
        <f>COUNTIF(T_RevisionRUT[BBDD],T_RevisionRUT[[#This Row],[BBDD]])</f>
        <v>1</v>
      </c>
    </row>
    <row r="202" spans="1:3" hidden="1" x14ac:dyDescent="0.3">
      <c r="A202" t="s">
        <v>388</v>
      </c>
      <c r="B202" t="str">
        <f>VLOOKUP(T_RevisionRUT[[#This Row],[BBDD]],T_Voluntarios[],1,FALSE)</f>
        <v>17348754-1</v>
      </c>
      <c r="C202">
        <f>COUNTIF(T_RevisionRUT[BBDD],T_RevisionRUT[[#This Row],[BBDD]])</f>
        <v>1</v>
      </c>
    </row>
    <row r="203" spans="1:3" hidden="1" x14ac:dyDescent="0.3">
      <c r="A203" t="s">
        <v>2991</v>
      </c>
      <c r="B203" t="str">
        <f>VLOOKUP(T_RevisionRUT[[#This Row],[BBDD]],T_Voluntarios[],1,FALSE)</f>
        <v>19837040-1</v>
      </c>
      <c r="C203">
        <f>COUNTIF(T_RevisionRUT[BBDD],T_RevisionRUT[[#This Row],[BBDD]])</f>
        <v>1</v>
      </c>
    </row>
    <row r="204" spans="1:3" hidden="1" x14ac:dyDescent="0.3">
      <c r="A204" t="s">
        <v>3005</v>
      </c>
      <c r="B204" t="str">
        <f>VLOOKUP(T_RevisionRUT[[#This Row],[BBDD]],T_Voluntarios[],1,FALSE)</f>
        <v>16600798-4</v>
      </c>
      <c r="C204">
        <f>COUNTIF(T_RevisionRUT[BBDD],T_RevisionRUT[[#This Row],[BBDD]])</f>
        <v>1</v>
      </c>
    </row>
    <row r="205" spans="1:3" hidden="1" x14ac:dyDescent="0.3">
      <c r="A205" t="s">
        <v>3018</v>
      </c>
      <c r="B205" t="str">
        <f>VLOOKUP(T_RevisionRUT[[#This Row],[BBDD]],T_Voluntarios[],1,FALSE)</f>
        <v>22331921-1</v>
      </c>
      <c r="C205">
        <f>COUNTIF(T_RevisionRUT[BBDD],T_RevisionRUT[[#This Row],[BBDD]])</f>
        <v>1</v>
      </c>
    </row>
    <row r="206" spans="1:3" hidden="1" x14ac:dyDescent="0.3">
      <c r="A206" t="s">
        <v>3032</v>
      </c>
      <c r="B206" t="str">
        <f>VLOOKUP(T_RevisionRUT[[#This Row],[BBDD]],T_Voluntarios[],1,FALSE)</f>
        <v>19909896-9</v>
      </c>
      <c r="C206">
        <f>COUNTIF(T_RevisionRUT[BBDD],T_RevisionRUT[[#This Row],[BBDD]])</f>
        <v>1</v>
      </c>
    </row>
    <row r="207" spans="1:3" x14ac:dyDescent="0.3">
      <c r="A207" t="s">
        <v>3043</v>
      </c>
      <c r="B207" t="str">
        <f>VLOOKUP(T_RevisionRUT[[#This Row],[BBDD]],T_Voluntarios[],1,FALSE)</f>
        <v>20439723-6</v>
      </c>
      <c r="C207">
        <f>COUNTIF(T_RevisionRUT[BBDD],T_RevisionRUT[[#This Row],[BBDD]])</f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B135C-F964-4DE6-81D1-04C93C67D5FF}">
  <sheetPr codeName="Hoja2">
    <tabColor rgb="FF00B050"/>
    <pageSetUpPr fitToPage="1"/>
  </sheetPr>
  <dimension ref="A1:J22"/>
  <sheetViews>
    <sheetView showGridLines="0" zoomScale="75" zoomScaleNormal="75" workbookViewId="0">
      <selection activeCell="C4" sqref="C4:F4"/>
    </sheetView>
  </sheetViews>
  <sheetFormatPr baseColWidth="10" defaultColWidth="11.44140625" defaultRowHeight="15.6" x14ac:dyDescent="0.3"/>
  <cols>
    <col min="1" max="1" width="2.44140625" style="23" customWidth="1"/>
    <col min="2" max="2" width="28.44140625" style="23" bestFit="1" customWidth="1"/>
    <col min="3" max="3" width="22.33203125" style="23" bestFit="1" customWidth="1"/>
    <col min="4" max="4" width="16.33203125" style="23" customWidth="1"/>
    <col min="5" max="5" width="20" style="23" customWidth="1"/>
    <col min="6" max="6" width="25.88671875" style="23" customWidth="1"/>
    <col min="7" max="10" width="11.44140625" style="23"/>
  </cols>
  <sheetData>
    <row r="1" spans="1:6" ht="16.2" thickBot="1" x14ac:dyDescent="0.35">
      <c r="A1" s="22" t="str">
        <f>IF(ISERROR(VLOOKUP($C$4,T_Voluntarios[],39,FALSE)),"No",IF(ISBLANK(VLOOKUP($C$4,T_Voluntarios[],39,FALSE)),"No",VLOOKUP($C$4,T_Voluntarios[],39,FALSE)))</f>
        <v>Si</v>
      </c>
    </row>
    <row r="2" spans="1:6" ht="37.200000000000003" thickBot="1" x14ac:dyDescent="0.35">
      <c r="B2" s="92" t="str">
        <f>IF(ISERROR(VLOOKUP($C$4,T_Voluntarios[],39,FALSE)),"(NO EXISTE)",IF(VLOOKUP($C$4,T_Voluntarios[],39,FALSE)="SI","ACREDITADO","NO ACREDITADO"))</f>
        <v>ACREDITADO</v>
      </c>
      <c r="C2" s="93"/>
      <c r="D2" s="93"/>
      <c r="E2" s="93"/>
      <c r="F2" s="94"/>
    </row>
    <row r="3" spans="1:6" ht="36.6" x14ac:dyDescent="0.3">
      <c r="B3" s="95" t="str">
        <f>IF(C5="Participante",IF(ISERROR(VLOOKUP($C$4,T_Voluntarios[],33,FALSE)),"NO EXISTE",IF(VLOOKUP($C$4,T_Voluntarios[],33,FALSE)="NO Vigente","Participante no se inscribió","Participante inscrito")),IF(C5="(NO EXISTE)","(NO EXISTE)",VLOOKUP($C$4,T_Voluntarios[],9,FALSE)))</f>
        <v>Participante inscrito</v>
      </c>
      <c r="C3" s="95"/>
      <c r="D3" s="95"/>
      <c r="E3" s="95"/>
      <c r="F3" s="95"/>
    </row>
    <row r="4" spans="1:6" ht="31.2" x14ac:dyDescent="0.3">
      <c r="B4" s="24" t="s">
        <v>83</v>
      </c>
      <c r="C4" s="96" t="s">
        <v>1908</v>
      </c>
      <c r="D4" s="96"/>
      <c r="E4" s="96"/>
      <c r="F4" s="96"/>
    </row>
    <row r="5" spans="1:6" ht="23.4" x14ac:dyDescent="0.3">
      <c r="B5" s="25" t="s">
        <v>84</v>
      </c>
      <c r="C5" s="97" t="str">
        <f>IF(ISERROR(VLOOKUP($C$4,T_Voluntarios[],9,FALSE)),"(NO EXISTE)",VLOOKUP($C$4,T_Voluntarios[],9,FALSE))</f>
        <v>Participante</v>
      </c>
      <c r="D5" s="97"/>
      <c r="E5" s="97"/>
      <c r="F5" s="97"/>
    </row>
    <row r="6" spans="1:6" ht="21" x14ac:dyDescent="0.3">
      <c r="B6" s="25" t="s">
        <v>85</v>
      </c>
      <c r="C6" s="88" t="str">
        <f>IF(ISERROR(VLOOKUP($C$4,T_Voluntarios[],3,FALSE)),"(NO EXISTE)",VLOOKUP($C$4,T_Voluntarios[],3,FALSE))</f>
        <v>Camila Alejandra Roca Carvajal</v>
      </c>
      <c r="D6" s="88"/>
      <c r="E6" s="88"/>
      <c r="F6" s="88"/>
    </row>
    <row r="7" spans="1:6" ht="21" x14ac:dyDescent="0.3">
      <c r="B7" s="25" t="s">
        <v>86</v>
      </c>
      <c r="C7" s="88" t="str">
        <f>IF(ISERROR(VLOOKUP($C$4,T_Voluntarios[],10,FALSE)),"(NO EXISTE)",VLOOKUP($C$4,T_Voluntarios[],10,FALSE))</f>
        <v>Pehuen</v>
      </c>
      <c r="D7" s="88"/>
      <c r="E7" s="88"/>
      <c r="F7" s="88"/>
    </row>
    <row r="8" spans="1:6" ht="21" x14ac:dyDescent="0.3">
      <c r="B8" s="25" t="s">
        <v>47</v>
      </c>
      <c r="C8" s="88" t="str">
        <f>IF(ISERROR(VLOOKUP($C$4,T_Voluntarios[],12,FALSE)),"(NO EXISTE)",VLOOKUP($C$4,T_Voluntarios[],12,FALSE))</f>
        <v>Nahuelbuta</v>
      </c>
      <c r="D8" s="88"/>
      <c r="E8" s="88"/>
      <c r="F8" s="88"/>
    </row>
    <row r="9" spans="1:6" ht="21" x14ac:dyDescent="0.3">
      <c r="B9" s="25" t="s">
        <v>87</v>
      </c>
      <c r="C9" s="45" t="str">
        <f>IF(ISERROR(VLOOKUP($C$4,T_Voluntarios[],11,FALSE)),"(NO EXISTE)",VLOOKUP($C$4,T_Voluntarios[],11,FALSE))</f>
        <v>Golondrinas</v>
      </c>
      <c r="D9" s="90" t="s">
        <v>451</v>
      </c>
      <c r="E9" s="91" t="s">
        <v>451</v>
      </c>
      <c r="F9" s="47" t="str">
        <f>IF(ISERROR(VLOOKUP($C$4,T_Voluntarios[],50,FALSE)),"(NO EXISTE)",VLOOKUP($C$4,T_Voluntarios[],50,FALSE))</f>
        <v>No</v>
      </c>
    </row>
    <row r="10" spans="1:6" ht="21" x14ac:dyDescent="0.3">
      <c r="B10" s="25" t="s">
        <v>48</v>
      </c>
      <c r="C10" s="88" t="str">
        <f>IF(ISERROR(VLOOKUP($C$4,T_Voluntarios[],13,FALSE)),"(NO EXISTE)",VLOOKUP($C$4,T_Voluntarios[],13,FALSE))</f>
        <v>Alimentación Tradicional</v>
      </c>
      <c r="D10" s="88"/>
      <c r="E10" s="88"/>
      <c r="F10" s="88"/>
    </row>
    <row r="11" spans="1:6" ht="21" x14ac:dyDescent="0.3">
      <c r="B11" s="25" t="s">
        <v>2030</v>
      </c>
      <c r="C11" s="88" t="str">
        <f>IF(ISERROR(VLOOKUP($C$4,T_Voluntarios[],15,FALSE)),"(NO EXISTE)",VLOOKUP($C$4,T_Voluntarios[],15,FALSE))</f>
        <v>Ninguna</v>
      </c>
      <c r="D11" s="88"/>
      <c r="E11" s="88"/>
      <c r="F11" s="88"/>
    </row>
    <row r="12" spans="1:6" ht="21" x14ac:dyDescent="0.3">
      <c r="B12" s="25" t="s">
        <v>88</v>
      </c>
      <c r="C12" s="26" t="str">
        <f>IF(ISERROR(VLOOKUP($C$4,T_Voluntarios[],36,FALSE)),"(NO EXISTE)",VLOOKUP($C$4,T_Voluntarios[],36,FALSE))</f>
        <v>SI</v>
      </c>
      <c r="D12" s="90" t="s">
        <v>89</v>
      </c>
      <c r="E12" s="91"/>
      <c r="F12" s="27" t="str">
        <f>IF(ISERROR(VLOOKUP($C$4,T_Voluntarios[],38,FALSE)),"(NO EXISTE)",VLOOKUP($C$4,T_Voluntarios[],38,FALSE))</f>
        <v>SI</v>
      </c>
    </row>
    <row r="13" spans="1:6" ht="21" x14ac:dyDescent="0.3">
      <c r="B13" s="25" t="s">
        <v>90</v>
      </c>
      <c r="C13" s="88" t="str">
        <f>IF(ISERROR(VLOOKUP($C$4,T_Voluntarios[],2,FALSE)),"(NO EXISTE)",VLOOKUP($C$4,T_Voluntarios[],2,FALSE))</f>
        <v>rocamila98@gmail.com</v>
      </c>
      <c r="D13" s="88"/>
      <c r="E13" s="88"/>
      <c r="F13" s="88"/>
    </row>
    <row r="14" spans="1:6" ht="21" x14ac:dyDescent="0.3">
      <c r="B14" s="25" t="s">
        <v>91</v>
      </c>
      <c r="C14" s="88" t="str">
        <f>IF(ISERROR(VLOOKUP($C$4,T_Voluntarios[],7,FALSE)),"(NO EXISTE)",VLOOKUP($C$4,T_Voluntarios[],7,FALSE))</f>
        <v>Celular</v>
      </c>
      <c r="D14" s="88"/>
      <c r="E14" s="88"/>
      <c r="F14" s="88"/>
    </row>
    <row r="15" spans="1:6" ht="21" x14ac:dyDescent="0.3">
      <c r="B15" s="25" t="s">
        <v>44</v>
      </c>
      <c r="C15" s="45" t="str">
        <f>IF(ISERROR(VLOOKUP($C$4,T_Voluntarios[],8,FALSE)),"(NO EXISTE)",VLOOKUP($C$4,T_Voluntarios[],8,FALSE))</f>
        <v>+56958573099</v>
      </c>
      <c r="D15" s="90" t="s">
        <v>441</v>
      </c>
      <c r="E15" s="91"/>
      <c r="F15" s="47" t="str">
        <f>IF(ISERROR(VLOOKUP($C$4,T_Voluntarios[],49,FALSE)),"(NO EXISTE)",VLOOKUP($C$4,T_Voluntarios[],49,FALSE))</f>
        <v>Cami</v>
      </c>
    </row>
    <row r="16" spans="1:6" ht="21" x14ac:dyDescent="0.3">
      <c r="B16" s="25" t="s">
        <v>2031</v>
      </c>
      <c r="C16" s="46" t="str">
        <f>IF(ISERROR(VLOOKUP($C$4,T_Voluntarios[],32,FALSE)),"(Ninguno)",VLOOKUP($C$4,T_Voluntarios[],32,FALSE))</f>
        <v>Peugeot</v>
      </c>
      <c r="D16" s="89" t="str">
        <f>IF(ISERROR(VLOOKUP($C$4,T_Voluntarios[],33,FALSE)),"(Ninguno)",VLOOKUP($C$4,T_Voluntarios[],33,FALSE))</f>
        <v>2008</v>
      </c>
      <c r="E16" s="89"/>
      <c r="F16" s="46" t="str">
        <f>IF(ISERROR(VLOOKUP($C$4,T_Voluntarios[],34,FALSE)),"(Ninguno)",VLOOKUP($C$4,T_Voluntarios[],34,FALSE))</f>
        <v>Tvzk55</v>
      </c>
    </row>
    <row r="17" spans="2:6" ht="21" x14ac:dyDescent="0.3">
      <c r="B17" s="25" t="s">
        <v>92</v>
      </c>
      <c r="C17" s="58">
        <f>IF($C$5="Participante",SUMIFS(T_Cuotas[[#All],[Cuota_1]],T_Cuotas[[#All],[RUN]],ACREDITACION!$C$4),"(No Paga)")</f>
        <v>20000</v>
      </c>
      <c r="D17" s="28"/>
      <c r="E17" s="28"/>
      <c r="F17" s="29"/>
    </row>
    <row r="18" spans="2:6" ht="21" x14ac:dyDescent="0.3">
      <c r="B18" s="25" t="s">
        <v>93</v>
      </c>
      <c r="C18" s="58">
        <f>IF($C$5="Participante",SUMIFS(T_Cuotas[[#All],[Cuota_2]],T_Cuotas[[#All],[RUN]],ACREDITACION!$C$4),"(No Paga)")</f>
        <v>15000</v>
      </c>
      <c r="D18" s="28"/>
      <c r="E18" s="28"/>
      <c r="F18" s="29"/>
    </row>
    <row r="19" spans="2:6" ht="21" x14ac:dyDescent="0.3">
      <c r="B19" s="25" t="s">
        <v>94</v>
      </c>
      <c r="C19" s="58">
        <f>IF($C$5="Participante",SUMIFS(T_Cuotas[[#All],[Cuota_3]],T_Cuotas[[#All],[RUN]],ACREDITACION!$C$4),"(No Paga)")</f>
        <v>15000</v>
      </c>
      <c r="D19" s="28"/>
      <c r="E19" s="28"/>
      <c r="F19" s="29"/>
    </row>
    <row r="20" spans="2:6" ht="31.2" x14ac:dyDescent="0.3">
      <c r="B20" s="25" t="s">
        <v>95</v>
      </c>
      <c r="C20" s="59">
        <f>IF(OR(C17="(No Paga)",C18="(No Paga)",C19="(No Paga)",C19="(NO EXISTE)"),"(No Paga)",(C17+C18+C19))</f>
        <v>50000</v>
      </c>
      <c r="D20" s="28"/>
      <c r="E20" s="25" t="str">
        <f>IF(F20=0,"SALDO",IF(F20&lt;0,"DEVOLVER",IF(F20&gt;0,"FALTA","")))</f>
        <v>SALDO</v>
      </c>
      <c r="F20" s="59">
        <f>IF($C$20="(No Paga)","(No Paga)",IF($C$10&lt;&gt;"Sin Almuerzo",Cuotas!$F$1-ACREDITACION!$C$20,Cuotas!$F$2-ACREDITACION!$C$20))</f>
        <v>0</v>
      </c>
    </row>
    <row r="21" spans="2:6" ht="21" x14ac:dyDescent="0.3">
      <c r="B21" s="30"/>
      <c r="C21" s="28"/>
      <c r="D21" s="28"/>
      <c r="E21" s="28"/>
      <c r="F21" s="29"/>
    </row>
    <row r="22" spans="2:6" ht="21" x14ac:dyDescent="0.3">
      <c r="B22" s="25" t="s">
        <v>66</v>
      </c>
      <c r="C22" s="88" t="str">
        <f>IF(IF(ISERROR(VLOOKUP($C$4,T_Voluntarios[],40,FALSE)),"(NO EXISTE)",VLOOKUP($C$4,T_Voluntarios[],40,FALSE))=0,"",IF(ISERROR(VLOOKUP($C$4,T_Voluntarios[],40,FALSE)),"(NO EXISTE)",VLOOKUP($C$4,T_Voluntarios[],40,FALSE)))</f>
        <v/>
      </c>
      <c r="D22" s="88"/>
      <c r="E22" s="88"/>
      <c r="F22" s="88"/>
    </row>
  </sheetData>
  <sheetProtection algorithmName="SHA-512" hashValue="uarqNgVHj4wLMfTqmQR93qNJpju1EhxQdvbU6aIAM2z6SFH8kHjJzVR2K/tuhUnPJk1oC/rDvi83/3IKuzttSQ==" saltValue="Q/jN6YCZkkJPbSzBHeVZ2A==" spinCount="100000" sheet="1" selectLockedCells="1"/>
  <mergeCells count="16">
    <mergeCell ref="C7:F7"/>
    <mergeCell ref="B2:F2"/>
    <mergeCell ref="B3:F3"/>
    <mergeCell ref="C4:F4"/>
    <mergeCell ref="C5:F5"/>
    <mergeCell ref="C6:F6"/>
    <mergeCell ref="C14:F14"/>
    <mergeCell ref="D16:E16"/>
    <mergeCell ref="C22:F22"/>
    <mergeCell ref="C8:F8"/>
    <mergeCell ref="C10:F10"/>
    <mergeCell ref="C11:F11"/>
    <mergeCell ref="D12:E12"/>
    <mergeCell ref="C13:F13"/>
    <mergeCell ref="D15:E15"/>
    <mergeCell ref="D9:E9"/>
  </mergeCells>
  <conditionalFormatting sqref="F20">
    <cfRule type="expression" dxfId="254" priority="8">
      <formula>$F$20&lt;=0</formula>
    </cfRule>
    <cfRule type="expression" dxfId="253" priority="9">
      <formula>$F$20&gt;0</formula>
    </cfRule>
  </conditionalFormatting>
  <conditionalFormatting sqref="B3:F3">
    <cfRule type="expression" dxfId="252" priority="6">
      <formula>$B$3="Participante no se inscribió"</formula>
    </cfRule>
    <cfRule type="expression" dxfId="251" priority="7">
      <formula>$B$3="Participante inscrito"</formula>
    </cfRule>
  </conditionalFormatting>
  <conditionalFormatting sqref="B2:F2">
    <cfRule type="expression" dxfId="250" priority="3">
      <formula>$B$2="(NO EXISTE)"</formula>
    </cfRule>
    <cfRule type="expression" dxfId="249" priority="4">
      <formula>$B$2="NO ACREDITADO"</formula>
    </cfRule>
    <cfRule type="expression" dxfId="248" priority="5">
      <formula>$B$2="ACREDITADO"</formula>
    </cfRule>
  </conditionalFormatting>
  <conditionalFormatting sqref="F12">
    <cfRule type="expression" dxfId="247" priority="1">
      <formula>$F$12="SI"</formula>
    </cfRule>
    <cfRule type="expression" dxfId="246" priority="2">
      <formula>$F$12="NO"</formula>
    </cfRule>
  </conditionalFormatting>
  <pageMargins left="0.23622047244094491" right="0.23622047244094491" top="0.74803149606299213" bottom="0.74803149606299213" header="0.31496062992125984" footer="0.31496062992125984"/>
  <pageSetup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Acreditar">
              <controlPr defaultSize="0" print="0" autoFill="0" autoPict="0" macro="[0]!BtnAcreditar_Haga_clic_en">
                <anchor moveWithCells="1" sizeWithCells="1">
                  <from>
                    <xdr:col>6</xdr:col>
                    <xdr:colOff>190500</xdr:colOff>
                    <xdr:row>16</xdr:row>
                    <xdr:rowOff>0</xdr:rowOff>
                  </from>
                  <to>
                    <xdr:col>9</xdr:col>
                    <xdr:colOff>99060</xdr:colOff>
                    <xdr:row>20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E283C-4700-4D97-8D40-E27B5E671D08}">
  <sheetPr codeName="Hoja9">
    <tabColor theme="7"/>
  </sheetPr>
  <dimension ref="A1:P61"/>
  <sheetViews>
    <sheetView topLeftCell="A7" workbookViewId="0">
      <selection activeCell="K59" sqref="K59"/>
    </sheetView>
  </sheetViews>
  <sheetFormatPr baseColWidth="10" defaultColWidth="17.5546875" defaultRowHeight="14.4" x14ac:dyDescent="0.3"/>
  <cols>
    <col min="1" max="1" width="17.44140625" bestFit="1" customWidth="1"/>
    <col min="2" max="2" width="10.77734375" customWidth="1"/>
    <col min="3" max="3" width="10.5546875" bestFit="1" customWidth="1"/>
    <col min="4" max="4" width="9.6640625" bestFit="1" customWidth="1"/>
    <col min="5" max="5" width="9.109375" bestFit="1" customWidth="1"/>
    <col min="6" max="6" width="5.21875" bestFit="1" customWidth="1"/>
    <col min="7" max="7" width="4.6640625" customWidth="1"/>
    <col min="8" max="8" width="18.77734375" bestFit="1" customWidth="1"/>
    <col min="9" max="9" width="13" bestFit="1" customWidth="1"/>
    <col min="10" max="10" width="11.44140625" bestFit="1" customWidth="1"/>
    <col min="11" max="11" width="5.77734375" customWidth="1"/>
    <col min="12" max="12" width="22" bestFit="1" customWidth="1"/>
    <col min="13" max="13" width="18.5546875" bestFit="1" customWidth="1"/>
    <col min="14" max="14" width="9.6640625" bestFit="1" customWidth="1"/>
    <col min="15" max="15" width="9.109375" bestFit="1" customWidth="1"/>
    <col min="16" max="16" width="5.21875" bestFit="1" customWidth="1"/>
  </cols>
  <sheetData>
    <row r="1" spans="1:16" x14ac:dyDescent="0.3">
      <c r="A1" s="100" t="s">
        <v>470</v>
      </c>
      <c r="B1" s="100"/>
      <c r="C1" s="100"/>
      <c r="D1" s="100"/>
      <c r="E1" s="100"/>
      <c r="F1" s="100"/>
      <c r="H1" s="98" t="s">
        <v>65</v>
      </c>
      <c r="I1" s="98"/>
      <c r="J1" s="98"/>
      <c r="L1" s="98" t="s">
        <v>259</v>
      </c>
      <c r="M1" s="98"/>
      <c r="N1" s="98"/>
      <c r="O1" s="98"/>
      <c r="P1" s="98"/>
    </row>
    <row r="2" spans="1:16" x14ac:dyDescent="0.3">
      <c r="A2" s="10" t="s">
        <v>3</v>
      </c>
      <c r="B2" t="s">
        <v>4</v>
      </c>
      <c r="H2" s="31" t="s">
        <v>76</v>
      </c>
      <c r="I2" t="s">
        <v>77</v>
      </c>
      <c r="L2" s="10" t="s">
        <v>277</v>
      </c>
      <c r="M2" t="s">
        <v>1</v>
      </c>
    </row>
    <row r="3" spans="1:16" x14ac:dyDescent="0.3">
      <c r="A3" s="10" t="s">
        <v>2926</v>
      </c>
      <c r="B3" t="s">
        <v>189</v>
      </c>
      <c r="H3" s="10" t="s">
        <v>277</v>
      </c>
      <c r="I3" t="s">
        <v>1</v>
      </c>
      <c r="K3" s="1"/>
    </row>
    <row r="4" spans="1:16" x14ac:dyDescent="0.3">
      <c r="L4" s="10" t="s">
        <v>183</v>
      </c>
      <c r="M4" s="10" t="s">
        <v>76</v>
      </c>
    </row>
    <row r="5" spans="1:16" x14ac:dyDescent="0.3">
      <c r="A5" s="10" t="s">
        <v>183</v>
      </c>
      <c r="B5" s="10" t="s">
        <v>76</v>
      </c>
      <c r="H5" s="10" t="s">
        <v>3</v>
      </c>
      <c r="I5" s="17" t="s">
        <v>248</v>
      </c>
      <c r="J5" s="1" t="s">
        <v>241</v>
      </c>
      <c r="L5" s="10" t="s">
        <v>3</v>
      </c>
      <c r="M5" t="s">
        <v>77</v>
      </c>
      <c r="N5" t="s">
        <v>101</v>
      </c>
    </row>
    <row r="6" spans="1:16" x14ac:dyDescent="0.3">
      <c r="A6" s="17" t="s">
        <v>187</v>
      </c>
      <c r="B6" t="s">
        <v>77</v>
      </c>
      <c r="C6" t="s">
        <v>78</v>
      </c>
      <c r="D6" t="s">
        <v>101</v>
      </c>
      <c r="H6" s="11" t="s">
        <v>6</v>
      </c>
      <c r="I6" s="1" t="s">
        <v>1</v>
      </c>
      <c r="J6" s="123">
        <v>6</v>
      </c>
      <c r="L6" s="11" t="s">
        <v>6</v>
      </c>
      <c r="M6" s="123">
        <v>6</v>
      </c>
      <c r="N6" s="123">
        <v>6</v>
      </c>
    </row>
    <row r="7" spans="1:16" x14ac:dyDescent="0.3">
      <c r="A7" s="11" t="s">
        <v>121</v>
      </c>
      <c r="B7" s="123">
        <v>20</v>
      </c>
      <c r="C7" s="123"/>
      <c r="D7" s="123">
        <v>20</v>
      </c>
      <c r="H7" s="11" t="s">
        <v>5</v>
      </c>
      <c r="I7" s="1" t="s">
        <v>1</v>
      </c>
      <c r="J7" s="123">
        <v>27</v>
      </c>
      <c r="L7" s="11" t="s">
        <v>5</v>
      </c>
      <c r="M7" s="123">
        <v>27</v>
      </c>
      <c r="N7" s="123">
        <v>27</v>
      </c>
    </row>
    <row r="8" spans="1:16" x14ac:dyDescent="0.3">
      <c r="A8" s="55" t="s">
        <v>1</v>
      </c>
      <c r="B8" s="123">
        <v>20</v>
      </c>
      <c r="C8" s="123"/>
      <c r="D8" s="123">
        <v>20</v>
      </c>
      <c r="H8" s="11" t="s">
        <v>4</v>
      </c>
      <c r="I8" s="1" t="s">
        <v>2</v>
      </c>
      <c r="J8" s="123">
        <v>4</v>
      </c>
      <c r="L8" s="11" t="s">
        <v>4</v>
      </c>
      <c r="M8" s="123">
        <v>142</v>
      </c>
      <c r="N8" s="123">
        <v>142</v>
      </c>
    </row>
    <row r="9" spans="1:16" x14ac:dyDescent="0.3">
      <c r="A9" s="11" t="s">
        <v>110</v>
      </c>
      <c r="B9" s="123">
        <v>22</v>
      </c>
      <c r="C9" s="123">
        <v>4</v>
      </c>
      <c r="D9" s="123">
        <v>26</v>
      </c>
      <c r="I9" s="1" t="s">
        <v>1</v>
      </c>
      <c r="J9" s="123">
        <v>138</v>
      </c>
      <c r="L9" s="11" t="s">
        <v>2959</v>
      </c>
      <c r="M9" s="123">
        <v>1</v>
      </c>
      <c r="N9" s="123">
        <v>1</v>
      </c>
    </row>
    <row r="10" spans="1:16" x14ac:dyDescent="0.3">
      <c r="A10" s="55" t="s">
        <v>1</v>
      </c>
      <c r="B10" s="123">
        <v>22</v>
      </c>
      <c r="C10" s="123"/>
      <c r="D10" s="123">
        <v>22</v>
      </c>
      <c r="H10" s="11" t="s">
        <v>2959</v>
      </c>
      <c r="I10" s="1" t="s">
        <v>1</v>
      </c>
      <c r="J10" s="123">
        <v>1</v>
      </c>
      <c r="L10" s="11" t="s">
        <v>2949</v>
      </c>
      <c r="M10" s="123">
        <v>1</v>
      </c>
      <c r="N10" s="123">
        <v>1</v>
      </c>
    </row>
    <row r="11" spans="1:16" x14ac:dyDescent="0.3">
      <c r="A11" s="55" t="s">
        <v>1597</v>
      </c>
      <c r="B11" s="123"/>
      <c r="C11" s="123">
        <v>4</v>
      </c>
      <c r="D11" s="123">
        <v>4</v>
      </c>
      <c r="H11" s="11" t="s">
        <v>2949</v>
      </c>
      <c r="I11" s="1" t="s">
        <v>1</v>
      </c>
      <c r="J11" s="123">
        <v>1</v>
      </c>
      <c r="L11" s="11" t="s">
        <v>1744</v>
      </c>
      <c r="M11" s="123">
        <v>3</v>
      </c>
      <c r="N11" s="123">
        <v>3</v>
      </c>
    </row>
    <row r="12" spans="1:16" x14ac:dyDescent="0.3">
      <c r="A12" s="11" t="s">
        <v>117</v>
      </c>
      <c r="B12" s="123">
        <v>23</v>
      </c>
      <c r="C12" s="123">
        <v>5</v>
      </c>
      <c r="D12" s="123">
        <v>28</v>
      </c>
      <c r="H12" s="11" t="s">
        <v>1744</v>
      </c>
      <c r="I12" s="1" t="s">
        <v>1</v>
      </c>
      <c r="J12" s="123">
        <v>3</v>
      </c>
      <c r="L12" s="11" t="s">
        <v>101</v>
      </c>
      <c r="M12" s="123">
        <v>180</v>
      </c>
      <c r="N12" s="123">
        <v>180</v>
      </c>
    </row>
    <row r="13" spans="1:16" x14ac:dyDescent="0.3">
      <c r="A13" s="55" t="s">
        <v>1</v>
      </c>
      <c r="B13" s="123">
        <v>23</v>
      </c>
      <c r="C13" s="123"/>
      <c r="D13" s="123">
        <v>23</v>
      </c>
      <c r="H13" s="1" t="s">
        <v>182</v>
      </c>
      <c r="I13" s="1"/>
      <c r="J13" s="123">
        <v>180</v>
      </c>
    </row>
    <row r="14" spans="1:16" x14ac:dyDescent="0.3">
      <c r="A14" s="55" t="s">
        <v>1597</v>
      </c>
      <c r="B14" s="123"/>
      <c r="C14" s="123">
        <v>5</v>
      </c>
      <c r="D14" s="123">
        <v>5</v>
      </c>
    </row>
    <row r="15" spans="1:16" x14ac:dyDescent="0.3">
      <c r="A15" s="11" t="s">
        <v>122</v>
      </c>
      <c r="B15" s="123">
        <v>25</v>
      </c>
      <c r="C15" s="123">
        <v>8</v>
      </c>
      <c r="D15" s="123">
        <v>33</v>
      </c>
      <c r="L15" s="98" t="s">
        <v>280</v>
      </c>
      <c r="M15" s="98"/>
      <c r="N15" s="98"/>
      <c r="O15" s="98"/>
    </row>
    <row r="16" spans="1:16" x14ac:dyDescent="0.3">
      <c r="A16" s="55" t="s">
        <v>1</v>
      </c>
      <c r="B16" s="123">
        <v>25</v>
      </c>
      <c r="C16" s="123"/>
      <c r="D16" s="123">
        <v>25</v>
      </c>
      <c r="L16" s="31" t="s">
        <v>279</v>
      </c>
      <c r="M16" s="31" t="s">
        <v>76</v>
      </c>
      <c r="N16" s="34"/>
    </row>
    <row r="17" spans="1:14" x14ac:dyDescent="0.3">
      <c r="A17" s="55" t="s">
        <v>1597</v>
      </c>
      <c r="B17" s="123"/>
      <c r="C17" s="123">
        <v>8</v>
      </c>
      <c r="D17" s="123">
        <v>8</v>
      </c>
      <c r="H17" s="99" t="s">
        <v>260</v>
      </c>
      <c r="I17" s="99"/>
      <c r="J17" s="35">
        <f>Cuotas!A2 + Cuotas!F3</f>
        <v>6654500</v>
      </c>
      <c r="L17" s="36" t="s">
        <v>278</v>
      </c>
      <c r="M17" t="s">
        <v>717</v>
      </c>
      <c r="N17" s="34" t="s">
        <v>101</v>
      </c>
    </row>
    <row r="18" spans="1:14" x14ac:dyDescent="0.3">
      <c r="A18" s="11" t="s">
        <v>104</v>
      </c>
      <c r="B18" s="123">
        <v>26</v>
      </c>
      <c r="C18" s="123">
        <v>6</v>
      </c>
      <c r="D18" s="123">
        <v>32</v>
      </c>
      <c r="H18" s="10" t="s">
        <v>3</v>
      </c>
      <c r="I18" t="s">
        <v>4</v>
      </c>
      <c r="L18" s="11" t="s">
        <v>121</v>
      </c>
      <c r="M18" s="123">
        <v>5</v>
      </c>
      <c r="N18" s="123">
        <v>5</v>
      </c>
    </row>
    <row r="19" spans="1:14" x14ac:dyDescent="0.3">
      <c r="A19" s="55" t="s">
        <v>1</v>
      </c>
      <c r="B19" s="123">
        <v>26</v>
      </c>
      <c r="C19" s="123"/>
      <c r="D19" s="123">
        <v>26</v>
      </c>
      <c r="H19" s="10" t="s">
        <v>76</v>
      </c>
      <c r="I19" t="s">
        <v>77</v>
      </c>
      <c r="L19" s="55" t="s">
        <v>5</v>
      </c>
      <c r="M19" s="123">
        <v>5</v>
      </c>
      <c r="N19" s="123">
        <v>5</v>
      </c>
    </row>
    <row r="20" spans="1:14" x14ac:dyDescent="0.3">
      <c r="A20" s="55" t="s">
        <v>1597</v>
      </c>
      <c r="B20" s="123"/>
      <c r="C20" s="123">
        <v>6</v>
      </c>
      <c r="D20" s="123">
        <v>6</v>
      </c>
      <c r="L20" s="11" t="s">
        <v>110</v>
      </c>
      <c r="M20" s="123">
        <v>5</v>
      </c>
      <c r="N20" s="123">
        <v>5</v>
      </c>
    </row>
    <row r="21" spans="1:14" x14ac:dyDescent="0.3">
      <c r="A21" s="11" t="s">
        <v>115</v>
      </c>
      <c r="B21" s="123">
        <v>26</v>
      </c>
      <c r="C21" s="123">
        <v>4</v>
      </c>
      <c r="D21" s="123">
        <v>30</v>
      </c>
      <c r="H21" s="17" t="s">
        <v>187</v>
      </c>
      <c r="I21" s="1" t="s">
        <v>183</v>
      </c>
      <c r="J21" s="1" t="s">
        <v>243</v>
      </c>
      <c r="L21" s="55" t="s">
        <v>5</v>
      </c>
      <c r="M21" s="123">
        <v>5</v>
      </c>
      <c r="N21" s="123">
        <v>5</v>
      </c>
    </row>
    <row r="22" spans="1:14" x14ac:dyDescent="0.3">
      <c r="A22" s="55" t="s">
        <v>1</v>
      </c>
      <c r="B22" s="123">
        <v>26</v>
      </c>
      <c r="C22" s="123"/>
      <c r="D22" s="123">
        <v>26</v>
      </c>
      <c r="H22" s="11" t="s">
        <v>121</v>
      </c>
      <c r="I22" s="124">
        <v>20</v>
      </c>
      <c r="J22" s="5">
        <v>959500</v>
      </c>
      <c r="L22" s="11" t="s">
        <v>117</v>
      </c>
      <c r="M22" s="123">
        <v>5</v>
      </c>
      <c r="N22" s="123">
        <v>5</v>
      </c>
    </row>
    <row r="23" spans="1:14" x14ac:dyDescent="0.3">
      <c r="A23" s="55" t="s">
        <v>1597</v>
      </c>
      <c r="B23" s="123"/>
      <c r="C23" s="123">
        <v>4</v>
      </c>
      <c r="D23" s="123">
        <v>4</v>
      </c>
      <c r="H23" s="11" t="s">
        <v>110</v>
      </c>
      <c r="I23" s="124">
        <v>22</v>
      </c>
      <c r="J23" s="5">
        <v>1032500</v>
      </c>
      <c r="L23" s="55" t="s">
        <v>5</v>
      </c>
      <c r="M23" s="123">
        <v>5</v>
      </c>
      <c r="N23" s="123">
        <v>5</v>
      </c>
    </row>
    <row r="24" spans="1:14" x14ac:dyDescent="0.3">
      <c r="A24" s="11" t="s">
        <v>101</v>
      </c>
      <c r="B24" s="123">
        <v>142</v>
      </c>
      <c r="C24" s="123">
        <v>27</v>
      </c>
      <c r="D24" s="123">
        <v>169</v>
      </c>
      <c r="H24" s="11" t="s">
        <v>117</v>
      </c>
      <c r="I24" s="124">
        <v>23</v>
      </c>
      <c r="J24" s="5">
        <v>1015000</v>
      </c>
      <c r="L24" s="11" t="s">
        <v>122</v>
      </c>
      <c r="M24" s="123">
        <v>4</v>
      </c>
      <c r="N24" s="123">
        <v>4</v>
      </c>
    </row>
    <row r="25" spans="1:14" x14ac:dyDescent="0.3">
      <c r="G25" s="33"/>
      <c r="H25" s="11" t="s">
        <v>122</v>
      </c>
      <c r="I25" s="124">
        <v>25</v>
      </c>
      <c r="J25" s="5">
        <v>1182500</v>
      </c>
      <c r="L25" s="55" t="s">
        <v>5</v>
      </c>
      <c r="M25" s="123">
        <v>4</v>
      </c>
      <c r="N25" s="123">
        <v>4</v>
      </c>
    </row>
    <row r="26" spans="1:14" x14ac:dyDescent="0.3">
      <c r="G26" s="33"/>
      <c r="H26" s="11" t="s">
        <v>104</v>
      </c>
      <c r="I26" s="124">
        <v>26</v>
      </c>
      <c r="J26" s="5">
        <v>1232500</v>
      </c>
      <c r="L26" s="11" t="s">
        <v>104</v>
      </c>
      <c r="M26" s="123">
        <v>6</v>
      </c>
      <c r="N26" s="123">
        <v>6</v>
      </c>
    </row>
    <row r="27" spans="1:14" x14ac:dyDescent="0.3">
      <c r="E27" s="33"/>
      <c r="F27" s="33"/>
      <c r="G27" s="33"/>
      <c r="H27" s="11" t="s">
        <v>115</v>
      </c>
      <c r="I27" s="124">
        <v>26</v>
      </c>
      <c r="J27" s="5">
        <v>1219000</v>
      </c>
      <c r="L27" s="55" t="s">
        <v>5</v>
      </c>
      <c r="M27" s="123">
        <v>4</v>
      </c>
      <c r="N27" s="123">
        <v>4</v>
      </c>
    </row>
    <row r="28" spans="1:14" x14ac:dyDescent="0.3">
      <c r="E28" s="33"/>
      <c r="F28" s="33"/>
      <c r="G28" s="33"/>
      <c r="H28" s="11" t="s">
        <v>182</v>
      </c>
      <c r="I28" s="124">
        <v>142</v>
      </c>
      <c r="J28" s="5">
        <v>6641000</v>
      </c>
      <c r="L28" s="55" t="s">
        <v>1744</v>
      </c>
      <c r="M28" s="123">
        <v>2</v>
      </c>
      <c r="N28" s="123">
        <v>2</v>
      </c>
    </row>
    <row r="29" spans="1:14" x14ac:dyDescent="0.3">
      <c r="A29" s="98" t="s">
        <v>256</v>
      </c>
      <c r="B29" s="98"/>
      <c r="C29" s="98"/>
      <c r="D29" s="98"/>
      <c r="E29" s="33"/>
      <c r="F29" s="33"/>
      <c r="G29" s="33"/>
      <c r="L29" s="11" t="s">
        <v>115</v>
      </c>
      <c r="M29" s="123">
        <v>5</v>
      </c>
      <c r="N29" s="123">
        <v>5</v>
      </c>
    </row>
    <row r="30" spans="1:14" x14ac:dyDescent="0.3">
      <c r="A30" s="10" t="s">
        <v>3</v>
      </c>
      <c r="B30" t="s">
        <v>4</v>
      </c>
      <c r="E30" s="33"/>
      <c r="F30" s="33"/>
      <c r="G30" s="33"/>
      <c r="L30" s="55" t="s">
        <v>5</v>
      </c>
      <c r="M30" s="123">
        <v>4</v>
      </c>
      <c r="N30" s="123">
        <v>4</v>
      </c>
    </row>
    <row r="31" spans="1:14" x14ac:dyDescent="0.3">
      <c r="A31" s="10" t="s">
        <v>277</v>
      </c>
      <c r="B31" t="s">
        <v>1</v>
      </c>
      <c r="E31" s="33"/>
      <c r="F31" s="33"/>
      <c r="G31" s="33"/>
      <c r="L31" s="55" t="s">
        <v>1744</v>
      </c>
      <c r="M31" s="123">
        <v>1</v>
      </c>
      <c r="N31" s="123">
        <v>1</v>
      </c>
    </row>
    <row r="32" spans="1:14" x14ac:dyDescent="0.3">
      <c r="E32" s="33"/>
      <c r="F32" s="33"/>
      <c r="G32" s="33"/>
      <c r="H32" s="98" t="s">
        <v>261</v>
      </c>
      <c r="I32" s="98"/>
      <c r="J32" s="98"/>
      <c r="L32" s="11" t="s">
        <v>101</v>
      </c>
      <c r="M32" s="123">
        <v>30</v>
      </c>
      <c r="N32" s="123">
        <v>30</v>
      </c>
    </row>
    <row r="33" spans="1:15" x14ac:dyDescent="0.3">
      <c r="A33" s="10" t="s">
        <v>241</v>
      </c>
      <c r="B33" s="10" t="s">
        <v>76</v>
      </c>
      <c r="F33" s="33"/>
      <c r="G33" s="33"/>
      <c r="H33" s="10" t="s">
        <v>3</v>
      </c>
      <c r="I33" t="s">
        <v>189</v>
      </c>
    </row>
    <row r="34" spans="1:15" x14ac:dyDescent="0.3">
      <c r="A34" s="10" t="s">
        <v>240</v>
      </c>
      <c r="B34" t="s">
        <v>77</v>
      </c>
      <c r="C34" t="s">
        <v>101</v>
      </c>
      <c r="H34" s="10" t="s">
        <v>76</v>
      </c>
      <c r="I34" t="s">
        <v>77</v>
      </c>
    </row>
    <row r="35" spans="1:15" x14ac:dyDescent="0.3">
      <c r="A35" s="11" t="s">
        <v>771</v>
      </c>
      <c r="B35" s="33">
        <v>8</v>
      </c>
      <c r="C35" s="33">
        <v>8</v>
      </c>
      <c r="H35" s="10" t="s">
        <v>277</v>
      </c>
      <c r="I35" t="s">
        <v>1</v>
      </c>
    </row>
    <row r="36" spans="1:15" x14ac:dyDescent="0.3">
      <c r="A36" s="11" t="s">
        <v>124</v>
      </c>
      <c r="B36" s="33">
        <v>17</v>
      </c>
      <c r="C36" s="33">
        <v>17</v>
      </c>
    </row>
    <row r="37" spans="1:15" x14ac:dyDescent="0.3">
      <c r="A37" s="11" t="s">
        <v>118</v>
      </c>
      <c r="B37" s="33">
        <v>25</v>
      </c>
      <c r="C37" s="33">
        <v>25</v>
      </c>
      <c r="H37" s="10" t="s">
        <v>247</v>
      </c>
      <c r="I37" s="1" t="s">
        <v>183</v>
      </c>
    </row>
    <row r="38" spans="1:15" x14ac:dyDescent="0.3">
      <c r="A38" s="11" t="s">
        <v>148</v>
      </c>
      <c r="B38" s="33">
        <v>15</v>
      </c>
      <c r="C38" s="33">
        <v>15</v>
      </c>
      <c r="H38" s="11" t="s">
        <v>1570</v>
      </c>
      <c r="I38" s="124">
        <v>166</v>
      </c>
    </row>
    <row r="39" spans="1:15" x14ac:dyDescent="0.3">
      <c r="A39" s="11" t="s">
        <v>367</v>
      </c>
      <c r="B39" s="33">
        <v>16</v>
      </c>
      <c r="C39" s="33">
        <v>16</v>
      </c>
      <c r="H39" s="11" t="s">
        <v>1742</v>
      </c>
      <c r="I39" s="124">
        <v>9</v>
      </c>
    </row>
    <row r="40" spans="1:15" x14ac:dyDescent="0.3">
      <c r="A40" s="11" t="s">
        <v>1553</v>
      </c>
      <c r="B40" s="33">
        <v>11</v>
      </c>
      <c r="C40" s="33">
        <v>11</v>
      </c>
      <c r="H40" s="11" t="s">
        <v>1571</v>
      </c>
      <c r="I40" s="124">
        <v>1</v>
      </c>
    </row>
    <row r="41" spans="1:15" x14ac:dyDescent="0.3">
      <c r="A41" s="11" t="s">
        <v>112</v>
      </c>
      <c r="B41" s="33">
        <v>25</v>
      </c>
      <c r="C41" s="33">
        <v>25</v>
      </c>
      <c r="H41" s="11" t="s">
        <v>1572</v>
      </c>
      <c r="I41" s="124">
        <v>1</v>
      </c>
    </row>
    <row r="42" spans="1:15" x14ac:dyDescent="0.3">
      <c r="A42" s="11" t="s">
        <v>2099</v>
      </c>
      <c r="B42" s="33">
        <v>1</v>
      </c>
      <c r="C42" s="33">
        <v>1</v>
      </c>
      <c r="H42" s="11" t="s">
        <v>1884</v>
      </c>
      <c r="I42" s="124">
        <v>3</v>
      </c>
    </row>
    <row r="43" spans="1:15" x14ac:dyDescent="0.3">
      <c r="A43" s="11" t="s">
        <v>1912</v>
      </c>
      <c r="B43" s="33">
        <v>2</v>
      </c>
      <c r="C43" s="33">
        <v>2</v>
      </c>
      <c r="H43" s="11" t="s">
        <v>182</v>
      </c>
      <c r="I43" s="124">
        <v>180</v>
      </c>
    </row>
    <row r="44" spans="1:15" x14ac:dyDescent="0.3">
      <c r="A44" s="11" t="s">
        <v>2384</v>
      </c>
      <c r="B44" s="33">
        <v>1</v>
      </c>
      <c r="C44" s="33">
        <v>1</v>
      </c>
    </row>
    <row r="45" spans="1:15" x14ac:dyDescent="0.3">
      <c r="A45" s="11" t="s">
        <v>875</v>
      </c>
      <c r="B45" s="33">
        <v>2</v>
      </c>
      <c r="C45" s="33">
        <v>2</v>
      </c>
      <c r="L45" s="98" t="s">
        <v>418</v>
      </c>
      <c r="M45" s="98"/>
      <c r="N45" s="98"/>
      <c r="O45" s="98"/>
    </row>
    <row r="46" spans="1:15" x14ac:dyDescent="0.3">
      <c r="A46" s="11" t="s">
        <v>522</v>
      </c>
      <c r="B46" s="33">
        <v>1</v>
      </c>
      <c r="C46" s="33">
        <v>1</v>
      </c>
      <c r="L46" s="10" t="s">
        <v>419</v>
      </c>
      <c r="M46" t="s">
        <v>2029</v>
      </c>
    </row>
    <row r="47" spans="1:15" x14ac:dyDescent="0.3">
      <c r="A47" s="11" t="s">
        <v>1001</v>
      </c>
      <c r="B47" s="33">
        <v>1</v>
      </c>
      <c r="C47" s="33">
        <v>1</v>
      </c>
      <c r="H47" s="98" t="s">
        <v>1677</v>
      </c>
      <c r="I47" s="98"/>
      <c r="J47" s="98"/>
      <c r="L47" s="10" t="s">
        <v>420</v>
      </c>
      <c r="M47" t="s">
        <v>2026</v>
      </c>
    </row>
    <row r="48" spans="1:15" x14ac:dyDescent="0.3">
      <c r="A48" s="11" t="s">
        <v>1039</v>
      </c>
      <c r="B48" s="33">
        <v>7</v>
      </c>
      <c r="C48" s="33">
        <v>7</v>
      </c>
      <c r="H48" s="10" t="s">
        <v>45</v>
      </c>
      <c r="I48" t="s">
        <v>4</v>
      </c>
      <c r="L48" s="10" t="s">
        <v>76</v>
      </c>
      <c r="M48" t="s">
        <v>77</v>
      </c>
    </row>
    <row r="49" spans="1:14" x14ac:dyDescent="0.3">
      <c r="A49" s="11" t="s">
        <v>1086</v>
      </c>
      <c r="B49" s="33">
        <v>1</v>
      </c>
      <c r="C49" s="33">
        <v>1</v>
      </c>
      <c r="H49" s="10" t="s">
        <v>68</v>
      </c>
      <c r="I49" t="s">
        <v>77</v>
      </c>
    </row>
    <row r="50" spans="1:14" x14ac:dyDescent="0.3">
      <c r="A50" s="11" t="s">
        <v>466</v>
      </c>
      <c r="B50" s="33">
        <v>3</v>
      </c>
      <c r="C50" s="33">
        <v>3</v>
      </c>
      <c r="L50" s="10" t="s">
        <v>183</v>
      </c>
      <c r="M50" s="10" t="s">
        <v>76</v>
      </c>
    </row>
    <row r="51" spans="1:14" x14ac:dyDescent="0.3">
      <c r="A51" s="11" t="s">
        <v>1505</v>
      </c>
      <c r="B51" s="33">
        <v>1</v>
      </c>
      <c r="C51" s="33">
        <v>1</v>
      </c>
      <c r="H51" s="10" t="s">
        <v>1678</v>
      </c>
      <c r="I51" t="s">
        <v>1679</v>
      </c>
      <c r="L51" s="10" t="s">
        <v>3</v>
      </c>
      <c r="M51" t="s">
        <v>1</v>
      </c>
      <c r="N51" t="s">
        <v>101</v>
      </c>
    </row>
    <row r="52" spans="1:14" x14ac:dyDescent="0.3">
      <c r="A52" s="11" t="s">
        <v>328</v>
      </c>
      <c r="B52" s="33">
        <v>4</v>
      </c>
      <c r="C52" s="33">
        <v>4</v>
      </c>
      <c r="H52" s="11" t="s">
        <v>116</v>
      </c>
      <c r="I52" s="123">
        <v>20</v>
      </c>
      <c r="L52" s="11" t="s">
        <v>6</v>
      </c>
      <c r="M52" s="123">
        <v>6</v>
      </c>
      <c r="N52" s="123">
        <v>6</v>
      </c>
    </row>
    <row r="53" spans="1:14" x14ac:dyDescent="0.3">
      <c r="A53" s="11" t="s">
        <v>556</v>
      </c>
      <c r="B53" s="33">
        <v>1</v>
      </c>
      <c r="C53" s="33">
        <v>1</v>
      </c>
      <c r="H53" s="11" t="s">
        <v>118</v>
      </c>
      <c r="I53" s="123">
        <v>38</v>
      </c>
      <c r="L53" s="11" t="s">
        <v>5</v>
      </c>
      <c r="M53" s="123">
        <v>27</v>
      </c>
      <c r="N53" s="123">
        <v>27</v>
      </c>
    </row>
    <row r="54" spans="1:14" x14ac:dyDescent="0.3">
      <c r="A54" s="11" t="s">
        <v>101</v>
      </c>
      <c r="B54" s="33">
        <v>142</v>
      </c>
      <c r="C54" s="33">
        <v>142</v>
      </c>
      <c r="H54" s="11" t="s">
        <v>111</v>
      </c>
      <c r="I54" s="123">
        <v>14</v>
      </c>
      <c r="L54" s="11" t="s">
        <v>4</v>
      </c>
      <c r="M54" s="123">
        <v>140</v>
      </c>
      <c r="N54" s="123">
        <v>140</v>
      </c>
    </row>
    <row r="55" spans="1:14" x14ac:dyDescent="0.3">
      <c r="H55" s="11" t="s">
        <v>105</v>
      </c>
      <c r="I55" s="123">
        <v>9</v>
      </c>
      <c r="L55" s="11" t="s">
        <v>2959</v>
      </c>
      <c r="M55" s="123">
        <v>1</v>
      </c>
      <c r="N55" s="123">
        <v>1</v>
      </c>
    </row>
    <row r="56" spans="1:14" x14ac:dyDescent="0.3">
      <c r="H56" s="11" t="s">
        <v>1004</v>
      </c>
      <c r="I56" s="123">
        <v>27</v>
      </c>
      <c r="L56" s="11" t="s">
        <v>2949</v>
      </c>
      <c r="M56" s="123">
        <v>1</v>
      </c>
      <c r="N56" s="123">
        <v>1</v>
      </c>
    </row>
    <row r="57" spans="1:14" x14ac:dyDescent="0.3">
      <c r="H57" s="11" t="s">
        <v>1718</v>
      </c>
      <c r="I57" s="123">
        <v>1</v>
      </c>
      <c r="L57" s="11" t="s">
        <v>1744</v>
      </c>
      <c r="M57" s="123">
        <v>3</v>
      </c>
      <c r="N57" s="123">
        <v>3</v>
      </c>
    </row>
    <row r="58" spans="1:14" x14ac:dyDescent="0.3">
      <c r="H58" s="11" t="s">
        <v>1890</v>
      </c>
      <c r="I58" s="123">
        <v>30</v>
      </c>
      <c r="L58" s="11" t="s">
        <v>101</v>
      </c>
      <c r="M58" s="123">
        <v>178</v>
      </c>
      <c r="N58" s="123">
        <v>178</v>
      </c>
    </row>
    <row r="59" spans="1:14" x14ac:dyDescent="0.3">
      <c r="H59" s="11" t="s">
        <v>2807</v>
      </c>
      <c r="I59" s="123">
        <v>1</v>
      </c>
    </row>
    <row r="60" spans="1:14" x14ac:dyDescent="0.3">
      <c r="H60" s="11" t="s">
        <v>3052</v>
      </c>
      <c r="I60" s="123">
        <v>2</v>
      </c>
    </row>
    <row r="61" spans="1:14" x14ac:dyDescent="0.3">
      <c r="H61" s="11" t="s">
        <v>182</v>
      </c>
      <c r="I61" s="123">
        <v>142</v>
      </c>
    </row>
  </sheetData>
  <mergeCells count="9">
    <mergeCell ref="L45:O45"/>
    <mergeCell ref="H32:J32"/>
    <mergeCell ref="H47:J47"/>
    <mergeCell ref="A29:D29"/>
    <mergeCell ref="H1:J1"/>
    <mergeCell ref="H17:I17"/>
    <mergeCell ref="L15:O15"/>
    <mergeCell ref="A1:F1"/>
    <mergeCell ref="L1:P1"/>
  </mergeCells>
  <pageMargins left="0.7" right="0.7" top="0.75" bottom="0.75" header="0.3" footer="0.3"/>
  <pageSetup paperSize="189" orientation="portrait" r:id="rId1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9E2AF-7E46-4271-A738-7257097033FF}">
  <sheetPr codeName="Hoja10">
    <tabColor rgb="FFFFC000"/>
  </sheetPr>
  <dimension ref="A1:K123"/>
  <sheetViews>
    <sheetView topLeftCell="A19" zoomScale="85" zoomScaleNormal="85" workbookViewId="0">
      <selection activeCell="H35" sqref="H35 K35"/>
    </sheetView>
  </sheetViews>
  <sheetFormatPr baseColWidth="10" defaultRowHeight="14.4" x14ac:dyDescent="0.3"/>
  <cols>
    <col min="1" max="1" width="24.21875" bestFit="1" customWidth="1"/>
    <col min="2" max="2" width="15.44140625" bestFit="1" customWidth="1"/>
    <col min="3" max="3" width="7.44140625" bestFit="1" customWidth="1"/>
    <col min="4" max="4" width="3" customWidth="1"/>
    <col min="5" max="5" width="58" bestFit="1" customWidth="1"/>
    <col min="6" max="6" width="19.6640625" customWidth="1"/>
    <col min="7" max="7" width="3.33203125" customWidth="1"/>
    <col min="8" max="8" width="39.109375" bestFit="1" customWidth="1"/>
    <col min="9" max="9" width="37" bestFit="1" customWidth="1"/>
    <col min="10" max="10" width="15.77734375" style="1" bestFit="1" customWidth="1"/>
    <col min="11" max="11" width="9.6640625" bestFit="1" customWidth="1"/>
    <col min="13" max="13" width="10.6640625" customWidth="1"/>
  </cols>
  <sheetData>
    <row r="1" spans="1:11" x14ac:dyDescent="0.3">
      <c r="A1" s="98" t="s">
        <v>257</v>
      </c>
      <c r="B1" s="98"/>
      <c r="C1" s="98"/>
      <c r="E1" s="98" t="s">
        <v>258</v>
      </c>
      <c r="F1" s="98"/>
      <c r="H1" s="98" t="s">
        <v>422</v>
      </c>
      <c r="I1" s="98"/>
      <c r="J1" s="98"/>
      <c r="K1" s="98"/>
    </row>
    <row r="2" spans="1:11" x14ac:dyDescent="0.3">
      <c r="A2" s="10" t="s">
        <v>3</v>
      </c>
      <c r="B2" t="s">
        <v>4</v>
      </c>
      <c r="E2" s="10" t="s">
        <v>3</v>
      </c>
      <c r="F2" t="s">
        <v>189</v>
      </c>
      <c r="H2" s="10" t="s">
        <v>3</v>
      </c>
      <c r="I2" t="s">
        <v>189</v>
      </c>
    </row>
    <row r="3" spans="1:11" x14ac:dyDescent="0.3">
      <c r="A3" s="10" t="s">
        <v>76</v>
      </c>
      <c r="B3" t="s">
        <v>77</v>
      </c>
      <c r="E3" s="10" t="s">
        <v>76</v>
      </c>
      <c r="F3" t="s">
        <v>77</v>
      </c>
      <c r="H3" s="10" t="s">
        <v>76</v>
      </c>
      <c r="I3" t="s">
        <v>77</v>
      </c>
    </row>
    <row r="4" spans="1:11" x14ac:dyDescent="0.3">
      <c r="A4" s="10" t="s">
        <v>277</v>
      </c>
      <c r="B4" t="s">
        <v>1</v>
      </c>
      <c r="E4" s="10" t="s">
        <v>277</v>
      </c>
      <c r="F4" t="s">
        <v>1</v>
      </c>
      <c r="H4" s="10" t="s">
        <v>277</v>
      </c>
      <c r="I4" t="s">
        <v>1</v>
      </c>
    </row>
    <row r="5" spans="1:11" x14ac:dyDescent="0.3">
      <c r="H5" s="10" t="s">
        <v>421</v>
      </c>
      <c r="I5" t="s">
        <v>1</v>
      </c>
    </row>
    <row r="6" spans="1:11" x14ac:dyDescent="0.3">
      <c r="A6" s="10" t="s">
        <v>236</v>
      </c>
      <c r="B6" s="17" t="s">
        <v>187</v>
      </c>
      <c r="C6" s="1" t="s">
        <v>183</v>
      </c>
      <c r="E6" s="10" t="s">
        <v>242</v>
      </c>
      <c r="F6" s="1" t="s">
        <v>241</v>
      </c>
    </row>
    <row r="7" spans="1:11" x14ac:dyDescent="0.3">
      <c r="A7" s="11" t="s">
        <v>116</v>
      </c>
      <c r="B7" s="11" t="s">
        <v>121</v>
      </c>
      <c r="C7" s="123">
        <v>4</v>
      </c>
      <c r="E7" s="11" t="s">
        <v>846</v>
      </c>
      <c r="F7" s="123">
        <v>9</v>
      </c>
      <c r="H7" s="10" t="s">
        <v>96</v>
      </c>
      <c r="I7" s="10" t="s">
        <v>38</v>
      </c>
      <c r="J7" s="17" t="s">
        <v>423</v>
      </c>
      <c r="K7" s="1" t="s">
        <v>241</v>
      </c>
    </row>
    <row r="8" spans="1:11" x14ac:dyDescent="0.3">
      <c r="B8" s="11" t="s">
        <v>110</v>
      </c>
      <c r="C8" s="123">
        <v>4</v>
      </c>
      <c r="E8" s="11" t="s">
        <v>822</v>
      </c>
      <c r="F8" s="123">
        <v>2</v>
      </c>
      <c r="H8" s="11" t="s">
        <v>1024</v>
      </c>
      <c r="I8" s="11" t="s">
        <v>1023</v>
      </c>
      <c r="J8" s="11" t="s">
        <v>1</v>
      </c>
      <c r="K8" s="123">
        <v>1</v>
      </c>
    </row>
    <row r="9" spans="1:11" x14ac:dyDescent="0.3">
      <c r="B9" s="11" t="s">
        <v>117</v>
      </c>
      <c r="C9" s="123">
        <v>3</v>
      </c>
      <c r="E9" s="11" t="s">
        <v>731</v>
      </c>
      <c r="F9" s="123">
        <v>162</v>
      </c>
      <c r="H9" s="11" t="s">
        <v>266</v>
      </c>
      <c r="I9" s="11" t="s">
        <v>265</v>
      </c>
      <c r="J9" s="11" t="s">
        <v>1</v>
      </c>
      <c r="K9" s="123">
        <v>1</v>
      </c>
    </row>
    <row r="10" spans="1:11" x14ac:dyDescent="0.3">
      <c r="B10" s="11" t="s">
        <v>122</v>
      </c>
      <c r="C10" s="123">
        <v>2</v>
      </c>
      <c r="E10" s="11" t="s">
        <v>977</v>
      </c>
      <c r="F10" s="123">
        <v>5</v>
      </c>
      <c r="H10" s="11" t="s">
        <v>2154</v>
      </c>
      <c r="I10" s="11" t="s">
        <v>2153</v>
      </c>
      <c r="J10" s="1" t="s">
        <v>1</v>
      </c>
      <c r="K10" s="123">
        <v>1</v>
      </c>
    </row>
    <row r="11" spans="1:11" x14ac:dyDescent="0.3">
      <c r="B11" s="11" t="s">
        <v>104</v>
      </c>
      <c r="C11" s="123">
        <v>2</v>
      </c>
      <c r="E11" s="11" t="s">
        <v>1157</v>
      </c>
      <c r="F11" s="123">
        <v>1</v>
      </c>
      <c r="H11" s="11" t="s">
        <v>230</v>
      </c>
      <c r="I11" s="11" t="s">
        <v>229</v>
      </c>
      <c r="J11" s="11" t="s">
        <v>1</v>
      </c>
      <c r="K11" s="123">
        <v>1</v>
      </c>
    </row>
    <row r="12" spans="1:11" x14ac:dyDescent="0.3">
      <c r="B12" s="11" t="s">
        <v>115</v>
      </c>
      <c r="C12" s="123">
        <v>5</v>
      </c>
      <c r="E12" s="11" t="s">
        <v>2046</v>
      </c>
      <c r="F12" s="123">
        <v>1</v>
      </c>
      <c r="H12" s="11" t="s">
        <v>2883</v>
      </c>
      <c r="I12" s="11" t="s">
        <v>2882</v>
      </c>
      <c r="J12" s="1" t="s">
        <v>1</v>
      </c>
      <c r="K12" s="123">
        <v>1</v>
      </c>
    </row>
    <row r="13" spans="1:11" x14ac:dyDescent="0.3">
      <c r="A13" s="11" t="s">
        <v>1573</v>
      </c>
      <c r="C13" s="123">
        <v>20</v>
      </c>
      <c r="E13" s="11" t="s">
        <v>182</v>
      </c>
      <c r="F13" s="123">
        <v>180</v>
      </c>
      <c r="H13" s="11" t="s">
        <v>742</v>
      </c>
      <c r="I13" s="11" t="s">
        <v>741</v>
      </c>
      <c r="J13" s="11" t="s">
        <v>1</v>
      </c>
      <c r="K13" s="123">
        <v>1</v>
      </c>
    </row>
    <row r="14" spans="1:11" x14ac:dyDescent="0.3">
      <c r="A14" s="11" t="s">
        <v>118</v>
      </c>
      <c r="B14" s="11" t="s">
        <v>121</v>
      </c>
      <c r="C14" s="123">
        <v>4</v>
      </c>
      <c r="H14" s="11" t="s">
        <v>783</v>
      </c>
      <c r="I14" s="11" t="s">
        <v>782</v>
      </c>
      <c r="J14" s="11" t="s">
        <v>1</v>
      </c>
      <c r="K14" s="123">
        <v>1</v>
      </c>
    </row>
    <row r="15" spans="1:11" x14ac:dyDescent="0.3">
      <c r="B15" s="11" t="s">
        <v>110</v>
      </c>
      <c r="C15" s="123">
        <v>5</v>
      </c>
      <c r="H15" s="11" t="s">
        <v>795</v>
      </c>
      <c r="I15" s="11" t="s">
        <v>794</v>
      </c>
      <c r="J15" s="11" t="s">
        <v>1</v>
      </c>
      <c r="K15" s="123">
        <v>1</v>
      </c>
    </row>
    <row r="16" spans="1:11" x14ac:dyDescent="0.3">
      <c r="B16" s="11" t="s">
        <v>117</v>
      </c>
      <c r="C16" s="123">
        <v>8</v>
      </c>
      <c r="H16" s="11" t="s">
        <v>805</v>
      </c>
      <c r="I16" s="11" t="s">
        <v>804</v>
      </c>
      <c r="J16" s="11" t="s">
        <v>1</v>
      </c>
      <c r="K16" s="123">
        <v>1</v>
      </c>
    </row>
    <row r="17" spans="1:11" x14ac:dyDescent="0.3">
      <c r="B17" s="11" t="s">
        <v>122</v>
      </c>
      <c r="C17" s="123">
        <v>7</v>
      </c>
      <c r="H17" s="11" t="s">
        <v>817</v>
      </c>
      <c r="I17" s="11" t="s">
        <v>816</v>
      </c>
      <c r="J17" s="11" t="s">
        <v>1</v>
      </c>
      <c r="K17" s="123">
        <v>1</v>
      </c>
    </row>
    <row r="18" spans="1:11" x14ac:dyDescent="0.3">
      <c r="B18" s="11" t="s">
        <v>104</v>
      </c>
      <c r="C18" s="123">
        <v>7</v>
      </c>
      <c r="E18" s="98" t="s">
        <v>2032</v>
      </c>
      <c r="F18" s="98"/>
      <c r="H18" s="11" t="s">
        <v>840</v>
      </c>
      <c r="I18" s="11" t="s">
        <v>839</v>
      </c>
      <c r="J18" s="11" t="s">
        <v>1</v>
      </c>
      <c r="K18" s="123">
        <v>1</v>
      </c>
    </row>
    <row r="19" spans="1:11" x14ac:dyDescent="0.3">
      <c r="B19" s="11" t="s">
        <v>115</v>
      </c>
      <c r="C19" s="123">
        <v>7</v>
      </c>
      <c r="E19" s="10" t="s">
        <v>76</v>
      </c>
      <c r="F19" t="s">
        <v>77</v>
      </c>
      <c r="H19" s="11" t="s">
        <v>862</v>
      </c>
      <c r="I19" s="11" t="s">
        <v>861</v>
      </c>
      <c r="J19" s="11" t="s">
        <v>1</v>
      </c>
      <c r="K19" s="123">
        <v>1</v>
      </c>
    </row>
    <row r="20" spans="1:11" x14ac:dyDescent="0.3">
      <c r="A20" s="11" t="s">
        <v>1575</v>
      </c>
      <c r="C20" s="123">
        <v>38</v>
      </c>
      <c r="H20" s="11" t="s">
        <v>873</v>
      </c>
      <c r="I20" s="11" t="s">
        <v>872</v>
      </c>
      <c r="J20" s="11" t="s">
        <v>1</v>
      </c>
      <c r="K20" s="123">
        <v>1</v>
      </c>
    </row>
    <row r="21" spans="1:11" x14ac:dyDescent="0.3">
      <c r="A21" s="11" t="s">
        <v>111</v>
      </c>
      <c r="B21" s="11" t="s">
        <v>121</v>
      </c>
      <c r="C21" s="123">
        <v>1</v>
      </c>
      <c r="E21" s="10" t="s">
        <v>2033</v>
      </c>
      <c r="F21" s="1" t="s">
        <v>241</v>
      </c>
      <c r="H21" s="11" t="s">
        <v>886</v>
      </c>
      <c r="I21" s="11" t="s">
        <v>885</v>
      </c>
      <c r="J21" s="11" t="s">
        <v>1</v>
      </c>
      <c r="K21" s="123">
        <v>1</v>
      </c>
    </row>
    <row r="22" spans="1:11" x14ac:dyDescent="0.3">
      <c r="B22" s="11" t="s">
        <v>110</v>
      </c>
      <c r="C22" s="123">
        <v>3</v>
      </c>
      <c r="E22" s="11" t="s">
        <v>714</v>
      </c>
      <c r="F22" s="123">
        <v>1</v>
      </c>
      <c r="H22" s="11" t="s">
        <v>896</v>
      </c>
      <c r="I22" s="11" t="s">
        <v>895</v>
      </c>
      <c r="J22" s="11" t="s">
        <v>1</v>
      </c>
      <c r="K22" s="123">
        <v>1</v>
      </c>
    </row>
    <row r="23" spans="1:11" x14ac:dyDescent="0.3">
      <c r="B23" s="11" t="s">
        <v>117</v>
      </c>
      <c r="C23" s="123">
        <v>2</v>
      </c>
      <c r="E23" s="11" t="s">
        <v>713</v>
      </c>
      <c r="F23" s="123">
        <v>128</v>
      </c>
      <c r="H23" s="11" t="s">
        <v>936</v>
      </c>
      <c r="I23" s="11" t="s">
        <v>935</v>
      </c>
      <c r="J23" s="11" t="s">
        <v>1</v>
      </c>
      <c r="K23" s="123">
        <v>1</v>
      </c>
    </row>
    <row r="24" spans="1:11" x14ac:dyDescent="0.3">
      <c r="B24" s="11" t="s">
        <v>122</v>
      </c>
      <c r="C24" s="123">
        <v>2</v>
      </c>
      <c r="E24" s="11" t="s">
        <v>120</v>
      </c>
      <c r="F24" s="123">
        <v>17</v>
      </c>
      <c r="H24" s="11" t="s">
        <v>950</v>
      </c>
      <c r="I24" s="11" t="s">
        <v>949</v>
      </c>
      <c r="J24" s="11" t="s">
        <v>1</v>
      </c>
      <c r="K24" s="123">
        <v>1</v>
      </c>
    </row>
    <row r="25" spans="1:11" x14ac:dyDescent="0.3">
      <c r="B25" s="11" t="s">
        <v>104</v>
      </c>
      <c r="C25" s="123">
        <v>3</v>
      </c>
      <c r="E25" s="11" t="s">
        <v>730</v>
      </c>
      <c r="F25" s="123">
        <v>34</v>
      </c>
      <c r="H25" s="11" t="s">
        <v>959</v>
      </c>
      <c r="I25" s="11" t="s">
        <v>958</v>
      </c>
      <c r="J25" s="11" t="s">
        <v>1</v>
      </c>
      <c r="K25" s="123">
        <v>1</v>
      </c>
    </row>
    <row r="26" spans="1:11" x14ac:dyDescent="0.3">
      <c r="B26" s="11" t="s">
        <v>115</v>
      </c>
      <c r="C26" s="123">
        <v>3</v>
      </c>
      <c r="E26" s="11" t="s">
        <v>182</v>
      </c>
      <c r="F26" s="123">
        <v>180</v>
      </c>
      <c r="H26" s="11" t="s">
        <v>999</v>
      </c>
      <c r="I26" s="11" t="s">
        <v>998</v>
      </c>
      <c r="J26" s="11" t="s">
        <v>1</v>
      </c>
      <c r="K26" s="123">
        <v>1</v>
      </c>
    </row>
    <row r="27" spans="1:11" x14ac:dyDescent="0.3">
      <c r="A27" s="11" t="s">
        <v>1576</v>
      </c>
      <c r="C27" s="123">
        <v>14</v>
      </c>
      <c r="H27" s="11" t="s">
        <v>1013</v>
      </c>
      <c r="I27" s="11" t="s">
        <v>1012</v>
      </c>
      <c r="J27" s="11" t="s">
        <v>1</v>
      </c>
      <c r="K27" s="123">
        <v>1</v>
      </c>
    </row>
    <row r="28" spans="1:11" x14ac:dyDescent="0.3">
      <c r="A28" s="11" t="s">
        <v>105</v>
      </c>
      <c r="B28" s="11" t="s">
        <v>110</v>
      </c>
      <c r="C28" s="123">
        <v>1</v>
      </c>
      <c r="H28" s="11" t="s">
        <v>1037</v>
      </c>
      <c r="I28" s="11" t="s">
        <v>1036</v>
      </c>
      <c r="J28" s="11" t="s">
        <v>1</v>
      </c>
      <c r="K28" s="123">
        <v>1</v>
      </c>
    </row>
    <row r="29" spans="1:11" x14ac:dyDescent="0.3">
      <c r="B29" s="11" t="s">
        <v>117</v>
      </c>
      <c r="C29" s="123">
        <v>1</v>
      </c>
      <c r="H29" s="11" t="s">
        <v>1067</v>
      </c>
      <c r="I29" s="11" t="s">
        <v>1066</v>
      </c>
      <c r="J29" s="11" t="s">
        <v>1</v>
      </c>
      <c r="K29" s="123">
        <v>1</v>
      </c>
    </row>
    <row r="30" spans="1:11" x14ac:dyDescent="0.3">
      <c r="B30" s="11" t="s">
        <v>122</v>
      </c>
      <c r="C30" s="123">
        <v>3</v>
      </c>
      <c r="E30" s="98" t="s">
        <v>3070</v>
      </c>
      <c r="F30" s="98"/>
      <c r="H30" s="11" t="s">
        <v>1074</v>
      </c>
      <c r="I30" s="11" t="s">
        <v>1073</v>
      </c>
      <c r="J30" s="11" t="s">
        <v>1</v>
      </c>
      <c r="K30" s="123">
        <v>1</v>
      </c>
    </row>
    <row r="31" spans="1:11" x14ac:dyDescent="0.3">
      <c r="B31" s="11" t="s">
        <v>104</v>
      </c>
      <c r="C31" s="123">
        <v>2</v>
      </c>
      <c r="E31" s="10" t="s">
        <v>3068</v>
      </c>
      <c r="F31" t="s">
        <v>2026</v>
      </c>
      <c r="H31" s="11" t="s">
        <v>1165</v>
      </c>
      <c r="I31" s="11" t="s">
        <v>1164</v>
      </c>
      <c r="J31" s="11" t="s">
        <v>1</v>
      </c>
      <c r="K31" s="123">
        <v>1</v>
      </c>
    </row>
    <row r="32" spans="1:11" x14ac:dyDescent="0.3">
      <c r="B32" s="11" t="s">
        <v>115</v>
      </c>
      <c r="C32" s="123">
        <v>2</v>
      </c>
      <c r="H32" s="11" t="s">
        <v>1178</v>
      </c>
      <c r="I32" s="11" t="s">
        <v>1177</v>
      </c>
      <c r="J32" s="11" t="s">
        <v>1</v>
      </c>
      <c r="K32" s="123">
        <v>1</v>
      </c>
    </row>
    <row r="33" spans="1:11" x14ac:dyDescent="0.3">
      <c r="A33" s="11" t="s">
        <v>1577</v>
      </c>
      <c r="C33" s="123">
        <v>9</v>
      </c>
      <c r="E33" s="17" t="s">
        <v>3069</v>
      </c>
      <c r="F33" s="1" t="s">
        <v>3067</v>
      </c>
      <c r="H33" s="11" t="s">
        <v>1187</v>
      </c>
      <c r="I33" s="11" t="s">
        <v>1186</v>
      </c>
      <c r="J33" s="11" t="s">
        <v>1</v>
      </c>
      <c r="K33" s="123">
        <v>1</v>
      </c>
    </row>
    <row r="34" spans="1:11" x14ac:dyDescent="0.3">
      <c r="A34" s="11" t="s">
        <v>1004</v>
      </c>
      <c r="B34" s="11" t="s">
        <v>121</v>
      </c>
      <c r="C34" s="123">
        <v>3</v>
      </c>
      <c r="E34" s="11" t="s">
        <v>710</v>
      </c>
      <c r="F34" s="123"/>
      <c r="H34" s="11" t="s">
        <v>1217</v>
      </c>
      <c r="I34" s="11" t="s">
        <v>1216</v>
      </c>
      <c r="J34" s="11" t="s">
        <v>1</v>
      </c>
      <c r="K34" s="123">
        <v>1</v>
      </c>
    </row>
    <row r="35" spans="1:11" x14ac:dyDescent="0.3">
      <c r="B35" s="11" t="s">
        <v>110</v>
      </c>
      <c r="C35" s="123">
        <v>3</v>
      </c>
      <c r="E35" s="55" t="s">
        <v>3061</v>
      </c>
      <c r="F35" s="123">
        <v>17</v>
      </c>
      <c r="H35" s="11" t="s">
        <v>1239</v>
      </c>
      <c r="I35" s="11" t="s">
        <v>1238</v>
      </c>
      <c r="J35" s="11" t="s">
        <v>1</v>
      </c>
      <c r="K35" s="123">
        <v>1</v>
      </c>
    </row>
    <row r="36" spans="1:11" x14ac:dyDescent="0.3">
      <c r="B36" s="11" t="s">
        <v>117</v>
      </c>
      <c r="C36" s="123">
        <v>6</v>
      </c>
      <c r="E36" s="55" t="s">
        <v>3060</v>
      </c>
      <c r="F36" s="123">
        <v>157</v>
      </c>
      <c r="H36" s="11" t="s">
        <v>1250</v>
      </c>
      <c r="I36" s="11" t="s">
        <v>1249</v>
      </c>
      <c r="J36" s="11" t="s">
        <v>1</v>
      </c>
      <c r="K36" s="123">
        <v>1</v>
      </c>
    </row>
    <row r="37" spans="1:11" x14ac:dyDescent="0.3">
      <c r="B37" s="11" t="s">
        <v>122</v>
      </c>
      <c r="C37" s="123">
        <v>6</v>
      </c>
      <c r="E37" s="11" t="s">
        <v>715</v>
      </c>
      <c r="F37" s="123"/>
      <c r="H37" s="11" t="s">
        <v>1259</v>
      </c>
      <c r="I37" s="11" t="s">
        <v>1258</v>
      </c>
      <c r="J37" s="11" t="s">
        <v>1</v>
      </c>
      <c r="K37" s="123">
        <v>1</v>
      </c>
    </row>
    <row r="38" spans="1:11" x14ac:dyDescent="0.3">
      <c r="B38" s="11" t="s">
        <v>104</v>
      </c>
      <c r="C38" s="123">
        <v>3</v>
      </c>
      <c r="E38" s="55" t="s">
        <v>3062</v>
      </c>
      <c r="F38" s="123">
        <v>157</v>
      </c>
      <c r="H38" s="11" t="s">
        <v>1278</v>
      </c>
      <c r="I38" s="11" t="s">
        <v>1277</v>
      </c>
      <c r="J38" s="11" t="s">
        <v>1</v>
      </c>
      <c r="K38" s="123">
        <v>1</v>
      </c>
    </row>
    <row r="39" spans="1:11" x14ac:dyDescent="0.3">
      <c r="B39" s="11" t="s">
        <v>115</v>
      </c>
      <c r="C39" s="123">
        <v>6</v>
      </c>
      <c r="E39" s="55" t="s">
        <v>3063</v>
      </c>
      <c r="F39" s="123">
        <v>17</v>
      </c>
      <c r="H39" s="11" t="s">
        <v>1290</v>
      </c>
      <c r="I39" s="11" t="s">
        <v>1289</v>
      </c>
      <c r="J39" s="11" t="s">
        <v>1</v>
      </c>
      <c r="K39" s="123">
        <v>1</v>
      </c>
    </row>
    <row r="40" spans="1:11" x14ac:dyDescent="0.3">
      <c r="A40" s="11" t="s">
        <v>1574</v>
      </c>
      <c r="C40" s="123">
        <v>27</v>
      </c>
      <c r="E40" s="11" t="s">
        <v>716</v>
      </c>
      <c r="F40" s="123"/>
      <c r="H40" s="11" t="s">
        <v>1297</v>
      </c>
      <c r="I40" s="11" t="s">
        <v>1296</v>
      </c>
      <c r="J40" s="11" t="s">
        <v>1</v>
      </c>
      <c r="K40" s="123">
        <v>1</v>
      </c>
    </row>
    <row r="41" spans="1:11" x14ac:dyDescent="0.3">
      <c r="A41" s="11" t="s">
        <v>1718</v>
      </c>
      <c r="B41" s="11" t="s">
        <v>104</v>
      </c>
      <c r="C41" s="123">
        <v>1</v>
      </c>
      <c r="E41" s="55" t="s">
        <v>3064</v>
      </c>
      <c r="F41" s="123">
        <v>17</v>
      </c>
      <c r="H41" s="11" t="s">
        <v>1318</v>
      </c>
      <c r="I41" s="11" t="s">
        <v>1317</v>
      </c>
      <c r="J41" s="11" t="s">
        <v>1</v>
      </c>
      <c r="K41" s="123">
        <v>1</v>
      </c>
    </row>
    <row r="42" spans="1:11" x14ac:dyDescent="0.3">
      <c r="A42" s="11" t="s">
        <v>1741</v>
      </c>
      <c r="C42" s="123">
        <v>1</v>
      </c>
      <c r="E42" s="55" t="s">
        <v>3065</v>
      </c>
      <c r="F42" s="123">
        <v>156</v>
      </c>
      <c r="H42" s="11" t="s">
        <v>1327</v>
      </c>
      <c r="I42" s="11" t="s">
        <v>1326</v>
      </c>
      <c r="J42" s="11" t="s">
        <v>1</v>
      </c>
      <c r="K42" s="123">
        <v>1</v>
      </c>
    </row>
    <row r="43" spans="1:11" x14ac:dyDescent="0.3">
      <c r="A43" s="11" t="s">
        <v>1890</v>
      </c>
      <c r="B43" s="11" t="s">
        <v>121</v>
      </c>
      <c r="C43" s="123">
        <v>8</v>
      </c>
      <c r="E43" s="55" t="s">
        <v>3066</v>
      </c>
      <c r="F43" s="123">
        <v>1</v>
      </c>
      <c r="H43" s="11" t="s">
        <v>1352</v>
      </c>
      <c r="I43" s="11" t="s">
        <v>1351</v>
      </c>
      <c r="J43" s="11" t="s">
        <v>1</v>
      </c>
      <c r="K43" s="123">
        <v>1</v>
      </c>
    </row>
    <row r="44" spans="1:11" x14ac:dyDescent="0.3">
      <c r="B44" s="11" t="s">
        <v>110</v>
      </c>
      <c r="C44" s="123">
        <v>5</v>
      </c>
      <c r="E44" s="11" t="s">
        <v>182</v>
      </c>
      <c r="F44" s="123">
        <v>522</v>
      </c>
      <c r="H44" s="11" t="s">
        <v>1382</v>
      </c>
      <c r="I44" s="11" t="s">
        <v>1381</v>
      </c>
      <c r="J44" s="11" t="s">
        <v>1</v>
      </c>
      <c r="K44" s="123">
        <v>1</v>
      </c>
    </row>
    <row r="45" spans="1:11" x14ac:dyDescent="0.3">
      <c r="B45" s="11" t="s">
        <v>117</v>
      </c>
      <c r="C45" s="123">
        <v>3</v>
      </c>
      <c r="H45" s="11" t="s">
        <v>1440</v>
      </c>
      <c r="I45" s="11" t="s">
        <v>1439</v>
      </c>
      <c r="J45" s="11" t="s">
        <v>1</v>
      </c>
      <c r="K45" s="123">
        <v>1</v>
      </c>
    </row>
    <row r="46" spans="1:11" x14ac:dyDescent="0.3">
      <c r="B46" s="11" t="s">
        <v>122</v>
      </c>
      <c r="C46" s="123">
        <v>5</v>
      </c>
      <c r="H46" s="11" t="s">
        <v>1453</v>
      </c>
      <c r="I46" s="11" t="s">
        <v>1452</v>
      </c>
      <c r="J46" s="11" t="s">
        <v>1</v>
      </c>
      <c r="K46" s="123">
        <v>1</v>
      </c>
    </row>
    <row r="47" spans="1:11" x14ac:dyDescent="0.3">
      <c r="B47" s="11" t="s">
        <v>104</v>
      </c>
      <c r="C47" s="123">
        <v>6</v>
      </c>
      <c r="H47" s="11" t="s">
        <v>1473</v>
      </c>
      <c r="I47" s="11" t="s">
        <v>1472</v>
      </c>
      <c r="J47" s="11" t="s">
        <v>1</v>
      </c>
      <c r="K47" s="123">
        <v>1</v>
      </c>
    </row>
    <row r="48" spans="1:11" x14ac:dyDescent="0.3">
      <c r="B48" s="11" t="s">
        <v>115</v>
      </c>
      <c r="C48" s="123">
        <v>3</v>
      </c>
      <c r="E48" s="98" t="s">
        <v>2395</v>
      </c>
      <c r="F48" s="98"/>
      <c r="H48" s="11" t="s">
        <v>1503</v>
      </c>
      <c r="I48" s="11" t="s">
        <v>1502</v>
      </c>
      <c r="J48" s="11" t="s">
        <v>1</v>
      </c>
      <c r="K48" s="123">
        <v>1</v>
      </c>
    </row>
    <row r="49" spans="1:11" x14ac:dyDescent="0.3">
      <c r="A49" s="11" t="s">
        <v>2008</v>
      </c>
      <c r="C49" s="123">
        <v>30</v>
      </c>
      <c r="E49" s="10" t="s">
        <v>76</v>
      </c>
      <c r="F49" t="s">
        <v>78</v>
      </c>
      <c r="H49" s="11" t="s">
        <v>1604</v>
      </c>
      <c r="I49" s="11" t="s">
        <v>1603</v>
      </c>
      <c r="J49" s="11" t="s">
        <v>1</v>
      </c>
      <c r="K49" s="123">
        <v>1</v>
      </c>
    </row>
    <row r="50" spans="1:11" x14ac:dyDescent="0.3">
      <c r="A50" s="11" t="s">
        <v>2807</v>
      </c>
      <c r="B50" s="11" t="s">
        <v>104</v>
      </c>
      <c r="C50" s="123">
        <v>1</v>
      </c>
      <c r="H50" s="11" t="s">
        <v>1613</v>
      </c>
      <c r="I50" s="11" t="s">
        <v>1612</v>
      </c>
      <c r="J50" s="11" t="s">
        <v>1</v>
      </c>
      <c r="K50" s="123">
        <v>1</v>
      </c>
    </row>
    <row r="51" spans="1:11" x14ac:dyDescent="0.3">
      <c r="A51" s="11" t="s">
        <v>2858</v>
      </c>
      <c r="C51" s="123">
        <v>1</v>
      </c>
      <c r="E51" s="10" t="s">
        <v>2396</v>
      </c>
      <c r="F51" s="1" t="s">
        <v>241</v>
      </c>
      <c r="H51" s="11" t="s">
        <v>1644</v>
      </c>
      <c r="I51" s="11" t="s">
        <v>1643</v>
      </c>
      <c r="J51" s="11" t="s">
        <v>1</v>
      </c>
      <c r="K51" s="123">
        <v>1</v>
      </c>
    </row>
    <row r="52" spans="1:11" x14ac:dyDescent="0.3">
      <c r="A52" s="11" t="s">
        <v>3052</v>
      </c>
      <c r="B52" s="11" t="s">
        <v>110</v>
      </c>
      <c r="C52" s="123">
        <v>1</v>
      </c>
      <c r="E52" s="11" t="s">
        <v>110</v>
      </c>
      <c r="F52" s="123">
        <v>4</v>
      </c>
      <c r="H52" s="11" t="s">
        <v>1729</v>
      </c>
      <c r="I52" s="11" t="s">
        <v>204</v>
      </c>
      <c r="J52" s="11" t="s">
        <v>1</v>
      </c>
      <c r="K52" s="123">
        <v>1</v>
      </c>
    </row>
    <row r="53" spans="1:11" x14ac:dyDescent="0.3">
      <c r="B53" s="11" t="s">
        <v>104</v>
      </c>
      <c r="C53" s="123">
        <v>1</v>
      </c>
      <c r="E53" s="55" t="s">
        <v>105</v>
      </c>
      <c r="F53" s="123">
        <v>2</v>
      </c>
      <c r="H53" s="11" t="s">
        <v>1760</v>
      </c>
      <c r="I53" s="11" t="s">
        <v>1759</v>
      </c>
      <c r="J53" s="11" t="s">
        <v>1</v>
      </c>
      <c r="K53" s="123">
        <v>1</v>
      </c>
    </row>
    <row r="54" spans="1:11" x14ac:dyDescent="0.3">
      <c r="A54" s="11" t="s">
        <v>3053</v>
      </c>
      <c r="C54" s="123">
        <v>2</v>
      </c>
      <c r="E54" s="60" t="s">
        <v>1790</v>
      </c>
      <c r="F54" s="123">
        <v>1</v>
      </c>
      <c r="H54" s="11" t="s">
        <v>1800</v>
      </c>
      <c r="I54" s="11" t="s">
        <v>1799</v>
      </c>
      <c r="J54" s="11" t="s">
        <v>1</v>
      </c>
      <c r="K54" s="123">
        <v>1</v>
      </c>
    </row>
    <row r="55" spans="1:11" x14ac:dyDescent="0.3">
      <c r="A55" s="11" t="s">
        <v>182</v>
      </c>
      <c r="C55" s="123">
        <v>142</v>
      </c>
      <c r="E55" s="60" t="s">
        <v>2250</v>
      </c>
      <c r="F55" s="123">
        <v>1</v>
      </c>
      <c r="H55" s="11" t="s">
        <v>1833</v>
      </c>
      <c r="I55" s="11" t="s">
        <v>1832</v>
      </c>
      <c r="J55" s="11" t="s">
        <v>1</v>
      </c>
      <c r="K55" s="123">
        <v>1</v>
      </c>
    </row>
    <row r="56" spans="1:11" x14ac:dyDescent="0.3">
      <c r="E56" s="55" t="s">
        <v>1890</v>
      </c>
      <c r="F56" s="123">
        <v>1</v>
      </c>
      <c r="H56" s="11" t="s">
        <v>1902</v>
      </c>
      <c r="I56" s="11" t="s">
        <v>1901</v>
      </c>
      <c r="J56" s="11" t="s">
        <v>1</v>
      </c>
      <c r="K56" s="123">
        <v>1</v>
      </c>
    </row>
    <row r="57" spans="1:11" x14ac:dyDescent="0.3">
      <c r="E57" s="60" t="s">
        <v>1360</v>
      </c>
      <c r="F57" s="123">
        <v>1</v>
      </c>
      <c r="H57" s="11" t="s">
        <v>1910</v>
      </c>
      <c r="I57" s="11" t="s">
        <v>1909</v>
      </c>
      <c r="J57" s="11" t="s">
        <v>1</v>
      </c>
      <c r="K57" s="123">
        <v>1</v>
      </c>
    </row>
    <row r="58" spans="1:11" x14ac:dyDescent="0.3">
      <c r="E58" s="55" t="s">
        <v>1719</v>
      </c>
      <c r="F58" s="123">
        <v>1</v>
      </c>
      <c r="H58" s="11" t="s">
        <v>547</v>
      </c>
      <c r="I58" s="11" t="s">
        <v>545</v>
      </c>
      <c r="J58" s="11" t="s">
        <v>1</v>
      </c>
      <c r="K58" s="123">
        <v>1</v>
      </c>
    </row>
    <row r="59" spans="1:11" x14ac:dyDescent="0.3">
      <c r="E59" s="60" t="s">
        <v>1533</v>
      </c>
      <c r="F59" s="123">
        <v>1</v>
      </c>
      <c r="H59" s="11" t="s">
        <v>1992</v>
      </c>
      <c r="I59" s="11" t="s">
        <v>1991</v>
      </c>
      <c r="J59" s="11" t="s">
        <v>1</v>
      </c>
      <c r="K59" s="123">
        <v>1</v>
      </c>
    </row>
    <row r="60" spans="1:11" x14ac:dyDescent="0.3">
      <c r="E60" s="11" t="s">
        <v>117</v>
      </c>
      <c r="F60" s="123">
        <v>5</v>
      </c>
      <c r="H60" s="11" t="s">
        <v>484</v>
      </c>
      <c r="I60" s="11" t="s">
        <v>146</v>
      </c>
      <c r="J60" s="11" t="s">
        <v>1</v>
      </c>
      <c r="K60" s="123">
        <v>1</v>
      </c>
    </row>
    <row r="61" spans="1:11" x14ac:dyDescent="0.3">
      <c r="E61" s="55" t="s">
        <v>116</v>
      </c>
      <c r="F61" s="123">
        <v>1</v>
      </c>
      <c r="H61" s="11" t="s">
        <v>526</v>
      </c>
      <c r="I61" s="11" t="s">
        <v>524</v>
      </c>
      <c r="J61" s="11" t="s">
        <v>1</v>
      </c>
      <c r="K61" s="123">
        <v>1</v>
      </c>
    </row>
    <row r="62" spans="1:11" x14ac:dyDescent="0.3">
      <c r="E62" s="60" t="s">
        <v>1622</v>
      </c>
      <c r="F62" s="123">
        <v>1</v>
      </c>
      <c r="H62" s="11" t="s">
        <v>2056</v>
      </c>
      <c r="I62" s="11" t="s">
        <v>2055</v>
      </c>
      <c r="J62" s="11" t="s">
        <v>1</v>
      </c>
      <c r="K62" s="123">
        <v>1</v>
      </c>
    </row>
    <row r="63" spans="1:11" x14ac:dyDescent="0.3">
      <c r="E63" s="55" t="s">
        <v>105</v>
      </c>
      <c r="F63" s="123">
        <v>1</v>
      </c>
      <c r="H63" s="11" t="s">
        <v>2064</v>
      </c>
      <c r="I63" s="11" t="s">
        <v>2063</v>
      </c>
      <c r="J63" s="11" t="s">
        <v>1</v>
      </c>
      <c r="K63" s="123">
        <v>1</v>
      </c>
    </row>
    <row r="64" spans="1:11" x14ac:dyDescent="0.3">
      <c r="E64" s="60" t="s">
        <v>853</v>
      </c>
      <c r="F64" s="123">
        <v>1</v>
      </c>
      <c r="H64" s="11" t="s">
        <v>2079</v>
      </c>
      <c r="I64" s="11" t="s">
        <v>2078</v>
      </c>
      <c r="J64" s="11" t="s">
        <v>1</v>
      </c>
      <c r="K64" s="123">
        <v>1</v>
      </c>
    </row>
    <row r="65" spans="5:11" x14ac:dyDescent="0.3">
      <c r="E65" s="55" t="s">
        <v>1890</v>
      </c>
      <c r="F65" s="123">
        <v>2</v>
      </c>
      <c r="H65" s="11" t="s">
        <v>2097</v>
      </c>
      <c r="I65" s="11" t="s">
        <v>2096</v>
      </c>
      <c r="J65" s="11" t="s">
        <v>1</v>
      </c>
      <c r="K65" s="123">
        <v>1</v>
      </c>
    </row>
    <row r="66" spans="5:11" x14ac:dyDescent="0.3">
      <c r="E66" s="60" t="s">
        <v>2020</v>
      </c>
      <c r="F66" s="123">
        <v>1</v>
      </c>
      <c r="H66" s="11" t="s">
        <v>2108</v>
      </c>
      <c r="I66" s="11" t="s">
        <v>2107</v>
      </c>
      <c r="J66" s="11" t="s">
        <v>1</v>
      </c>
      <c r="K66" s="123">
        <v>1</v>
      </c>
    </row>
    <row r="67" spans="5:11" x14ac:dyDescent="0.3">
      <c r="E67" s="60" t="s">
        <v>1965</v>
      </c>
      <c r="F67" s="123">
        <v>1</v>
      </c>
      <c r="H67" s="11" t="s">
        <v>2129</v>
      </c>
      <c r="I67" s="11" t="s">
        <v>2128</v>
      </c>
      <c r="J67" s="11" t="s">
        <v>1</v>
      </c>
      <c r="K67" s="123">
        <v>1</v>
      </c>
    </row>
    <row r="68" spans="5:11" x14ac:dyDescent="0.3">
      <c r="E68" s="55" t="s">
        <v>1004</v>
      </c>
      <c r="F68" s="123">
        <v>1</v>
      </c>
      <c r="H68" s="11" t="s">
        <v>560</v>
      </c>
      <c r="I68" s="11" t="s">
        <v>558</v>
      </c>
      <c r="J68" s="11" t="s">
        <v>1</v>
      </c>
      <c r="K68" s="123">
        <v>1</v>
      </c>
    </row>
    <row r="69" spans="5:11" x14ac:dyDescent="0.3">
      <c r="E69" s="60" t="s">
        <v>2089</v>
      </c>
      <c r="F69" s="123">
        <v>1</v>
      </c>
      <c r="H69" s="11" t="s">
        <v>2180</v>
      </c>
      <c r="I69" s="11" t="s">
        <v>2179</v>
      </c>
      <c r="J69" s="11" t="s">
        <v>1</v>
      </c>
      <c r="K69" s="123">
        <v>1</v>
      </c>
    </row>
    <row r="70" spans="5:11" x14ac:dyDescent="0.3">
      <c r="E70" s="11" t="s">
        <v>122</v>
      </c>
      <c r="F70" s="123">
        <v>8</v>
      </c>
      <c r="H70" s="11" t="s">
        <v>2191</v>
      </c>
      <c r="I70" s="11" t="s">
        <v>2190</v>
      </c>
      <c r="J70" s="11" t="s">
        <v>1</v>
      </c>
      <c r="K70" s="123">
        <v>1</v>
      </c>
    </row>
    <row r="71" spans="5:11" x14ac:dyDescent="0.3">
      <c r="E71" s="55" t="s">
        <v>116</v>
      </c>
      <c r="F71" s="123">
        <v>1</v>
      </c>
      <c r="H71" s="11" t="s">
        <v>2206</v>
      </c>
      <c r="I71" s="11" t="s">
        <v>2205</v>
      </c>
      <c r="J71" s="11" t="s">
        <v>1</v>
      </c>
      <c r="K71" s="123">
        <v>1</v>
      </c>
    </row>
    <row r="72" spans="5:11" x14ac:dyDescent="0.3">
      <c r="E72" s="60" t="s">
        <v>2641</v>
      </c>
      <c r="F72" s="123">
        <v>1</v>
      </c>
      <c r="H72" s="11" t="s">
        <v>2221</v>
      </c>
      <c r="I72" s="11" t="s">
        <v>2220</v>
      </c>
      <c r="J72" s="11" t="s">
        <v>1</v>
      </c>
      <c r="K72" s="123">
        <v>1</v>
      </c>
    </row>
    <row r="73" spans="5:11" x14ac:dyDescent="0.3">
      <c r="E73" s="55" t="s">
        <v>118</v>
      </c>
      <c r="F73" s="123">
        <v>3</v>
      </c>
      <c r="H73" s="11" t="s">
        <v>2260</v>
      </c>
      <c r="I73" s="11" t="s">
        <v>2259</v>
      </c>
      <c r="J73" s="11" t="s">
        <v>1</v>
      </c>
      <c r="K73" s="123">
        <v>1</v>
      </c>
    </row>
    <row r="74" spans="5:11" x14ac:dyDescent="0.3">
      <c r="E74" s="60" t="s">
        <v>1226</v>
      </c>
      <c r="F74" s="123">
        <v>1</v>
      </c>
      <c r="H74" s="11" t="s">
        <v>2269</v>
      </c>
      <c r="I74" s="11" t="s">
        <v>2268</v>
      </c>
      <c r="J74" s="11" t="s">
        <v>1</v>
      </c>
      <c r="K74" s="123">
        <v>1</v>
      </c>
    </row>
    <row r="75" spans="5:11" x14ac:dyDescent="0.3">
      <c r="E75" s="60" t="s">
        <v>1773</v>
      </c>
      <c r="F75" s="123">
        <v>1</v>
      </c>
      <c r="H75" s="11" t="s">
        <v>2282</v>
      </c>
      <c r="I75" s="11" t="s">
        <v>2281</v>
      </c>
      <c r="J75" s="11" t="s">
        <v>1</v>
      </c>
      <c r="K75" s="123">
        <v>1</v>
      </c>
    </row>
    <row r="76" spans="5:11" x14ac:dyDescent="0.3">
      <c r="E76" s="60" t="s">
        <v>2410</v>
      </c>
      <c r="F76" s="123">
        <v>1</v>
      </c>
      <c r="H76" s="11" t="s">
        <v>2291</v>
      </c>
      <c r="I76" s="11" t="s">
        <v>2290</v>
      </c>
      <c r="J76" s="11" t="s">
        <v>1</v>
      </c>
      <c r="K76" s="123">
        <v>1</v>
      </c>
    </row>
    <row r="77" spans="5:11" x14ac:dyDescent="0.3">
      <c r="E77" s="55" t="s">
        <v>111</v>
      </c>
      <c r="F77" s="123">
        <v>2</v>
      </c>
      <c r="H77" s="11" t="s">
        <v>2299</v>
      </c>
      <c r="I77" s="11" t="s">
        <v>2298</v>
      </c>
      <c r="J77" s="11" t="s">
        <v>1</v>
      </c>
      <c r="K77" s="123">
        <v>1</v>
      </c>
    </row>
    <row r="78" spans="5:11" x14ac:dyDescent="0.3">
      <c r="E78" s="60" t="s">
        <v>1747</v>
      </c>
      <c r="F78" s="123">
        <v>1</v>
      </c>
      <c r="H78" s="11" t="s">
        <v>2309</v>
      </c>
      <c r="I78" s="11" t="s">
        <v>2308</v>
      </c>
      <c r="J78" s="11" t="s">
        <v>1</v>
      </c>
      <c r="K78" s="123">
        <v>1</v>
      </c>
    </row>
    <row r="79" spans="5:11" x14ac:dyDescent="0.3">
      <c r="E79" s="60" t="s">
        <v>2653</v>
      </c>
      <c r="F79" s="123">
        <v>1</v>
      </c>
      <c r="H79" s="11" t="s">
        <v>2324</v>
      </c>
      <c r="I79" s="11" t="s">
        <v>2323</v>
      </c>
      <c r="J79" s="11" t="s">
        <v>1</v>
      </c>
      <c r="K79" s="123">
        <v>1</v>
      </c>
    </row>
    <row r="80" spans="5:11" x14ac:dyDescent="0.3">
      <c r="E80" s="55" t="s">
        <v>105</v>
      </c>
      <c r="F80" s="123">
        <v>1</v>
      </c>
      <c r="H80" s="11" t="s">
        <v>2336</v>
      </c>
      <c r="I80" s="11" t="s">
        <v>2335</v>
      </c>
      <c r="J80" s="11" t="s">
        <v>1</v>
      </c>
      <c r="K80" s="123">
        <v>1</v>
      </c>
    </row>
    <row r="81" spans="5:11" x14ac:dyDescent="0.3">
      <c r="E81" s="60" t="s">
        <v>2229</v>
      </c>
      <c r="F81" s="123">
        <v>1</v>
      </c>
      <c r="H81" s="11" t="s">
        <v>2357</v>
      </c>
      <c r="I81" s="11" t="s">
        <v>2356</v>
      </c>
      <c r="J81" s="11" t="s">
        <v>1</v>
      </c>
      <c r="K81" s="123">
        <v>1</v>
      </c>
    </row>
    <row r="82" spans="5:11" x14ac:dyDescent="0.3">
      <c r="E82" s="55" t="s">
        <v>1004</v>
      </c>
      <c r="F82" s="123">
        <v>1</v>
      </c>
      <c r="H82" s="11" t="s">
        <v>2382</v>
      </c>
      <c r="I82" s="11" t="s">
        <v>2381</v>
      </c>
      <c r="J82" s="11" t="s">
        <v>1</v>
      </c>
      <c r="K82" s="123">
        <v>1</v>
      </c>
    </row>
    <row r="83" spans="5:11" x14ac:dyDescent="0.3">
      <c r="E83" s="60" t="s">
        <v>2751</v>
      </c>
      <c r="F83" s="123">
        <v>1</v>
      </c>
      <c r="H83" s="11" t="s">
        <v>2399</v>
      </c>
      <c r="I83" s="11" t="s">
        <v>2398</v>
      </c>
      <c r="J83" s="11" t="s">
        <v>1</v>
      </c>
      <c r="K83" s="123">
        <v>1</v>
      </c>
    </row>
    <row r="84" spans="5:11" x14ac:dyDescent="0.3">
      <c r="E84" s="11" t="s">
        <v>104</v>
      </c>
      <c r="F84" s="123">
        <v>6</v>
      </c>
      <c r="H84" s="11" t="s">
        <v>2432</v>
      </c>
      <c r="I84" s="11" t="s">
        <v>2431</v>
      </c>
      <c r="J84" s="11" t="s">
        <v>1</v>
      </c>
      <c r="K84" s="123">
        <v>1</v>
      </c>
    </row>
    <row r="85" spans="5:11" x14ac:dyDescent="0.3">
      <c r="E85" s="55" t="s">
        <v>116</v>
      </c>
      <c r="F85" s="123">
        <v>1</v>
      </c>
      <c r="H85" s="11" t="s">
        <v>2441</v>
      </c>
      <c r="I85" s="11" t="s">
        <v>2440</v>
      </c>
      <c r="J85" s="11" t="s">
        <v>1</v>
      </c>
      <c r="K85" s="123">
        <v>1</v>
      </c>
    </row>
    <row r="86" spans="5:11" x14ac:dyDescent="0.3">
      <c r="E86" s="60" t="s">
        <v>2764</v>
      </c>
      <c r="F86" s="123">
        <v>1</v>
      </c>
      <c r="H86" s="11" t="s">
        <v>2673</v>
      </c>
      <c r="I86" s="11" t="s">
        <v>2672</v>
      </c>
      <c r="J86" s="11" t="s">
        <v>1</v>
      </c>
      <c r="K86" s="123">
        <v>1</v>
      </c>
    </row>
    <row r="87" spans="5:11" x14ac:dyDescent="0.3">
      <c r="E87" s="55" t="s">
        <v>1890</v>
      </c>
      <c r="F87" s="123">
        <v>1</v>
      </c>
      <c r="H87" s="11" t="s">
        <v>2454</v>
      </c>
      <c r="I87" s="11" t="s">
        <v>2453</v>
      </c>
      <c r="J87" s="11" t="s">
        <v>1</v>
      </c>
      <c r="K87" s="123">
        <v>1</v>
      </c>
    </row>
    <row r="88" spans="5:11" x14ac:dyDescent="0.3">
      <c r="E88" s="60" t="s">
        <v>2971</v>
      </c>
      <c r="F88" s="123">
        <v>1</v>
      </c>
      <c r="H88" s="11" t="s">
        <v>2467</v>
      </c>
      <c r="I88" s="11" t="s">
        <v>2466</v>
      </c>
      <c r="J88" s="11" t="s">
        <v>1</v>
      </c>
      <c r="K88" s="123">
        <v>1</v>
      </c>
    </row>
    <row r="89" spans="5:11" x14ac:dyDescent="0.3">
      <c r="E89" s="55" t="s">
        <v>1719</v>
      </c>
      <c r="F89" s="123">
        <v>1</v>
      </c>
      <c r="H89" s="11" t="s">
        <v>2682</v>
      </c>
      <c r="I89" s="11" t="s">
        <v>543</v>
      </c>
      <c r="J89" s="11" t="s">
        <v>1</v>
      </c>
      <c r="K89" s="123">
        <v>1</v>
      </c>
    </row>
    <row r="90" spans="5:11" x14ac:dyDescent="0.3">
      <c r="E90" s="60" t="s">
        <v>921</v>
      </c>
      <c r="F90" s="123">
        <v>1</v>
      </c>
      <c r="H90" s="11" t="s">
        <v>2485</v>
      </c>
      <c r="I90" s="11" t="s">
        <v>2484</v>
      </c>
      <c r="J90" s="11" t="s">
        <v>1</v>
      </c>
      <c r="K90" s="123">
        <v>1</v>
      </c>
    </row>
    <row r="91" spans="5:11" x14ac:dyDescent="0.3">
      <c r="E91" s="55" t="s">
        <v>1004</v>
      </c>
      <c r="F91" s="123">
        <v>3</v>
      </c>
      <c r="H91" s="11" t="s">
        <v>2524</v>
      </c>
      <c r="I91" s="11" t="s">
        <v>2523</v>
      </c>
      <c r="J91" s="11" t="s">
        <v>1</v>
      </c>
      <c r="K91" s="123">
        <v>1</v>
      </c>
    </row>
    <row r="92" spans="5:11" x14ac:dyDescent="0.3">
      <c r="E92" s="60" t="s">
        <v>2347</v>
      </c>
      <c r="F92" s="123">
        <v>1</v>
      </c>
      <c r="H92" s="11" t="s">
        <v>2531</v>
      </c>
      <c r="I92" s="11" t="s">
        <v>2530</v>
      </c>
      <c r="J92" s="11" t="s">
        <v>1</v>
      </c>
      <c r="K92" s="123">
        <v>1</v>
      </c>
    </row>
    <row r="93" spans="5:11" x14ac:dyDescent="0.3">
      <c r="E93" s="60" t="s">
        <v>1099</v>
      </c>
      <c r="F93" s="123">
        <v>1</v>
      </c>
      <c r="H93" s="11" t="s">
        <v>2542</v>
      </c>
      <c r="I93" s="11" t="s">
        <v>2541</v>
      </c>
      <c r="J93" s="11" t="s">
        <v>1</v>
      </c>
      <c r="K93" s="123">
        <v>1</v>
      </c>
    </row>
    <row r="94" spans="5:11" x14ac:dyDescent="0.3">
      <c r="E94" s="60" t="s">
        <v>2553</v>
      </c>
      <c r="F94" s="123">
        <v>1</v>
      </c>
      <c r="H94" s="11" t="s">
        <v>2620</v>
      </c>
      <c r="I94" s="11" t="s">
        <v>2619</v>
      </c>
      <c r="J94" s="11" t="s">
        <v>1</v>
      </c>
      <c r="K94" s="123">
        <v>1</v>
      </c>
    </row>
    <row r="95" spans="5:11" x14ac:dyDescent="0.3">
      <c r="E95" s="11" t="s">
        <v>115</v>
      </c>
      <c r="F95" s="123">
        <v>4</v>
      </c>
      <c r="H95" s="11" t="s">
        <v>2693</v>
      </c>
      <c r="I95" s="11" t="s">
        <v>2692</v>
      </c>
      <c r="J95" s="11" t="s">
        <v>1</v>
      </c>
      <c r="K95" s="123">
        <v>1</v>
      </c>
    </row>
    <row r="96" spans="5:11" x14ac:dyDescent="0.3">
      <c r="E96" s="55" t="s">
        <v>118</v>
      </c>
      <c r="F96" s="123">
        <v>3</v>
      </c>
      <c r="H96" s="11" t="s">
        <v>2593</v>
      </c>
      <c r="I96" s="11" t="s">
        <v>2592</v>
      </c>
      <c r="J96" s="11" t="s">
        <v>1</v>
      </c>
      <c r="K96" s="123">
        <v>1</v>
      </c>
    </row>
    <row r="97" spans="5:11" x14ac:dyDescent="0.3">
      <c r="E97" s="60" t="s">
        <v>830</v>
      </c>
      <c r="F97" s="123">
        <v>1</v>
      </c>
      <c r="H97" s="11" t="s">
        <v>2709</v>
      </c>
      <c r="I97" s="11" t="s">
        <v>2708</v>
      </c>
      <c r="J97" s="11" t="s">
        <v>1</v>
      </c>
      <c r="K97" s="123">
        <v>1</v>
      </c>
    </row>
    <row r="98" spans="5:11" x14ac:dyDescent="0.3">
      <c r="E98" s="60" t="s">
        <v>2418</v>
      </c>
      <c r="F98" s="123">
        <v>1</v>
      </c>
      <c r="H98" s="11" t="s">
        <v>2629</v>
      </c>
      <c r="I98" s="11" t="s">
        <v>2628</v>
      </c>
      <c r="J98" s="11" t="s">
        <v>1</v>
      </c>
      <c r="K98" s="123">
        <v>1</v>
      </c>
    </row>
    <row r="99" spans="5:11" x14ac:dyDescent="0.3">
      <c r="E99" s="60" t="s">
        <v>2496</v>
      </c>
      <c r="F99" s="123">
        <v>1</v>
      </c>
      <c r="H99" s="11" t="s">
        <v>2563</v>
      </c>
      <c r="I99" s="11" t="s">
        <v>2562</v>
      </c>
      <c r="J99" s="11" t="s">
        <v>1</v>
      </c>
      <c r="K99" s="123">
        <v>1</v>
      </c>
    </row>
    <row r="100" spans="5:11" x14ac:dyDescent="0.3">
      <c r="E100" s="55" t="s">
        <v>1890</v>
      </c>
      <c r="F100" s="123">
        <v>1</v>
      </c>
      <c r="H100" s="11" t="s">
        <v>2571</v>
      </c>
      <c r="I100" s="11" t="s">
        <v>2570</v>
      </c>
      <c r="J100" s="11" t="s">
        <v>1</v>
      </c>
      <c r="K100" s="123">
        <v>1</v>
      </c>
    </row>
    <row r="101" spans="5:11" x14ac:dyDescent="0.3">
      <c r="E101" s="60" t="s">
        <v>2820</v>
      </c>
      <c r="F101" s="123">
        <v>1</v>
      </c>
      <c r="H101" s="11" t="s">
        <v>2732</v>
      </c>
      <c r="I101" s="11" t="s">
        <v>2731</v>
      </c>
      <c r="J101" s="11" t="s">
        <v>1</v>
      </c>
      <c r="K101" s="123">
        <v>1</v>
      </c>
    </row>
    <row r="102" spans="5:11" x14ac:dyDescent="0.3">
      <c r="E102" s="11" t="s">
        <v>182</v>
      </c>
      <c r="F102" s="123">
        <v>27</v>
      </c>
      <c r="H102" s="11" t="s">
        <v>2830</v>
      </c>
      <c r="I102" s="11" t="s">
        <v>2829</v>
      </c>
      <c r="J102" s="11" t="s">
        <v>1</v>
      </c>
      <c r="K102" s="123">
        <v>1</v>
      </c>
    </row>
    <row r="103" spans="5:11" x14ac:dyDescent="0.3">
      <c r="H103" s="11" t="s">
        <v>2864</v>
      </c>
      <c r="I103" s="11" t="s">
        <v>2863</v>
      </c>
      <c r="J103" s="11" t="s">
        <v>1</v>
      </c>
      <c r="K103" s="123">
        <v>1</v>
      </c>
    </row>
    <row r="104" spans="5:11" x14ac:dyDescent="0.3">
      <c r="H104" s="11" t="s">
        <v>2912</v>
      </c>
      <c r="I104" s="11" t="s">
        <v>2911</v>
      </c>
      <c r="J104" s="11" t="s">
        <v>1</v>
      </c>
      <c r="K104" s="123">
        <v>1</v>
      </c>
    </row>
    <row r="105" spans="5:11" x14ac:dyDescent="0.3">
      <c r="H105" s="11" t="s">
        <v>2957</v>
      </c>
      <c r="I105" s="11" t="s">
        <v>2956</v>
      </c>
      <c r="J105" s="11" t="s">
        <v>1</v>
      </c>
      <c r="K105" s="123">
        <v>1</v>
      </c>
    </row>
    <row r="106" spans="5:11" x14ac:dyDescent="0.3">
      <c r="H106" s="11" t="s">
        <v>2993</v>
      </c>
      <c r="I106" s="11" t="s">
        <v>2992</v>
      </c>
      <c r="J106" s="11" t="s">
        <v>1</v>
      </c>
      <c r="K106" s="123">
        <v>1</v>
      </c>
    </row>
    <row r="107" spans="5:11" x14ac:dyDescent="0.3">
      <c r="H107" s="11" t="s">
        <v>3020</v>
      </c>
      <c r="I107" s="11" t="s">
        <v>3019</v>
      </c>
      <c r="J107" s="11" t="s">
        <v>1</v>
      </c>
      <c r="K107" s="123">
        <v>1</v>
      </c>
    </row>
    <row r="108" spans="5:11" x14ac:dyDescent="0.3">
      <c r="H108" s="11" t="s">
        <v>3234</v>
      </c>
      <c r="I108" s="11" t="s">
        <v>3233</v>
      </c>
      <c r="J108" s="11" t="s">
        <v>1</v>
      </c>
      <c r="K108" s="123">
        <v>1</v>
      </c>
    </row>
    <row r="109" spans="5:11" x14ac:dyDescent="0.3">
      <c r="H109" s="1" t="s">
        <v>182</v>
      </c>
      <c r="I109" s="1"/>
      <c r="K109" s="123">
        <v>101</v>
      </c>
    </row>
    <row r="110" spans="5:11" x14ac:dyDescent="0.3">
      <c r="J110"/>
    </row>
    <row r="111" spans="5:11" x14ac:dyDescent="0.3">
      <c r="J111"/>
    </row>
    <row r="112" spans="5:11" x14ac:dyDescent="0.3">
      <c r="J112"/>
    </row>
    <row r="113" spans="10:10" x14ac:dyDescent="0.3">
      <c r="J113"/>
    </row>
    <row r="114" spans="10:10" x14ac:dyDescent="0.3">
      <c r="J114"/>
    </row>
    <row r="115" spans="10:10" x14ac:dyDescent="0.3">
      <c r="J115"/>
    </row>
    <row r="116" spans="10:10" x14ac:dyDescent="0.3">
      <c r="J116"/>
    </row>
    <row r="117" spans="10:10" x14ac:dyDescent="0.3">
      <c r="J117"/>
    </row>
    <row r="118" spans="10:10" x14ac:dyDescent="0.3">
      <c r="J118"/>
    </row>
    <row r="119" spans="10:10" x14ac:dyDescent="0.3">
      <c r="J119"/>
    </row>
    <row r="120" spans="10:10" x14ac:dyDescent="0.3">
      <c r="J120"/>
    </row>
    <row r="121" spans="10:10" x14ac:dyDescent="0.3">
      <c r="J121"/>
    </row>
    <row r="122" spans="10:10" x14ac:dyDescent="0.3">
      <c r="J122"/>
    </row>
    <row r="123" spans="10:10" x14ac:dyDescent="0.3">
      <c r="J123"/>
    </row>
  </sheetData>
  <mergeCells count="6">
    <mergeCell ref="E1:F1"/>
    <mergeCell ref="A1:C1"/>
    <mergeCell ref="H1:K1"/>
    <mergeCell ref="E18:F18"/>
    <mergeCell ref="E48:F48"/>
    <mergeCell ref="E30:F30"/>
  </mergeCells>
  <pageMargins left="0.7" right="0.7" top="0.75" bottom="0.75" header="0.3" footer="0.3"/>
  <pageSetup orientation="portrait" r:id="rId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F285-6835-460A-9812-C722FF8BDB82}">
  <sheetPr codeName="Hoja3"/>
  <dimension ref="A1:AZ226"/>
  <sheetViews>
    <sheetView workbookViewId="0">
      <pane xSplit="3" ySplit="2" topLeftCell="AT73" activePane="bottomRight" state="frozen"/>
      <selection pane="topRight" activeCell="D1" sqref="D1"/>
      <selection pane="bottomLeft" activeCell="A3" sqref="A3"/>
      <selection pane="bottomRight" activeCell="AZ213" sqref="AZ213:AZ214"/>
    </sheetView>
  </sheetViews>
  <sheetFormatPr baseColWidth="10" defaultColWidth="11.44140625" defaultRowHeight="13.8" x14ac:dyDescent="0.3"/>
  <cols>
    <col min="1" max="1" width="11.33203125" style="2" bestFit="1" customWidth="1"/>
    <col min="2" max="2" width="33.109375" style="2" bestFit="1" customWidth="1"/>
    <col min="3" max="3" width="39.6640625" style="2" bestFit="1" customWidth="1"/>
    <col min="4" max="4" width="12.44140625" style="16" customWidth="1"/>
    <col min="5" max="5" width="74.109375" style="2" customWidth="1"/>
    <col min="6" max="6" width="32.6640625" style="2" bestFit="1" customWidth="1"/>
    <col min="7" max="7" width="14.88671875" style="2" customWidth="1"/>
    <col min="8" max="8" width="13.5546875" style="2" customWidth="1"/>
    <col min="9" max="9" width="18.109375" style="2" bestFit="1" customWidth="1"/>
    <col min="10" max="10" width="32.5546875" style="2" customWidth="1"/>
    <col min="11" max="11" width="16.88671875" style="2" bestFit="1" customWidth="1"/>
    <col min="12" max="12" width="19.21875" style="2" customWidth="1"/>
    <col min="13" max="13" width="23.77734375" style="2" customWidth="1"/>
    <col min="14" max="14" width="132.33203125" style="2" customWidth="1"/>
    <col min="15" max="15" width="33.6640625" style="2" customWidth="1"/>
    <col min="16" max="16" width="35.77734375" style="2" customWidth="1"/>
    <col min="17" max="17" width="73.77734375" style="2" customWidth="1"/>
    <col min="18" max="18" width="73.33203125" style="2" customWidth="1"/>
    <col min="19" max="19" width="10" style="2" customWidth="1"/>
    <col min="20" max="20" width="19.33203125" style="2" customWidth="1"/>
    <col min="21" max="21" width="22.5546875" style="2" customWidth="1"/>
    <col min="22" max="22" width="26.109375" style="2" customWidth="1"/>
    <col min="23" max="23" width="15.21875" style="13" customWidth="1"/>
    <col min="24" max="24" width="11.6640625" style="13" customWidth="1"/>
    <col min="25" max="25" width="12.21875" style="13" customWidth="1"/>
    <col min="26" max="26" width="16.33203125" style="13" customWidth="1"/>
    <col min="27" max="27" width="17.6640625" style="13" customWidth="1"/>
    <col min="28" max="28" width="11.77734375" style="13" customWidth="1"/>
    <col min="29" max="29" width="12.77734375" style="13" customWidth="1"/>
    <col min="30" max="30" width="11.77734375" style="13" customWidth="1"/>
    <col min="31" max="31" width="15.88671875" style="2" customWidth="1"/>
    <col min="32" max="32" width="20.5546875" style="2" customWidth="1"/>
    <col min="33" max="33" width="21.77734375" style="2" customWidth="1"/>
    <col min="34" max="34" width="21.44140625" style="2" customWidth="1"/>
    <col min="35" max="35" width="18.6640625" style="13" customWidth="1"/>
    <col min="36" max="36" width="20.109375" style="13" customWidth="1"/>
    <col min="37" max="37" width="16.33203125" style="18" customWidth="1"/>
    <col min="38" max="38" width="13.44140625" style="13" bestFit="1" customWidth="1"/>
    <col min="39" max="39" width="15.88671875" style="13" bestFit="1" customWidth="1"/>
    <col min="40" max="40" width="55" style="2" bestFit="1" customWidth="1"/>
    <col min="41" max="41" width="18.88671875" style="14" bestFit="1" customWidth="1"/>
    <col min="42" max="42" width="18.88671875" style="2" bestFit="1" customWidth="1"/>
    <col min="43" max="43" width="9.88671875" style="13" bestFit="1" customWidth="1"/>
    <col min="44" max="44" width="62.109375" style="2" bestFit="1" customWidth="1"/>
    <col min="45" max="45" width="41.44140625" style="2" bestFit="1" customWidth="1"/>
    <col min="46" max="46" width="63.33203125" style="2" bestFit="1" customWidth="1"/>
    <col min="47" max="47" width="16.6640625" style="2" bestFit="1" customWidth="1"/>
    <col min="48" max="48" width="13.109375" style="2" bestFit="1" customWidth="1"/>
    <col min="49" max="49" width="18.109375" style="2" bestFit="1" customWidth="1"/>
    <col min="50" max="50" width="12.5546875" style="13" bestFit="1" customWidth="1"/>
    <col min="51" max="51" width="24.77734375" style="76" bestFit="1" customWidth="1"/>
    <col min="52" max="52" width="24.21875" style="13" bestFit="1" customWidth="1"/>
    <col min="53" max="16384" width="11.44140625" style="2"/>
  </cols>
  <sheetData>
    <row r="1" spans="1:52" s="3" customFormat="1" x14ac:dyDescent="0.3">
      <c r="A1" s="4">
        <v>1</v>
      </c>
      <c r="B1" s="4">
        <f>A1+1</f>
        <v>2</v>
      </c>
      <c r="C1" s="4">
        <f t="shared" ref="C1:P1" si="0">B1+1</f>
        <v>3</v>
      </c>
      <c r="D1" s="4">
        <f t="shared" si="0"/>
        <v>4</v>
      </c>
      <c r="E1" s="4">
        <f t="shared" si="0"/>
        <v>5</v>
      </c>
      <c r="F1" s="4">
        <f t="shared" si="0"/>
        <v>6</v>
      </c>
      <c r="G1" s="4">
        <f t="shared" si="0"/>
        <v>7</v>
      </c>
      <c r="H1" s="4">
        <f t="shared" si="0"/>
        <v>8</v>
      </c>
      <c r="I1" s="4">
        <f t="shared" si="0"/>
        <v>9</v>
      </c>
      <c r="J1" s="4">
        <f t="shared" si="0"/>
        <v>10</v>
      </c>
      <c r="K1" s="4">
        <f t="shared" si="0"/>
        <v>11</v>
      </c>
      <c r="L1" s="4">
        <f t="shared" si="0"/>
        <v>12</v>
      </c>
      <c r="M1" s="4">
        <f t="shared" si="0"/>
        <v>13</v>
      </c>
      <c r="N1" s="4">
        <f t="shared" si="0"/>
        <v>14</v>
      </c>
      <c r="O1" s="4">
        <f t="shared" si="0"/>
        <v>15</v>
      </c>
      <c r="P1" s="4">
        <f t="shared" si="0"/>
        <v>16</v>
      </c>
      <c r="Q1" s="4">
        <f t="shared" ref="Q1:AZ1" si="1">P1+1</f>
        <v>17</v>
      </c>
      <c r="R1" s="4">
        <f t="shared" si="1"/>
        <v>18</v>
      </c>
      <c r="S1" s="4">
        <f t="shared" si="1"/>
        <v>19</v>
      </c>
      <c r="T1" s="4">
        <f t="shared" si="1"/>
        <v>20</v>
      </c>
      <c r="U1" s="4">
        <f t="shared" si="1"/>
        <v>21</v>
      </c>
      <c r="V1" s="4">
        <f t="shared" si="1"/>
        <v>22</v>
      </c>
      <c r="W1" s="4">
        <f t="shared" si="1"/>
        <v>23</v>
      </c>
      <c r="X1" s="4">
        <f t="shared" si="1"/>
        <v>24</v>
      </c>
      <c r="Y1" s="4">
        <f t="shared" si="1"/>
        <v>25</v>
      </c>
      <c r="Z1" s="4">
        <f t="shared" si="1"/>
        <v>26</v>
      </c>
      <c r="AA1" s="4">
        <f t="shared" si="1"/>
        <v>27</v>
      </c>
      <c r="AB1" s="4">
        <f t="shared" si="1"/>
        <v>28</v>
      </c>
      <c r="AC1" s="4">
        <f t="shared" si="1"/>
        <v>29</v>
      </c>
      <c r="AD1" s="4">
        <f t="shared" si="1"/>
        <v>30</v>
      </c>
      <c r="AE1" s="4">
        <f t="shared" si="1"/>
        <v>31</v>
      </c>
      <c r="AF1" s="4">
        <f t="shared" si="1"/>
        <v>32</v>
      </c>
      <c r="AG1" s="4">
        <f t="shared" si="1"/>
        <v>33</v>
      </c>
      <c r="AH1" s="4">
        <f t="shared" si="1"/>
        <v>34</v>
      </c>
      <c r="AI1" s="4">
        <f t="shared" si="1"/>
        <v>35</v>
      </c>
      <c r="AJ1" s="4">
        <f t="shared" si="1"/>
        <v>36</v>
      </c>
      <c r="AK1" s="4">
        <f t="shared" si="1"/>
        <v>37</v>
      </c>
      <c r="AL1" s="4">
        <f t="shared" si="1"/>
        <v>38</v>
      </c>
      <c r="AM1" s="4">
        <f t="shared" si="1"/>
        <v>39</v>
      </c>
      <c r="AN1" s="4">
        <f t="shared" si="1"/>
        <v>40</v>
      </c>
      <c r="AO1" s="4">
        <f t="shared" si="1"/>
        <v>41</v>
      </c>
      <c r="AP1" s="4">
        <f t="shared" si="1"/>
        <v>42</v>
      </c>
      <c r="AQ1" s="4">
        <f t="shared" si="1"/>
        <v>43</v>
      </c>
      <c r="AR1" s="4">
        <f t="shared" si="1"/>
        <v>44</v>
      </c>
      <c r="AS1" s="4">
        <f t="shared" si="1"/>
        <v>45</v>
      </c>
      <c r="AT1" s="4">
        <f t="shared" si="1"/>
        <v>46</v>
      </c>
      <c r="AU1" s="4">
        <f t="shared" si="1"/>
        <v>47</v>
      </c>
      <c r="AV1" s="4">
        <f t="shared" si="1"/>
        <v>48</v>
      </c>
      <c r="AW1" s="4">
        <f t="shared" si="1"/>
        <v>49</v>
      </c>
      <c r="AX1" s="4">
        <f t="shared" si="1"/>
        <v>50</v>
      </c>
      <c r="AY1" s="4">
        <f t="shared" si="1"/>
        <v>51</v>
      </c>
      <c r="AZ1" s="4">
        <f t="shared" si="1"/>
        <v>52</v>
      </c>
    </row>
    <row r="2" spans="1:52" s="12" customFormat="1" x14ac:dyDescent="0.3">
      <c r="A2" s="12" t="s">
        <v>37</v>
      </c>
      <c r="B2" s="12" t="s">
        <v>38</v>
      </c>
      <c r="C2" s="12" t="s">
        <v>39</v>
      </c>
      <c r="D2" s="15" t="s">
        <v>40</v>
      </c>
      <c r="E2" s="12" t="s">
        <v>41</v>
      </c>
      <c r="F2" s="12" t="s">
        <v>42</v>
      </c>
      <c r="G2" s="12" t="s">
        <v>43</v>
      </c>
      <c r="H2" s="12" t="s">
        <v>44</v>
      </c>
      <c r="I2" s="12" t="s">
        <v>45</v>
      </c>
      <c r="J2" s="12" t="s">
        <v>46</v>
      </c>
      <c r="K2" s="12" t="s">
        <v>97</v>
      </c>
      <c r="L2" s="12" t="s">
        <v>47</v>
      </c>
      <c r="M2" s="12" t="s">
        <v>48</v>
      </c>
      <c r="N2" s="12" t="s">
        <v>49</v>
      </c>
      <c r="O2" s="12" t="s">
        <v>50</v>
      </c>
      <c r="P2" s="12" t="s">
        <v>51</v>
      </c>
      <c r="Q2" s="12" t="s">
        <v>52</v>
      </c>
      <c r="R2" s="12" t="s">
        <v>74</v>
      </c>
      <c r="S2" s="12" t="s">
        <v>53</v>
      </c>
      <c r="T2" s="12" t="s">
        <v>54</v>
      </c>
      <c r="U2" s="12" t="s">
        <v>55</v>
      </c>
      <c r="V2" s="12" t="s">
        <v>56</v>
      </c>
      <c r="W2" s="12" t="s">
        <v>57</v>
      </c>
      <c r="X2" s="12" t="s">
        <v>58</v>
      </c>
      <c r="Y2" s="12" t="s">
        <v>59</v>
      </c>
      <c r="Z2" s="12" t="s">
        <v>60</v>
      </c>
      <c r="AA2" s="12" t="s">
        <v>61</v>
      </c>
      <c r="AB2" s="12" t="s">
        <v>62</v>
      </c>
      <c r="AC2" s="12" t="s">
        <v>73</v>
      </c>
      <c r="AD2" s="12" t="s">
        <v>68</v>
      </c>
      <c r="AE2" s="12" t="s">
        <v>69</v>
      </c>
      <c r="AF2" s="12" t="s">
        <v>70</v>
      </c>
      <c r="AG2" s="12" t="s">
        <v>71</v>
      </c>
      <c r="AH2" s="12" t="s">
        <v>72</v>
      </c>
      <c r="AI2" s="12" t="s">
        <v>63</v>
      </c>
      <c r="AJ2" s="12" t="s">
        <v>67</v>
      </c>
      <c r="AK2" s="12" t="s">
        <v>75</v>
      </c>
      <c r="AL2" s="12" t="s">
        <v>65</v>
      </c>
      <c r="AM2" s="12" t="s">
        <v>64</v>
      </c>
      <c r="AN2" s="12" t="s">
        <v>66</v>
      </c>
      <c r="AO2" s="12" t="s">
        <v>188</v>
      </c>
      <c r="AP2" s="12" t="s">
        <v>246</v>
      </c>
      <c r="AQ2" s="12" t="s">
        <v>436</v>
      </c>
      <c r="AR2" s="12" t="s">
        <v>440</v>
      </c>
      <c r="AS2" s="12" t="s">
        <v>705</v>
      </c>
      <c r="AT2" s="12" t="s">
        <v>442</v>
      </c>
      <c r="AU2" s="12" t="s">
        <v>443</v>
      </c>
      <c r="AV2" s="12" t="s">
        <v>444</v>
      </c>
      <c r="AW2" s="12" t="s">
        <v>441</v>
      </c>
      <c r="AX2" s="12" t="s">
        <v>451</v>
      </c>
      <c r="AY2" s="75" t="s">
        <v>2860</v>
      </c>
      <c r="AZ2" s="12" t="s">
        <v>3401</v>
      </c>
    </row>
    <row r="3" spans="1:52" ht="14.4" x14ac:dyDescent="0.3">
      <c r="A3" t="s">
        <v>722</v>
      </c>
      <c r="B3" s="2" t="str">
        <f>VLOOKUP(T_Voluntarios[[#This Row],[RUN]],BBDD[],3,FALSE)</f>
        <v>andreavidalmo@gmail.com</v>
      </c>
      <c r="C3" s="2" t="str">
        <f>VLOOKUP(T_Voluntarios[[#This Row],[RUN]],BBDD[],4,FALSE)</f>
        <v>Andrea Fernanda Vidal Morales</v>
      </c>
      <c r="D3" s="16">
        <f>VLOOKUP(T_Voluntarios[[#This Row],[RUN]],BBDD[],5,FALSE)</f>
        <v>34478</v>
      </c>
      <c r="E3" s="2" t="str">
        <f>VLOOKUP(T_Voluntarios[[#This Row],[RUN]],BBDD[],6,FALSE)</f>
        <v>Avda Los Parques 704</v>
      </c>
      <c r="F3" s="2" t="str">
        <f>VLOOKUP(T_Voluntarios[[#This Row],[RUN]],BBDD[],7,FALSE)</f>
        <v>San Pedro De La Paz</v>
      </c>
      <c r="G3" s="2" t="str">
        <f>VLOOKUP(T_Voluntarios[[#This Row],[RUN]],BBDD[],8,FALSE)</f>
        <v>Celular</v>
      </c>
      <c r="H3" s="2" t="str">
        <f>IF(VLOOKUP(T_Voluntarios[[#This Row],[RUN]],BBDD[],9,FALSE)=0,"Falta",VLOOKUP(T_Voluntarios[[#This Row],[RUN]],BBDD[],9,FALSE))</f>
        <v>+56933728882</v>
      </c>
      <c r="I3" s="2" t="str">
        <f>VLOOKUP(T_Voluntarios[[#This Row],[RUN]],BBDD[],10,FALSE)</f>
        <v>Participante</v>
      </c>
      <c r="J3" s="2" t="str">
        <f>VLOOKUP(T_Voluntarios[[#This Row],[RUN]],BBDD[],11,FALSE)</f>
        <v>Huilliche</v>
      </c>
      <c r="K3" s="2" t="str">
        <f>VLOOKUP(T_Voluntarios[[#This Row],[RUN]],BBDD[],12,FALSE)</f>
        <v>Guias</v>
      </c>
      <c r="L3" s="2" t="str">
        <f>VLOOKUP(T_Voluntarios[[#This Row],[RUN]],BBDD[],15,FALSE)</f>
        <v>Nahuelbuta</v>
      </c>
      <c r="M3" s="2" t="str">
        <f>VLOOKUP(T_Voluntarios[[#This Row],[RUN]],BBDD[],20,FALSE)</f>
        <v>Alimentación Tradicional</v>
      </c>
      <c r="N3" s="2" t="str">
        <f>VLOOKUP(T_Voluntarios[[#This Row],[RUN]],BBDD[],21,FALSE)</f>
        <v>Ninguna</v>
      </c>
      <c r="O3" s="2" t="str">
        <f>VLOOKUP(T_Voluntarios[[#This Row],[RUN]],BBDD[],22,FALSE)</f>
        <v>Ninguna</v>
      </c>
      <c r="P3" s="2" t="str">
        <f>VLOOKUP(T_Voluntarios[[#This Row],[RUN]],BBDD[],23,FALSE)</f>
        <v>Alvaro Palma Vallejos / 987783166</v>
      </c>
      <c r="Q3" s="2" t="str">
        <f>IF(VLOOKUP(T_Voluntarios[[#This Row],[RUN]],BBDD[],27,FALSE)=0,"",VLOOKUP(T_Voluntarios[[#This Row],[RUN]],BBDD[],27,FALSE))</f>
        <v>Ninguna</v>
      </c>
      <c r="R3" s="2" t="str">
        <f>VLOOKUP(T_Voluntarios[[#This Row],[RUN]],BBDD[],36,FALSE)</f>
        <v>https://drive.google.com/open?id=1h1rdavJKiZozh6e2jgRtXBi9OyY2HFeo</v>
      </c>
      <c r="S3" s="2" t="str">
        <f>VLOOKUP(T_Voluntarios[[#This Row],[RUN]],BBDD[],16,FALSE)</f>
        <v>Inicial</v>
      </c>
      <c r="T3" s="2" t="str">
        <f>VLOOKUP(T_Voluntarios[[#This Row],[RUN]],BBDD[],17,FALSE)</f>
        <v>Ninguno</v>
      </c>
      <c r="U3" s="2" t="str">
        <f>VLOOKUP(T_Voluntarios[[#This Row],[RUN]],BBDD[],18,FALSE)</f>
        <v>Ninguno</v>
      </c>
      <c r="V3" s="2" t="str">
        <f>VLOOKUP(T_Voluntarios[[#This Row],[RUN]],BBDD[],19,FALSE)</f>
        <v>Ninguno</v>
      </c>
      <c r="W3" s="13" t="str">
        <f>IF(OR(T_Voluntarios[[#This Row],[ROL]]="Formador(a)"),"SI","NO")</f>
        <v>NO</v>
      </c>
      <c r="X3" s="13" t="str">
        <f>IF(ISERROR(VLOOKUP(T_Voluntarios[[#This Row],[RUN]],BBDD_Formadores[],15,FALSE)),"NO",VLOOKUP(T_Voluntarios[[#This Row],[RUN]],BBDD_Formadores[],15,FALSE))</f>
        <v>NO</v>
      </c>
      <c r="Y3" s="13" t="str">
        <f>IF(ISERROR(VLOOKUP(T_Voluntarios[[#This Row],[RUN]],BBDD_Formadores[],16,FALSE)),"NO",VLOOKUP(T_Voluntarios[[#This Row],[RUN]],BBDD_Formadores[],16,FALSE))</f>
        <v>NO</v>
      </c>
      <c r="Z3" s="13" t="str">
        <f>IF(ISERROR(VLOOKUP(T_Voluntarios[[#This Row],[RUN]],BBDD_Formadores[],17,FALSE)),"NO",VLOOKUP(T_Voluntarios[[#This Row],[RUN]],BBDD_Formadores[],17,FALSE))</f>
        <v>NO</v>
      </c>
      <c r="AA3" s="13" t="str">
        <f>IF(ISERROR(VLOOKUP(T_Voluntarios[[#This Row],[RUN]],BBDD_Formadores[],18,FALSE)),"NO",VLOOKUP(T_Voluntarios[[#This Row],[RUN]],BBDD_Formadores[],18,FALSE))</f>
        <v>NO</v>
      </c>
      <c r="AB3" s="13">
        <v>1</v>
      </c>
      <c r="AC3" s="13" t="s">
        <v>1</v>
      </c>
      <c r="AD3" s="13" t="s">
        <v>77</v>
      </c>
      <c r="AF3" s="2" t="str">
        <f>IF(VLOOKUP(T_Voluntarios[[#This Row],[RUN]],BBDD[],25,FALSE)=0,"",VLOOKUP(T_Voluntarios[[#This Row],[RUN]],BBDD[],25,FALSE))</f>
        <v/>
      </c>
      <c r="AG3" s="2" t="str">
        <f>IF(VLOOKUP(T_Voluntarios[[#This Row],[RUN]],BBDD[],26,FALSE)=0,"",VLOOKUP(T_Voluntarios[[#This Row],[RUN]],BBDD[],26,FALSE))</f>
        <v/>
      </c>
      <c r="AH3" s="2" t="str">
        <f>IF(VLOOKUP(T_Voluntarios[[#This Row],[RUN]],BBDD[],24,FALSE)=0,"",VLOOKUP(T_Voluntarios[[#This Row],[RUN]],BBDD[],24,FALSE))</f>
        <v/>
      </c>
      <c r="AI3" s="13" t="str">
        <f>VLOOKUP(T_Voluntarios[[#This Row],[RUN]],BBDD[],28,FALSE)</f>
        <v>No</v>
      </c>
      <c r="AJ3" s="13" t="str">
        <f>VLOOKUP(T_Voluntarios[[#This Row],[RUN]],BBDD[],28,FALSE)</f>
        <v>No</v>
      </c>
      <c r="AK3" s="32">
        <f>IF(T_Voluntarios[[#This Row],[ROL]]="Participante",SUMIFS(T_Cuotas[[#All],[Total]],T_Cuotas[[#All],[RUN]],T_Voluntarios[[#This Row],[RUN]]),-1)</f>
        <v>50000</v>
      </c>
      <c r="AL3" s="13" t="s">
        <v>1</v>
      </c>
      <c r="AM3" s="13" t="s">
        <v>2029</v>
      </c>
      <c r="AP3" s="2" t="str">
        <f>MID(T_Voluntarios[[#This Row],[E_MAIL]],SEARCH("@",T_Voluntarios[[#This Row],[E_MAIL]],1),LEN(T_Voluntarios[[#This Row],[E_MAIL]]))</f>
        <v>@gmail.com</v>
      </c>
      <c r="AQ3" s="13" t="str">
        <f>VLOOKUP(T_Voluntarios[[#This Row],[RUN]],BBDD[],37,FALSE)</f>
        <v>31</v>
      </c>
      <c r="AR3" s="2" t="str">
        <f>VLOOKUP(T_Voluntarios[[#This Row],[RUN]],BBDD[],29,FALSE)</f>
        <v>Psicóloga</v>
      </c>
      <c r="AS3" s="2" t="str">
        <f>VLOOKUP(T_Voluntarios[[#This Row],[RUN]],BBDD[],30,FALSE)</f>
        <v>3 años</v>
      </c>
      <c r="AT3" s="2" t="str">
        <f>VLOOKUP(T_Voluntarios[[#This Row],[RUN]],BBDD[],31,FALSE)</f>
        <v>1 año</v>
      </c>
      <c r="AU3" s="2" t="str">
        <f>VLOOKUP(T_Voluntarios[[#This Row],[RUN]],BBDD[],32,FALSE)</f>
        <v>Conviviente Civil</v>
      </c>
      <c r="AV3" s="2" t="str">
        <f>VLOOKUP(T_Voluntarios[[#This Row],[RUN]],BBDD[],33,FALSE)</f>
        <v>Ninguna</v>
      </c>
      <c r="AW3" s="2" t="str">
        <f>VLOOKUP(T_Voluntarios[[#This Row],[RUN]],BBDD[],34,FALSE)</f>
        <v>Andrea</v>
      </c>
      <c r="AX3" s="13" t="s">
        <v>733</v>
      </c>
      <c r="AY3" s="76">
        <f>VLOOKUP(T_Voluntarios[[#This Row],[RUN]],BBDD[],2,FALSE)</f>
        <v>45779.66465343364</v>
      </c>
      <c r="AZ3" s="13" t="s">
        <v>3403</v>
      </c>
    </row>
    <row r="4" spans="1:52" ht="14.4" x14ac:dyDescent="0.3">
      <c r="A4" t="s">
        <v>740</v>
      </c>
      <c r="B4" s="2" t="str">
        <f>VLOOKUP(T_Voluntarios[[#This Row],[RUN]],BBDD[],3,FALSE)</f>
        <v>pamelapinol21@gmail.com</v>
      </c>
      <c r="C4" s="2" t="str">
        <f>VLOOKUP(T_Voluntarios[[#This Row],[RUN]],BBDD[],4,FALSE)</f>
        <v>Pamela Elena Pino Leiva</v>
      </c>
      <c r="D4" s="16">
        <f>VLOOKUP(T_Voluntarios[[#This Row],[RUN]],BBDD[],5,FALSE)</f>
        <v>37008</v>
      </c>
      <c r="E4" s="2" t="str">
        <f>VLOOKUP(T_Voluntarios[[#This Row],[RUN]],BBDD[],6,FALSE)</f>
        <v>Los halcones, Parcela Z-11 Country Santa Eliana</v>
      </c>
      <c r="F4" s="2" t="str">
        <f>VLOOKUP(T_Voluntarios[[#This Row],[RUN]],BBDD[],7,FALSE)</f>
        <v>Los Ángeles</v>
      </c>
      <c r="G4" s="2" t="str">
        <f>VLOOKUP(T_Voluntarios[[#This Row],[RUN]],BBDD[],8,FALSE)</f>
        <v>Celular</v>
      </c>
      <c r="H4" s="2" t="str">
        <f>IF(VLOOKUP(T_Voluntarios[[#This Row],[RUN]],BBDD[],9,FALSE)=0,"Falta",VLOOKUP(T_Voluntarios[[#This Row],[RUN]],BBDD[],9,FALSE))</f>
        <v>+56946993024</v>
      </c>
      <c r="I4" s="2" t="str">
        <f>VLOOKUP(T_Voluntarios[[#This Row],[RUN]],BBDD[],10,FALSE)</f>
        <v>Participante</v>
      </c>
      <c r="J4" s="2" t="str">
        <f>VLOOKUP(T_Voluntarios[[#This Row],[RUN]],BBDD[],11,FALSE)</f>
        <v>Mahuidanche</v>
      </c>
      <c r="K4" s="2" t="str">
        <f>VLOOKUP(T_Voluntarios[[#This Row],[RUN]],BBDD[],12,FALSE)</f>
        <v>Guias</v>
      </c>
      <c r="L4" s="2" t="str">
        <f>VLOOKUP(T_Voluntarios[[#This Row],[RUN]],BBDD[],15,FALSE)</f>
        <v>Biobío</v>
      </c>
      <c r="M4" s="2" t="str">
        <f>VLOOKUP(T_Voluntarios[[#This Row],[RUN]],BBDD[],20,FALSE)</f>
        <v>Alimentación Tradicional</v>
      </c>
      <c r="N4" s="2" t="str">
        <f>VLOOKUP(T_Voluntarios[[#This Row],[RUN]],BBDD[],21,FALSE)</f>
        <v>Ninguna</v>
      </c>
      <c r="O4" s="2" t="str">
        <f>VLOOKUP(T_Voluntarios[[#This Row],[RUN]],BBDD[],22,FALSE)</f>
        <v>Ninguna</v>
      </c>
      <c r="P4" s="2" t="str">
        <f>VLOOKUP(T_Voluntarios[[#This Row],[RUN]],BBDD[],23,FALSE)</f>
        <v>Victoria Leiva (mi mamá) +56993887014</v>
      </c>
      <c r="Q4" s="2" t="str">
        <f>IF(VLOOKUP(T_Voluntarios[[#This Row],[RUN]],BBDD[],27,FALSE)=0,"",VLOOKUP(T_Voluntarios[[#This Row],[RUN]],BBDD[],27,FALSE))</f>
        <v/>
      </c>
      <c r="R4" s="2" t="str">
        <f>VLOOKUP(T_Voluntarios[[#This Row],[RUN]],BBDD[],36,FALSE)</f>
        <v>https://drive.google.com/open?id=1_qAlapZ63JaY43jo9j-_-2VXyoWSWgav</v>
      </c>
      <c r="S4" s="2" t="str">
        <f>VLOOKUP(T_Voluntarios[[#This Row],[RUN]],BBDD[],16,FALSE)</f>
        <v>Inicial</v>
      </c>
      <c r="T4" s="2" t="str">
        <f>VLOOKUP(T_Voluntarios[[#This Row],[RUN]],BBDD[],17,FALSE)</f>
        <v>Ninguno</v>
      </c>
      <c r="U4" s="2" t="str">
        <f>VLOOKUP(T_Voluntarios[[#This Row],[RUN]],BBDD[],18,FALSE)</f>
        <v>Ninguno</v>
      </c>
      <c r="V4" s="2" t="str">
        <f>VLOOKUP(T_Voluntarios[[#This Row],[RUN]],BBDD[],19,FALSE)</f>
        <v>Ninguno</v>
      </c>
      <c r="W4" s="13" t="str">
        <f>IF(OR(T_Voluntarios[[#This Row],[ROL]]="Formador(a)"),"SI","NO")</f>
        <v>NO</v>
      </c>
      <c r="X4" s="13" t="str">
        <f>IF(ISERROR(VLOOKUP(T_Voluntarios[[#This Row],[RUN]],BBDD_Formadores[],15,FALSE)),"NO",VLOOKUP(T_Voluntarios[[#This Row],[RUN]],BBDD_Formadores[],15,FALSE))</f>
        <v>NO</v>
      </c>
      <c r="Y4" s="13" t="str">
        <f>IF(ISERROR(VLOOKUP(T_Voluntarios[[#This Row],[RUN]],BBDD_Formadores[],16,FALSE)),"NO",VLOOKUP(T_Voluntarios[[#This Row],[RUN]],BBDD_Formadores[],16,FALSE))</f>
        <v>NO</v>
      </c>
      <c r="Z4" s="13" t="str">
        <f>IF(ISERROR(VLOOKUP(T_Voluntarios[[#This Row],[RUN]],BBDD_Formadores[],17,FALSE)),"NO",VLOOKUP(T_Voluntarios[[#This Row],[RUN]],BBDD_Formadores[],17,FALSE))</f>
        <v>NO</v>
      </c>
      <c r="AA4" s="13" t="str">
        <f>IF(ISERROR(VLOOKUP(T_Voluntarios[[#This Row],[RUN]],BBDD_Formadores[],18,FALSE)),"NO",VLOOKUP(T_Voluntarios[[#This Row],[RUN]],BBDD_Formadores[],18,FALSE))</f>
        <v>NO</v>
      </c>
      <c r="AB4" s="13">
        <v>1</v>
      </c>
      <c r="AC4" s="13" t="s">
        <v>1</v>
      </c>
      <c r="AD4" s="13" t="s">
        <v>77</v>
      </c>
      <c r="AF4" s="2" t="str">
        <f>IF(VLOOKUP(T_Voluntarios[[#This Row],[RUN]],BBDD[],25,FALSE)=0,"",VLOOKUP(T_Voluntarios[[#This Row],[RUN]],BBDD[],25,FALSE))</f>
        <v/>
      </c>
      <c r="AG4" s="2" t="str">
        <f>IF(VLOOKUP(T_Voluntarios[[#This Row],[RUN]],BBDD[],26,FALSE)=0,"",VLOOKUP(T_Voluntarios[[#This Row],[RUN]],BBDD[],26,FALSE))</f>
        <v/>
      </c>
      <c r="AH4" s="2" t="str">
        <f>IF(VLOOKUP(T_Voluntarios[[#This Row],[RUN]],BBDD[],24,FALSE)=0,"",VLOOKUP(T_Voluntarios[[#This Row],[RUN]],BBDD[],24,FALSE))</f>
        <v/>
      </c>
      <c r="AI4" s="13" t="str">
        <f>VLOOKUP(T_Voluntarios[[#This Row],[RUN]],BBDD[],28,FALSE)</f>
        <v>SI</v>
      </c>
      <c r="AJ4" s="13" t="str">
        <f>VLOOKUP(T_Voluntarios[[#This Row],[RUN]],BBDD[],28,FALSE)</f>
        <v>SI</v>
      </c>
      <c r="AK4" s="32">
        <f>IF(T_Voluntarios[[#This Row],[ROL]]="Participante",SUMIFS(T_Cuotas[[#All],[Total]],T_Cuotas[[#All],[RUN]],T_Voluntarios[[#This Row],[RUN]]),-1)</f>
        <v>50000</v>
      </c>
      <c r="AL4" s="13" t="s">
        <v>1</v>
      </c>
      <c r="AM4" s="13" t="s">
        <v>2029</v>
      </c>
      <c r="AP4" s="2" t="str">
        <f>MID(T_Voluntarios[[#This Row],[E_MAIL]],SEARCH("@",T_Voluntarios[[#This Row],[E_MAIL]],1),LEN(T_Voluntarios[[#This Row],[E_MAIL]]))</f>
        <v>@gmail.com</v>
      </c>
      <c r="AQ4" s="13" t="str">
        <f>VLOOKUP(T_Voluntarios[[#This Row],[RUN]],BBDD[],37,FALSE)</f>
        <v>24</v>
      </c>
      <c r="AR4" s="2" t="str">
        <f>VLOOKUP(T_Voluntarios[[#This Row],[RUN]],BBDD[],29,FALSE)</f>
        <v>Enfermera</v>
      </c>
      <c r="AS4" s="2" t="str">
        <f>VLOOKUP(T_Voluntarios[[#This Row],[RUN]],BBDD[],30,FALSE)</f>
        <v>Desde los 12 años hasta los 20 aprox (8 años aprox)</v>
      </c>
      <c r="AT4" s="2" t="str">
        <f>VLOOKUP(T_Voluntarios[[#This Row],[RUN]],BBDD[],31,FALSE)</f>
        <v>Solo lo que llevo trabajando como asistente de compañia, por mi profesión, no.</v>
      </c>
      <c r="AU4" s="2" t="str">
        <f>VLOOKUP(T_Voluntarios[[#This Row],[RUN]],BBDD[],32,FALSE)</f>
        <v>Soltero(a)</v>
      </c>
      <c r="AV4" s="2" t="str">
        <f>VLOOKUP(T_Voluntarios[[#This Row],[RUN]],BBDD[],33,FALSE)</f>
        <v>Católica</v>
      </c>
      <c r="AW4" s="2" t="str">
        <f>VLOOKUP(T_Voluntarios[[#This Row],[RUN]],BBDD[],34,FALSE)</f>
        <v>Pame</v>
      </c>
      <c r="AX4" s="13" t="s">
        <v>733</v>
      </c>
      <c r="AY4" s="76">
        <f>VLOOKUP(T_Voluntarios[[#This Row],[RUN]],BBDD[],2,FALSE)</f>
        <v>45779.702818518519</v>
      </c>
      <c r="AZ4" s="13" t="s">
        <v>3403</v>
      </c>
    </row>
    <row r="5" spans="1:52" ht="14.4" x14ac:dyDescent="0.3">
      <c r="A5" t="s">
        <v>756</v>
      </c>
      <c r="B5" s="2" t="str">
        <f>VLOOKUP(T_Voluntarios[[#This Row],[RUN]],BBDD[],3,FALSE)</f>
        <v>noemigonzalez644@gmail.com</v>
      </c>
      <c r="C5" s="2" t="str">
        <f>VLOOKUP(T_Voluntarios[[#This Row],[RUN]],BBDD[],4,FALSE)</f>
        <v>Noemí Rosita González Marambio</v>
      </c>
      <c r="D5" s="16">
        <f>VLOOKUP(T_Voluntarios[[#This Row],[RUN]],BBDD[],5,FALSE)</f>
        <v>37272</v>
      </c>
      <c r="E5" s="2" t="str">
        <f>VLOOKUP(T_Voluntarios[[#This Row],[RUN]],BBDD[],6,FALSE)</f>
        <v>Reinoguelen #63 Villa San Pedro</v>
      </c>
      <c r="F5" s="2" t="str">
        <f>VLOOKUP(T_Voluntarios[[#This Row],[RUN]],BBDD[],7,FALSE)</f>
        <v>San Pedro De La Paz</v>
      </c>
      <c r="G5" s="2" t="str">
        <f>VLOOKUP(T_Voluntarios[[#This Row],[RUN]],BBDD[],8,FALSE)</f>
        <v>Celular</v>
      </c>
      <c r="H5" s="2" t="str">
        <f>IF(VLOOKUP(T_Voluntarios[[#This Row],[RUN]],BBDD[],9,FALSE)=0,"Falta",VLOOKUP(T_Voluntarios[[#This Row],[RUN]],BBDD[],9,FALSE))</f>
        <v>+56956656604</v>
      </c>
      <c r="I5" s="2" t="str">
        <f>VLOOKUP(T_Voluntarios[[#This Row],[RUN]],BBDD[],10,FALSE)</f>
        <v>Participante</v>
      </c>
      <c r="J5" s="2" t="str">
        <f>VLOOKUP(T_Voluntarios[[#This Row],[RUN]],BBDD[],11,FALSE)</f>
        <v>San Ignacio de Loyola</v>
      </c>
      <c r="K5" s="2" t="str">
        <f>VLOOKUP(T_Voluntarios[[#This Row],[RUN]],BBDD[],12,FALSE)</f>
        <v>Guias</v>
      </c>
      <c r="L5" s="2" t="str">
        <f>VLOOKUP(T_Voluntarios[[#This Row],[RUN]],BBDD[],15,FALSE)</f>
        <v>Concepción</v>
      </c>
      <c r="M5" s="2" t="str">
        <f>VLOOKUP(T_Voluntarios[[#This Row],[RUN]],BBDD[],20,FALSE)</f>
        <v>Alimentación Tradicional</v>
      </c>
      <c r="N5" s="2" t="str">
        <f>VLOOKUP(T_Voluntarios[[#This Row],[RUN]],BBDD[],21,FALSE)</f>
        <v>Alergia a las nueces</v>
      </c>
      <c r="O5" s="2" t="str">
        <f>VLOOKUP(T_Voluntarios[[#This Row],[RUN]],BBDD[],22,FALSE)</f>
        <v>Ninguna</v>
      </c>
      <c r="P5" s="2" t="str">
        <f>VLOOKUP(T_Voluntarios[[#This Row],[RUN]],BBDD[],23,FALSE)</f>
        <v>Rosa Marambio 988373803</v>
      </c>
      <c r="Q5" s="2" t="str">
        <f>IF(VLOOKUP(T_Voluntarios[[#This Row],[RUN]],BBDD[],27,FALSE)=0,"",VLOOKUP(T_Voluntarios[[#This Row],[RUN]],BBDD[],27,FALSE))</f>
        <v/>
      </c>
      <c r="R5" s="2" t="str">
        <f>VLOOKUP(T_Voluntarios[[#This Row],[RUN]],BBDD[],36,FALSE)</f>
        <v>https://drive.google.com/open?id=1Kr4b5P3MOpMGNgqO743qXarh7OjMljo2</v>
      </c>
      <c r="S5" s="2" t="str">
        <f>VLOOKUP(T_Voluntarios[[#This Row],[RUN]],BBDD[],16,FALSE)</f>
        <v>Inicial</v>
      </c>
      <c r="T5" s="2" t="str">
        <f>VLOOKUP(T_Voluntarios[[#This Row],[RUN]],BBDD[],17,FALSE)</f>
        <v>Ninguno</v>
      </c>
      <c r="U5" s="2" t="str">
        <f>VLOOKUP(T_Voluntarios[[#This Row],[RUN]],BBDD[],18,FALSE)</f>
        <v>Ninguno</v>
      </c>
      <c r="V5" s="2" t="str">
        <f>VLOOKUP(T_Voluntarios[[#This Row],[RUN]],BBDD[],19,FALSE)</f>
        <v>Ninguno</v>
      </c>
      <c r="W5" s="13" t="str">
        <f>IF(OR(T_Voluntarios[[#This Row],[ROL]]="Formador(a)"),"SI","NO")</f>
        <v>NO</v>
      </c>
      <c r="X5" s="13" t="str">
        <f>IF(ISERROR(VLOOKUP(T_Voluntarios[[#This Row],[RUN]],BBDD_Formadores[],15,FALSE)),"NO",VLOOKUP(T_Voluntarios[[#This Row],[RUN]],BBDD_Formadores[],15,FALSE))</f>
        <v>NO</v>
      </c>
      <c r="Y5" s="13" t="str">
        <f>IF(ISERROR(VLOOKUP(T_Voluntarios[[#This Row],[RUN]],BBDD_Formadores[],16,FALSE)),"NO",VLOOKUP(T_Voluntarios[[#This Row],[RUN]],BBDD_Formadores[],16,FALSE))</f>
        <v>NO</v>
      </c>
      <c r="Z5" s="13" t="str">
        <f>IF(ISERROR(VLOOKUP(T_Voluntarios[[#This Row],[RUN]],BBDD_Formadores[],17,FALSE)),"NO",VLOOKUP(T_Voluntarios[[#This Row],[RUN]],BBDD_Formadores[],17,FALSE))</f>
        <v>NO</v>
      </c>
      <c r="AA5" s="13" t="str">
        <f>IF(ISERROR(VLOOKUP(T_Voluntarios[[#This Row],[RUN]],BBDD_Formadores[],18,FALSE)),"NO",VLOOKUP(T_Voluntarios[[#This Row],[RUN]],BBDD_Formadores[],18,FALSE))</f>
        <v>NO</v>
      </c>
      <c r="AB5" s="13">
        <v>1</v>
      </c>
      <c r="AC5" s="13" t="s">
        <v>1</v>
      </c>
      <c r="AD5" s="13" t="s">
        <v>77</v>
      </c>
      <c r="AF5" s="2" t="str">
        <f>IF(VLOOKUP(T_Voluntarios[[#This Row],[RUN]],BBDD[],25,FALSE)=0,"",VLOOKUP(T_Voluntarios[[#This Row],[RUN]],BBDD[],25,FALSE))</f>
        <v/>
      </c>
      <c r="AG5" s="2" t="str">
        <f>IF(VLOOKUP(T_Voluntarios[[#This Row],[RUN]],BBDD[],26,FALSE)=0,"",VLOOKUP(T_Voluntarios[[#This Row],[RUN]],BBDD[],26,FALSE))</f>
        <v/>
      </c>
      <c r="AH5" s="2" t="str">
        <f>IF(VLOOKUP(T_Voluntarios[[#This Row],[RUN]],BBDD[],24,FALSE)=0,"",VLOOKUP(T_Voluntarios[[#This Row],[RUN]],BBDD[],24,FALSE))</f>
        <v/>
      </c>
      <c r="AI5" s="13" t="str">
        <f>VLOOKUP(T_Voluntarios[[#This Row],[RUN]],BBDD[],28,FALSE)</f>
        <v>No</v>
      </c>
      <c r="AJ5" s="13" t="str">
        <f>VLOOKUP(T_Voluntarios[[#This Row],[RUN]],BBDD[],28,FALSE)</f>
        <v>No</v>
      </c>
      <c r="AK5" s="32">
        <f>IF(T_Voluntarios[[#This Row],[ROL]]="Participante",SUMIFS(T_Cuotas[[#All],[Total]],T_Cuotas[[#All],[RUN]],T_Voluntarios[[#This Row],[RUN]]),-1)</f>
        <v>50000</v>
      </c>
      <c r="AL5" s="13" t="s">
        <v>1</v>
      </c>
      <c r="AM5" s="13" t="s">
        <v>2029</v>
      </c>
      <c r="AP5" s="2" t="str">
        <f>MID(T_Voluntarios[[#This Row],[E_MAIL]],SEARCH("@",T_Voluntarios[[#This Row],[E_MAIL]],1),LEN(T_Voluntarios[[#This Row],[E_MAIL]]))</f>
        <v>@gmail.com</v>
      </c>
      <c r="AQ5" s="13" t="str">
        <f>VLOOKUP(T_Voluntarios[[#This Row],[RUN]],BBDD[],37,FALSE)</f>
        <v>23</v>
      </c>
      <c r="AR5" s="2" t="str">
        <f>VLOOKUP(T_Voluntarios[[#This Row],[RUN]],BBDD[],29,FALSE)</f>
        <v>Estudiante</v>
      </c>
      <c r="AS5" s="2" t="str">
        <f>VLOOKUP(T_Voluntarios[[#This Row],[RUN]],BBDD[],30,FALSE)</f>
        <v>8 años</v>
      </c>
      <c r="AT5" s="2" t="str">
        <f>VLOOKUP(T_Voluntarios[[#This Row],[RUN]],BBDD[],31,FALSE)</f>
        <v>1 año</v>
      </c>
      <c r="AU5" s="2" t="str">
        <f>VLOOKUP(T_Voluntarios[[#This Row],[RUN]],BBDD[],32,FALSE)</f>
        <v>Soltero(a)</v>
      </c>
      <c r="AV5" s="2" t="str">
        <f>VLOOKUP(T_Voluntarios[[#This Row],[RUN]],BBDD[],33,FALSE)</f>
        <v>Católica</v>
      </c>
      <c r="AW5" s="2" t="str">
        <f>VLOOKUP(T_Voluntarios[[#This Row],[RUN]],BBDD[],34,FALSE)</f>
        <v>Noe</v>
      </c>
      <c r="AX5" s="13" t="s">
        <v>733</v>
      </c>
      <c r="AY5" s="76">
        <f>VLOOKUP(T_Voluntarios[[#This Row],[RUN]],BBDD[],2,FALSE)</f>
        <v>45779.718532253086</v>
      </c>
      <c r="AZ5" s="13" t="s">
        <v>3403</v>
      </c>
    </row>
    <row r="6" spans="1:52" ht="14.4" x14ac:dyDescent="0.3">
      <c r="A6" t="s">
        <v>767</v>
      </c>
      <c r="B6" s="2" t="str">
        <f>VLOOKUP(T_Voluntarios[[#This Row],[RUN]],BBDD[],3,FALSE)</f>
        <v>cpalmab00@gmail.com</v>
      </c>
      <c r="C6" s="2" t="str">
        <f>VLOOKUP(T_Voluntarios[[#This Row],[RUN]],BBDD[],4,FALSE)</f>
        <v>Catalina Dannae Palma Bastías</v>
      </c>
      <c r="D6" s="16">
        <f>VLOOKUP(T_Voluntarios[[#This Row],[RUN]],BBDD[],5,FALSE)</f>
        <v>36595</v>
      </c>
      <c r="E6" s="2" t="str">
        <f>VLOOKUP(T_Voluntarios[[#This Row],[RUN]],BBDD[],6,FALSE)</f>
        <v>Av. Manuel Rodríguez 966</v>
      </c>
      <c r="F6" s="2" t="str">
        <f>VLOOKUP(T_Voluntarios[[#This Row],[RUN]],BBDD[],7,FALSE)</f>
        <v>Chiguayante</v>
      </c>
      <c r="G6" s="2" t="str">
        <f>VLOOKUP(T_Voluntarios[[#This Row],[RUN]],BBDD[],8,FALSE)</f>
        <v>Celular</v>
      </c>
      <c r="H6" s="2" t="str">
        <f>IF(VLOOKUP(T_Voluntarios[[#This Row],[RUN]],BBDD[],9,FALSE)=0,"Falta",VLOOKUP(T_Voluntarios[[#This Row],[RUN]],BBDD[],9,FALSE))</f>
        <v>+56932294127</v>
      </c>
      <c r="I6" s="2" t="str">
        <f>VLOOKUP(T_Voluntarios[[#This Row],[RUN]],BBDD[],10,FALSE)</f>
        <v>Participante</v>
      </c>
      <c r="J6" s="2" t="str">
        <f>VLOOKUP(T_Voluntarios[[#This Row],[RUN]],BBDD[],11,FALSE)</f>
        <v>San Ignacio de Loyola</v>
      </c>
      <c r="K6" s="2" t="str">
        <f>VLOOKUP(T_Voluntarios[[#This Row],[RUN]],BBDD[],12,FALSE)</f>
        <v>Pioneros</v>
      </c>
      <c r="L6" s="2" t="str">
        <f>VLOOKUP(T_Voluntarios[[#This Row],[RUN]],BBDD[],15,FALSE)</f>
        <v>Concepción</v>
      </c>
      <c r="M6" s="2" t="str">
        <f>VLOOKUP(T_Voluntarios[[#This Row],[RUN]],BBDD[],20,FALSE)</f>
        <v>Alimentación Tradicional</v>
      </c>
      <c r="N6" s="2" t="str">
        <f>VLOOKUP(T_Voluntarios[[#This Row],[RUN]],BBDD[],21,FALSE)</f>
        <v>Ninguna</v>
      </c>
      <c r="O6" s="2" t="str">
        <f>VLOOKUP(T_Voluntarios[[#This Row],[RUN]],BBDD[],22,FALSE)</f>
        <v>Ninguna</v>
      </c>
      <c r="P6" s="2" t="str">
        <f>VLOOKUP(T_Voluntarios[[#This Row],[RUN]],BBDD[],23,FALSE)</f>
        <v>Vicente Gonzalez +56977760821</v>
      </c>
      <c r="Q6" s="2" t="str">
        <f>IF(VLOOKUP(T_Voluntarios[[#This Row],[RUN]],BBDD[],27,FALSE)=0,"",VLOOKUP(T_Voluntarios[[#This Row],[RUN]],BBDD[],27,FALSE))</f>
        <v/>
      </c>
      <c r="R6" s="2" t="str">
        <f>VLOOKUP(T_Voluntarios[[#This Row],[RUN]],BBDD[],36,FALSE)</f>
        <v>https://drive.google.com/open?id=17zNYLya7GbKB4LPm0APaXE2orMh2MM0a</v>
      </c>
      <c r="S6" s="2" t="str">
        <f>VLOOKUP(T_Voluntarios[[#This Row],[RUN]],BBDD[],16,FALSE)</f>
        <v>Inicial</v>
      </c>
      <c r="T6" s="2" t="str">
        <f>VLOOKUP(T_Voluntarios[[#This Row],[RUN]],BBDD[],17,FALSE)</f>
        <v>Ninguno</v>
      </c>
      <c r="U6" s="2" t="str">
        <f>VLOOKUP(T_Voluntarios[[#This Row],[RUN]],BBDD[],18,FALSE)</f>
        <v>Ninguno</v>
      </c>
      <c r="V6" s="2" t="str">
        <f>VLOOKUP(T_Voluntarios[[#This Row],[RUN]],BBDD[],19,FALSE)</f>
        <v>Ninguno</v>
      </c>
      <c r="W6" s="13" t="str">
        <f>IF(OR(T_Voluntarios[[#This Row],[ROL]]="Formador(a)"),"SI","NO")</f>
        <v>NO</v>
      </c>
      <c r="X6" s="13" t="str">
        <f>IF(ISERROR(VLOOKUP(T_Voluntarios[[#This Row],[RUN]],BBDD_Formadores[],15,FALSE)),"NO",VLOOKUP(T_Voluntarios[[#This Row],[RUN]],BBDD_Formadores[],15,FALSE))</f>
        <v>NO</v>
      </c>
      <c r="Y6" s="13" t="str">
        <f>IF(ISERROR(VLOOKUP(T_Voluntarios[[#This Row],[RUN]],BBDD_Formadores[],16,FALSE)),"NO",VLOOKUP(T_Voluntarios[[#This Row],[RUN]],BBDD_Formadores[],16,FALSE))</f>
        <v>NO</v>
      </c>
      <c r="Z6" s="13" t="str">
        <f>IF(ISERROR(VLOOKUP(T_Voluntarios[[#This Row],[RUN]],BBDD_Formadores[],17,FALSE)),"NO",VLOOKUP(T_Voluntarios[[#This Row],[RUN]],BBDD_Formadores[],17,FALSE))</f>
        <v>NO</v>
      </c>
      <c r="AA6" s="13" t="str">
        <f>IF(ISERROR(VLOOKUP(T_Voluntarios[[#This Row],[RUN]],BBDD_Formadores[],18,FALSE)),"NO",VLOOKUP(T_Voluntarios[[#This Row],[RUN]],BBDD_Formadores[],18,FALSE))</f>
        <v>NO</v>
      </c>
      <c r="AB6" s="13">
        <v>1</v>
      </c>
      <c r="AC6" s="13" t="s">
        <v>1</v>
      </c>
      <c r="AD6" s="13" t="s">
        <v>77</v>
      </c>
      <c r="AF6" s="2" t="str">
        <f>IF(VLOOKUP(T_Voluntarios[[#This Row],[RUN]],BBDD[],25,FALSE)=0,"",VLOOKUP(T_Voluntarios[[#This Row],[RUN]],BBDD[],25,FALSE))</f>
        <v/>
      </c>
      <c r="AG6" s="2" t="str">
        <f>IF(VLOOKUP(T_Voluntarios[[#This Row],[RUN]],BBDD[],26,FALSE)=0,"",VLOOKUP(T_Voluntarios[[#This Row],[RUN]],BBDD[],26,FALSE))</f>
        <v/>
      </c>
      <c r="AH6" s="2" t="str">
        <f>IF(VLOOKUP(T_Voluntarios[[#This Row],[RUN]],BBDD[],24,FALSE)=0,"",VLOOKUP(T_Voluntarios[[#This Row],[RUN]],BBDD[],24,FALSE))</f>
        <v/>
      </c>
      <c r="AI6" s="13" t="str">
        <f>VLOOKUP(T_Voluntarios[[#This Row],[RUN]],BBDD[],28,FALSE)</f>
        <v>No</v>
      </c>
      <c r="AJ6" s="13" t="str">
        <f>VLOOKUP(T_Voluntarios[[#This Row],[RUN]],BBDD[],28,FALSE)</f>
        <v>No</v>
      </c>
      <c r="AK6" s="32">
        <f>IF(T_Voluntarios[[#This Row],[ROL]]="Participante",SUMIFS(T_Cuotas[[#All],[Total]],T_Cuotas[[#All],[RUN]],T_Voluntarios[[#This Row],[RUN]]),-1)</f>
        <v>50000</v>
      </c>
      <c r="AL6" s="13" t="s">
        <v>1</v>
      </c>
      <c r="AM6" s="13" t="s">
        <v>2029</v>
      </c>
      <c r="AP6" s="2" t="str">
        <f>MID(T_Voluntarios[[#This Row],[E_MAIL]],SEARCH("@",T_Voluntarios[[#This Row],[E_MAIL]],1),LEN(T_Voluntarios[[#This Row],[E_MAIL]]))</f>
        <v>@gmail.com</v>
      </c>
      <c r="AQ6" s="13" t="str">
        <f>VLOOKUP(T_Voluntarios[[#This Row],[RUN]],BBDD[],37,FALSE)</f>
        <v>25</v>
      </c>
      <c r="AR6" s="2" t="str">
        <f>VLOOKUP(T_Voluntarios[[#This Row],[RUN]],BBDD[],29,FALSE)</f>
        <v>Estudiante de enfermeria</v>
      </c>
      <c r="AS6" s="2" t="str">
        <f>VLOOKUP(T_Voluntarios[[#This Row],[RUN]],BBDD[],30,FALSE)</f>
        <v>No fui MMBB</v>
      </c>
      <c r="AT6" s="2" t="str">
        <f>VLOOKUP(T_Voluntarios[[#This Row],[RUN]],BBDD[],31,FALSE)</f>
        <v>10</v>
      </c>
      <c r="AU6" s="2" t="str">
        <f>VLOOKUP(T_Voluntarios[[#This Row],[RUN]],BBDD[],32,FALSE)</f>
        <v>Soltero(a)</v>
      </c>
      <c r="AV6" s="2" t="str">
        <f>VLOOKUP(T_Voluntarios[[#This Row],[RUN]],BBDD[],33,FALSE)</f>
        <v>Ninguna</v>
      </c>
      <c r="AW6" s="2" t="str">
        <f>VLOOKUP(T_Voluntarios[[#This Row],[RUN]],BBDD[],34,FALSE)</f>
        <v>Cata</v>
      </c>
      <c r="AX6" s="13" t="s">
        <v>733</v>
      </c>
      <c r="AY6" s="76">
        <f>VLOOKUP(T_Voluntarios[[#This Row],[RUN]],BBDD[],2,FALSE)</f>
        <v>45779.73304525463</v>
      </c>
      <c r="AZ6" s="13" t="s">
        <v>3403</v>
      </c>
    </row>
    <row r="7" spans="1:52" ht="14.4" x14ac:dyDescent="0.3">
      <c r="A7" t="s">
        <v>781</v>
      </c>
      <c r="B7" s="2" t="str">
        <f>VLOOKUP(T_Voluntarios[[#This Row],[RUN]],BBDD[],3,FALSE)</f>
        <v>mgonzalez.biologia@gmail.com</v>
      </c>
      <c r="C7" s="2" t="str">
        <f>VLOOKUP(T_Voluntarios[[#This Row],[RUN]],BBDD[],4,FALSE)</f>
        <v>Muriel Esther González Silva</v>
      </c>
      <c r="D7" s="16">
        <f>VLOOKUP(T_Voluntarios[[#This Row],[RUN]],BBDD[],5,FALSE)</f>
        <v>33020</v>
      </c>
      <c r="E7" s="2" t="str">
        <f>VLOOKUP(T_Voluntarios[[#This Row],[RUN]],BBDD[],6,FALSE)</f>
        <v>Genova 2891</v>
      </c>
      <c r="F7" s="2" t="str">
        <f>VLOOKUP(T_Voluntarios[[#This Row],[RUN]],BBDD[],7,FALSE)</f>
        <v>Hualpén</v>
      </c>
      <c r="G7" s="2" t="str">
        <f>VLOOKUP(T_Voluntarios[[#This Row],[RUN]],BBDD[],8,FALSE)</f>
        <v>Celular</v>
      </c>
      <c r="H7" s="2" t="str">
        <f>IF(VLOOKUP(T_Voluntarios[[#This Row],[RUN]],BBDD[],9,FALSE)=0,"Falta",VLOOKUP(T_Voluntarios[[#This Row],[RUN]],BBDD[],9,FALSE))</f>
        <v>+56940010332</v>
      </c>
      <c r="I7" s="2" t="str">
        <f>VLOOKUP(T_Voluntarios[[#This Row],[RUN]],BBDD[],10,FALSE)</f>
        <v>Participante</v>
      </c>
      <c r="J7" s="2" t="str">
        <f>VLOOKUP(T_Voluntarios[[#This Row],[RUN]],BBDD[],11,FALSE)</f>
        <v>Helen Keller</v>
      </c>
      <c r="K7" s="2" t="str">
        <f>VLOOKUP(T_Voluntarios[[#This Row],[RUN]],BBDD[],12,FALSE)</f>
        <v>Caminantes</v>
      </c>
      <c r="L7" s="2" t="str">
        <f>VLOOKUP(T_Voluntarios[[#This Row],[RUN]],BBDD[],15,FALSE)</f>
        <v>Talcahuano - Hualpén</v>
      </c>
      <c r="M7" s="2" t="str">
        <f>VLOOKUP(T_Voluntarios[[#This Row],[RUN]],BBDD[],20,FALSE)</f>
        <v>Alimentación Tradicional</v>
      </c>
      <c r="N7" s="2" t="str">
        <f>VLOOKUP(T_Voluntarios[[#This Row],[RUN]],BBDD[],21,FALSE)</f>
        <v>Alergica a la Penicilina e Ibuprofeno</v>
      </c>
      <c r="O7" s="2" t="str">
        <f>VLOOKUP(T_Voluntarios[[#This Row],[RUN]],BBDD[],22,FALSE)</f>
        <v>Ninguna</v>
      </c>
      <c r="P7" s="2" t="str">
        <f>VLOOKUP(T_Voluntarios[[#This Row],[RUN]],BBDD[],23,FALSE)</f>
        <v>Nicolás Peña +56966903399</v>
      </c>
      <c r="Q7" s="2" t="str">
        <f>IF(VLOOKUP(T_Voluntarios[[#This Row],[RUN]],BBDD[],27,FALSE)=0,"",VLOOKUP(T_Voluntarios[[#This Row],[RUN]],BBDD[],27,FALSE))</f>
        <v/>
      </c>
      <c r="R7" s="2" t="str">
        <f>VLOOKUP(T_Voluntarios[[#This Row],[RUN]],BBDD[],36,FALSE)</f>
        <v>https://drive.google.com/open?id=1TNPN3aqKillnYNMhRibWnwlfu6FTujU8</v>
      </c>
      <c r="S7" s="2" t="str">
        <f>VLOOKUP(T_Voluntarios[[#This Row],[RUN]],BBDD[],16,FALSE)</f>
        <v>Inicial</v>
      </c>
      <c r="T7" s="2" t="str">
        <f>VLOOKUP(T_Voluntarios[[#This Row],[RUN]],BBDD[],17,FALSE)</f>
        <v>Ninguno</v>
      </c>
      <c r="U7" s="2" t="str">
        <f>VLOOKUP(T_Voluntarios[[#This Row],[RUN]],BBDD[],18,FALSE)</f>
        <v>Ninguno</v>
      </c>
      <c r="V7" s="2" t="str">
        <f>VLOOKUP(T_Voluntarios[[#This Row],[RUN]],BBDD[],19,FALSE)</f>
        <v>Ninguno</v>
      </c>
      <c r="W7" s="13" t="str">
        <f>IF(OR(T_Voluntarios[[#This Row],[ROL]]="Formador(a)"),"SI","NO")</f>
        <v>NO</v>
      </c>
      <c r="X7" s="13" t="str">
        <f>IF(ISERROR(VLOOKUP(T_Voluntarios[[#This Row],[RUN]],BBDD_Formadores[],15,FALSE)),"NO",VLOOKUP(T_Voluntarios[[#This Row],[RUN]],BBDD_Formadores[],15,FALSE))</f>
        <v>NO</v>
      </c>
      <c r="Y7" s="13" t="str">
        <f>IF(ISERROR(VLOOKUP(T_Voluntarios[[#This Row],[RUN]],BBDD_Formadores[],16,FALSE)),"NO",VLOOKUP(T_Voluntarios[[#This Row],[RUN]],BBDD_Formadores[],16,FALSE))</f>
        <v>NO</v>
      </c>
      <c r="Z7" s="13" t="str">
        <f>IF(ISERROR(VLOOKUP(T_Voluntarios[[#This Row],[RUN]],BBDD_Formadores[],17,FALSE)),"NO",VLOOKUP(T_Voluntarios[[#This Row],[RUN]],BBDD_Formadores[],17,FALSE))</f>
        <v>NO</v>
      </c>
      <c r="AA7" s="13" t="str">
        <f>IF(ISERROR(VLOOKUP(T_Voluntarios[[#This Row],[RUN]],BBDD_Formadores[],18,FALSE)),"NO",VLOOKUP(T_Voluntarios[[#This Row],[RUN]],BBDD_Formadores[],18,FALSE))</f>
        <v>NO</v>
      </c>
      <c r="AB7" s="13">
        <v>1</v>
      </c>
      <c r="AC7" s="13" t="s">
        <v>1</v>
      </c>
      <c r="AD7" s="13" t="s">
        <v>77</v>
      </c>
      <c r="AF7" s="2" t="str">
        <f>IF(VLOOKUP(T_Voluntarios[[#This Row],[RUN]],BBDD[],25,FALSE)=0,"",VLOOKUP(T_Voluntarios[[#This Row],[RUN]],BBDD[],25,FALSE))</f>
        <v/>
      </c>
      <c r="AG7" s="2" t="str">
        <f>IF(VLOOKUP(T_Voluntarios[[#This Row],[RUN]],BBDD[],26,FALSE)=0,"",VLOOKUP(T_Voluntarios[[#This Row],[RUN]],BBDD[],26,FALSE))</f>
        <v/>
      </c>
      <c r="AH7" s="2" t="str">
        <f>IF(VLOOKUP(T_Voluntarios[[#This Row],[RUN]],BBDD[],24,FALSE)=0,"",VLOOKUP(T_Voluntarios[[#This Row],[RUN]],BBDD[],24,FALSE))</f>
        <v/>
      </c>
      <c r="AI7" s="13" t="str">
        <f>VLOOKUP(T_Voluntarios[[#This Row],[RUN]],BBDD[],28,FALSE)</f>
        <v>SI</v>
      </c>
      <c r="AJ7" s="13" t="str">
        <f>VLOOKUP(T_Voluntarios[[#This Row],[RUN]],BBDD[],28,FALSE)</f>
        <v>SI</v>
      </c>
      <c r="AK7" s="32">
        <f>IF(T_Voluntarios[[#This Row],[ROL]]="Participante",SUMIFS(T_Cuotas[[#All],[Total]],T_Cuotas[[#All],[RUN]],T_Voluntarios[[#This Row],[RUN]]),-1)</f>
        <v>50000</v>
      </c>
      <c r="AL7" s="13" t="s">
        <v>1</v>
      </c>
      <c r="AM7" s="13" t="s">
        <v>2029</v>
      </c>
      <c r="AP7" s="2" t="str">
        <f>MID(T_Voluntarios[[#This Row],[E_MAIL]],SEARCH("@",T_Voluntarios[[#This Row],[E_MAIL]],1),LEN(T_Voluntarios[[#This Row],[E_MAIL]]))</f>
        <v>@gmail.com</v>
      </c>
      <c r="AQ7" s="13" t="str">
        <f>VLOOKUP(T_Voluntarios[[#This Row],[RUN]],BBDD[],37,FALSE)</f>
        <v>35</v>
      </c>
      <c r="AR7" s="2" t="str">
        <f>VLOOKUP(T_Voluntarios[[#This Row],[RUN]],BBDD[],29,FALSE)</f>
        <v>Profesora de Biología</v>
      </c>
      <c r="AS7" s="2" t="str">
        <f>VLOOKUP(T_Voluntarios[[#This Row],[RUN]],BBDD[],30,FALSE)</f>
        <v>5 años</v>
      </c>
      <c r="AT7" s="2" t="str">
        <f>VLOOKUP(T_Voluntarios[[#This Row],[RUN]],BBDD[],31,FALSE)</f>
        <v>10</v>
      </c>
      <c r="AU7" s="2" t="str">
        <f>VLOOKUP(T_Voluntarios[[#This Row],[RUN]],BBDD[],32,FALSE)</f>
        <v>Casado(a)</v>
      </c>
      <c r="AV7" s="2" t="str">
        <f>VLOOKUP(T_Voluntarios[[#This Row],[RUN]],BBDD[],33,FALSE)</f>
        <v>Católica</v>
      </c>
      <c r="AW7" s="2" t="str">
        <f>VLOOKUP(T_Voluntarios[[#This Row],[RUN]],BBDD[],34,FALSE)</f>
        <v>Muriel</v>
      </c>
      <c r="AX7" s="13" t="s">
        <v>733</v>
      </c>
      <c r="AY7" s="76">
        <f>VLOOKUP(T_Voluntarios[[#This Row],[RUN]],BBDD[],2,FALSE)</f>
        <v>45779.760022222225</v>
      </c>
      <c r="AZ7" s="13" t="s">
        <v>3403</v>
      </c>
    </row>
    <row r="8" spans="1:52" ht="14.4" x14ac:dyDescent="0.3">
      <c r="A8" t="s">
        <v>793</v>
      </c>
      <c r="B8" s="2" t="str">
        <f>VLOOKUP(T_Voluntarios[[#This Row],[RUN]],BBDD[],3,FALSE)</f>
        <v>cdiazaguilera12@gmail.com</v>
      </c>
      <c r="C8" s="2" t="str">
        <f>VLOOKUP(T_Voluntarios[[#This Row],[RUN]],BBDD[],4,FALSE)</f>
        <v>Catalina Belén Díaz Aguilera</v>
      </c>
      <c r="D8" s="16">
        <f>VLOOKUP(T_Voluntarios[[#This Row],[RUN]],BBDD[],5,FALSE)</f>
        <v>37723</v>
      </c>
      <c r="E8" s="2" t="str">
        <f>VLOOKUP(T_Voluntarios[[#This Row],[RUN]],BBDD[],6,FALSE)</f>
        <v>Avenida los presidentes 1555 casa 15</v>
      </c>
      <c r="F8" s="2" t="str">
        <f>VLOOKUP(T_Voluntarios[[#This Row],[RUN]],BBDD[],7,FALSE)</f>
        <v>Concepción</v>
      </c>
      <c r="G8" s="2" t="str">
        <f>VLOOKUP(T_Voluntarios[[#This Row],[RUN]],BBDD[],8,FALSE)</f>
        <v>Celular</v>
      </c>
      <c r="H8" s="2" t="str">
        <f>IF(VLOOKUP(T_Voluntarios[[#This Row],[RUN]],BBDD[],9,FALSE)=0,"Falta",VLOOKUP(T_Voluntarios[[#This Row],[RUN]],BBDD[],9,FALSE))</f>
        <v>+56956959880</v>
      </c>
      <c r="I8" s="2" t="str">
        <f>VLOOKUP(T_Voluntarios[[#This Row],[RUN]],BBDD[],10,FALSE)</f>
        <v>Participante</v>
      </c>
      <c r="J8" s="2" t="str">
        <f>VLOOKUP(T_Voluntarios[[#This Row],[RUN]],BBDD[],11,FALSE)</f>
        <v>San Ignacio de Loyola</v>
      </c>
      <c r="K8" s="2" t="str">
        <f>VLOOKUP(T_Voluntarios[[#This Row],[RUN]],BBDD[],12,FALSE)</f>
        <v>Guias</v>
      </c>
      <c r="L8" s="2" t="str">
        <f>VLOOKUP(T_Voluntarios[[#This Row],[RUN]],BBDD[],15,FALSE)</f>
        <v>Concepción</v>
      </c>
      <c r="M8" s="2" t="str">
        <f>VLOOKUP(T_Voluntarios[[#This Row],[RUN]],BBDD[],20,FALSE)</f>
        <v>Alimentación Tradicional</v>
      </c>
      <c r="N8" s="2" t="str">
        <f>VLOOKUP(T_Voluntarios[[#This Row],[RUN]],BBDD[],21,FALSE)</f>
        <v>Ninguna</v>
      </c>
      <c r="O8" s="2" t="str">
        <f>VLOOKUP(T_Voluntarios[[#This Row],[RUN]],BBDD[],22,FALSE)</f>
        <v>Ninguna</v>
      </c>
      <c r="P8" s="2" t="str">
        <f>VLOOKUP(T_Voluntarios[[#This Row],[RUN]],BBDD[],23,FALSE)</f>
        <v>Paulina Aguilera +56944367305</v>
      </c>
      <c r="Q8" s="2" t="str">
        <f>IF(VLOOKUP(T_Voluntarios[[#This Row],[RUN]],BBDD[],27,FALSE)=0,"",VLOOKUP(T_Voluntarios[[#This Row],[RUN]],BBDD[],27,FALSE))</f>
        <v/>
      </c>
      <c r="R8" s="2" t="str">
        <f>VLOOKUP(T_Voluntarios[[#This Row],[RUN]],BBDD[],36,FALSE)</f>
        <v>https://drive.google.com/open?id=1WjGduateW_RIs_Bfg9hVE2ANLMp7dpZG</v>
      </c>
      <c r="S8" s="2" t="str">
        <f>VLOOKUP(T_Voluntarios[[#This Row],[RUN]],BBDD[],16,FALSE)</f>
        <v>Inicial</v>
      </c>
      <c r="T8" s="2" t="str">
        <f>VLOOKUP(T_Voluntarios[[#This Row],[RUN]],BBDD[],17,FALSE)</f>
        <v>Ninguno</v>
      </c>
      <c r="U8" s="2" t="str">
        <f>VLOOKUP(T_Voluntarios[[#This Row],[RUN]],BBDD[],18,FALSE)</f>
        <v>Ninguno</v>
      </c>
      <c r="V8" s="2" t="str">
        <f>VLOOKUP(T_Voluntarios[[#This Row],[RUN]],BBDD[],19,FALSE)</f>
        <v>Ninguno</v>
      </c>
      <c r="W8" s="13" t="str">
        <f>IF(OR(T_Voluntarios[[#This Row],[ROL]]="Formador(a)"),"SI","NO")</f>
        <v>NO</v>
      </c>
      <c r="X8" s="13" t="str">
        <f>IF(ISERROR(VLOOKUP(T_Voluntarios[[#This Row],[RUN]],BBDD_Formadores[],15,FALSE)),"NO",VLOOKUP(T_Voluntarios[[#This Row],[RUN]],BBDD_Formadores[],15,FALSE))</f>
        <v>NO</v>
      </c>
      <c r="Y8" s="13" t="str">
        <f>IF(ISERROR(VLOOKUP(T_Voluntarios[[#This Row],[RUN]],BBDD_Formadores[],16,FALSE)),"NO",VLOOKUP(T_Voluntarios[[#This Row],[RUN]],BBDD_Formadores[],16,FALSE))</f>
        <v>NO</v>
      </c>
      <c r="Z8" s="13" t="str">
        <f>IF(ISERROR(VLOOKUP(T_Voluntarios[[#This Row],[RUN]],BBDD_Formadores[],17,FALSE)),"NO",VLOOKUP(T_Voluntarios[[#This Row],[RUN]],BBDD_Formadores[],17,FALSE))</f>
        <v>NO</v>
      </c>
      <c r="AA8" s="13" t="str">
        <f>IF(ISERROR(VLOOKUP(T_Voluntarios[[#This Row],[RUN]],BBDD_Formadores[],18,FALSE)),"NO",VLOOKUP(T_Voluntarios[[#This Row],[RUN]],BBDD_Formadores[],18,FALSE))</f>
        <v>NO</v>
      </c>
      <c r="AB8" s="13">
        <v>1</v>
      </c>
      <c r="AC8" s="13" t="s">
        <v>1</v>
      </c>
      <c r="AD8" s="13" t="s">
        <v>77</v>
      </c>
      <c r="AF8" s="2" t="str">
        <f>IF(VLOOKUP(T_Voluntarios[[#This Row],[RUN]],BBDD[],25,FALSE)=0,"",VLOOKUP(T_Voluntarios[[#This Row],[RUN]],BBDD[],25,FALSE))</f>
        <v/>
      </c>
      <c r="AG8" s="2" t="str">
        <f>IF(VLOOKUP(T_Voluntarios[[#This Row],[RUN]],BBDD[],26,FALSE)=0,"",VLOOKUP(T_Voluntarios[[#This Row],[RUN]],BBDD[],26,FALSE))</f>
        <v/>
      </c>
      <c r="AH8" s="2" t="str">
        <f>IF(VLOOKUP(T_Voluntarios[[#This Row],[RUN]],BBDD[],24,FALSE)=0,"",VLOOKUP(T_Voluntarios[[#This Row],[RUN]],BBDD[],24,FALSE))</f>
        <v/>
      </c>
      <c r="AI8" s="13" t="str">
        <f>VLOOKUP(T_Voluntarios[[#This Row],[RUN]],BBDD[],28,FALSE)</f>
        <v>SI</v>
      </c>
      <c r="AJ8" s="13" t="str">
        <f>VLOOKUP(T_Voluntarios[[#This Row],[RUN]],BBDD[],28,FALSE)</f>
        <v>SI</v>
      </c>
      <c r="AK8" s="32">
        <f>IF(T_Voluntarios[[#This Row],[ROL]]="Participante",SUMIFS(T_Cuotas[[#All],[Total]],T_Cuotas[[#All],[RUN]],T_Voluntarios[[#This Row],[RUN]]),-1)</f>
        <v>50000</v>
      </c>
      <c r="AL8" s="13" t="s">
        <v>1</v>
      </c>
      <c r="AM8" s="13" t="s">
        <v>2029</v>
      </c>
      <c r="AP8" s="2" t="str">
        <f>MID(T_Voluntarios[[#This Row],[E_MAIL]],SEARCH("@",T_Voluntarios[[#This Row],[E_MAIL]],1),LEN(T_Voluntarios[[#This Row],[E_MAIL]]))</f>
        <v>@gmail.com</v>
      </c>
      <c r="AQ8" s="13" t="str">
        <f>VLOOKUP(T_Voluntarios[[#This Row],[RUN]],BBDD[],37,FALSE)</f>
        <v>22</v>
      </c>
      <c r="AR8" s="2" t="str">
        <f>VLOOKUP(T_Voluntarios[[#This Row],[RUN]],BBDD[],29,FALSE)</f>
        <v>Estudiante de enfermería</v>
      </c>
      <c r="AS8" s="2" t="str">
        <f>VLOOKUP(T_Voluntarios[[#This Row],[RUN]],BBDD[],30,FALSE)</f>
        <v>7 años</v>
      </c>
      <c r="AT8" s="2" t="str">
        <f>VLOOKUP(T_Voluntarios[[#This Row],[RUN]],BBDD[],31,FALSE)</f>
        <v>1 año</v>
      </c>
      <c r="AU8" s="2" t="str">
        <f>VLOOKUP(T_Voluntarios[[#This Row],[RUN]],BBDD[],32,FALSE)</f>
        <v>Soltero(a)</v>
      </c>
      <c r="AV8" s="2" t="str">
        <f>VLOOKUP(T_Voluntarios[[#This Row],[RUN]],BBDD[],33,FALSE)</f>
        <v>Evangélica</v>
      </c>
      <c r="AW8" s="2" t="str">
        <f>VLOOKUP(T_Voluntarios[[#This Row],[RUN]],BBDD[],34,FALSE)</f>
        <v>Cata</v>
      </c>
      <c r="AX8" s="13" t="s">
        <v>733</v>
      </c>
      <c r="AY8" s="76">
        <f>VLOOKUP(T_Voluntarios[[#This Row],[RUN]],BBDD[],2,FALSE)</f>
        <v>45779.79817820216</v>
      </c>
      <c r="AZ8" s="13" t="s">
        <v>3403</v>
      </c>
    </row>
    <row r="9" spans="1:52" ht="14.4" x14ac:dyDescent="0.3">
      <c r="A9" t="s">
        <v>803</v>
      </c>
      <c r="B9" s="2" t="str">
        <f>VLOOKUP(T_Voluntarios[[#This Row],[RUN]],BBDD[],3,FALSE)</f>
        <v>alejandroquezadacontacto@gmail.com</v>
      </c>
      <c r="C9" s="2" t="str">
        <f>VLOOKUP(T_Voluntarios[[#This Row],[RUN]],BBDD[],4,FALSE)</f>
        <v>Alejandro Antonio Quezada Huenchunao</v>
      </c>
      <c r="D9" s="16">
        <f>VLOOKUP(T_Voluntarios[[#This Row],[RUN]],BBDD[],5,FALSE)</f>
        <v>36633</v>
      </c>
      <c r="E9" s="2" t="str">
        <f>VLOOKUP(T_Voluntarios[[#This Row],[RUN]],BBDD[],6,FALSE)</f>
        <v>Tomás de Aquino 1656</v>
      </c>
      <c r="F9" s="2" t="str">
        <f>VLOOKUP(T_Voluntarios[[#This Row],[RUN]],BBDD[],7,FALSE)</f>
        <v>Los Ángeles</v>
      </c>
      <c r="G9" s="2" t="str">
        <f>VLOOKUP(T_Voluntarios[[#This Row],[RUN]],BBDD[],8,FALSE)</f>
        <v>Celular</v>
      </c>
      <c r="H9" s="2" t="str">
        <f>IF(VLOOKUP(T_Voluntarios[[#This Row],[RUN]],BBDD[],9,FALSE)=0,"Falta",VLOOKUP(T_Voluntarios[[#This Row],[RUN]],BBDD[],9,FALSE))</f>
        <v>+56933932949</v>
      </c>
      <c r="I9" s="2" t="str">
        <f>VLOOKUP(T_Voluntarios[[#This Row],[RUN]],BBDD[],10,FALSE)</f>
        <v>Participante</v>
      </c>
      <c r="J9" s="2" t="str">
        <f>VLOOKUP(T_Voluntarios[[#This Row],[RUN]],BBDD[],11,FALSE)</f>
        <v>Mahuidanche</v>
      </c>
      <c r="K9" s="2" t="str">
        <f>VLOOKUP(T_Voluntarios[[#This Row],[RUN]],BBDD[],12,FALSE)</f>
        <v>Caminantes</v>
      </c>
      <c r="L9" s="2" t="str">
        <f>VLOOKUP(T_Voluntarios[[#This Row],[RUN]],BBDD[],15,FALSE)</f>
        <v>Biobío</v>
      </c>
      <c r="M9" s="2" t="str">
        <f>VLOOKUP(T_Voluntarios[[#This Row],[RUN]],BBDD[],20,FALSE)</f>
        <v>Alimentación Tradicional</v>
      </c>
      <c r="N9" s="2" t="str">
        <f>VLOOKUP(T_Voluntarios[[#This Row],[RUN]],BBDD[],21,FALSE)</f>
        <v>Ninguna</v>
      </c>
      <c r="O9" s="2" t="str">
        <f>VLOOKUP(T_Voluntarios[[#This Row],[RUN]],BBDD[],22,FALSE)</f>
        <v>Ninguna</v>
      </c>
      <c r="P9" s="2" t="str">
        <f>VLOOKUP(T_Voluntarios[[#This Row],[RUN]],BBDD[],23,FALSE)</f>
        <v>Javiera Sáez +56933932949</v>
      </c>
      <c r="Q9" s="2" t="str">
        <f>IF(VLOOKUP(T_Voluntarios[[#This Row],[RUN]],BBDD[],27,FALSE)=0,"",VLOOKUP(T_Voluntarios[[#This Row],[RUN]],BBDD[],27,FALSE))</f>
        <v/>
      </c>
      <c r="R9" s="2" t="str">
        <f>VLOOKUP(T_Voluntarios[[#This Row],[RUN]],BBDD[],36,FALSE)</f>
        <v>https://drive.google.com/open?id=1Vmy5TQY9ge-UvIRttV7jgUGiaQwa_xnM</v>
      </c>
      <c r="S9" s="2" t="str">
        <f>VLOOKUP(T_Voluntarios[[#This Row],[RUN]],BBDD[],16,FALSE)</f>
        <v>Inicial</v>
      </c>
      <c r="T9" s="2" t="str">
        <f>VLOOKUP(T_Voluntarios[[#This Row],[RUN]],BBDD[],17,FALSE)</f>
        <v>Ninguno</v>
      </c>
      <c r="U9" s="2" t="str">
        <f>VLOOKUP(T_Voluntarios[[#This Row],[RUN]],BBDD[],18,FALSE)</f>
        <v>Ninguno</v>
      </c>
      <c r="V9" s="2" t="str">
        <f>VLOOKUP(T_Voluntarios[[#This Row],[RUN]],BBDD[],19,FALSE)</f>
        <v>Ninguno</v>
      </c>
      <c r="W9" s="13" t="str">
        <f>IF(OR(T_Voluntarios[[#This Row],[ROL]]="Formador(a)"),"SI","NO")</f>
        <v>NO</v>
      </c>
      <c r="X9" s="13" t="str">
        <f>IF(ISERROR(VLOOKUP(T_Voluntarios[[#This Row],[RUN]],BBDD_Formadores[],15,FALSE)),"NO",VLOOKUP(T_Voluntarios[[#This Row],[RUN]],BBDD_Formadores[],15,FALSE))</f>
        <v>NO</v>
      </c>
      <c r="Y9" s="13" t="str">
        <f>IF(ISERROR(VLOOKUP(T_Voluntarios[[#This Row],[RUN]],BBDD_Formadores[],16,FALSE)),"NO",VLOOKUP(T_Voluntarios[[#This Row],[RUN]],BBDD_Formadores[],16,FALSE))</f>
        <v>NO</v>
      </c>
      <c r="Z9" s="13" t="str">
        <f>IF(ISERROR(VLOOKUP(T_Voluntarios[[#This Row],[RUN]],BBDD_Formadores[],17,FALSE)),"NO",VLOOKUP(T_Voluntarios[[#This Row],[RUN]],BBDD_Formadores[],17,FALSE))</f>
        <v>NO</v>
      </c>
      <c r="AA9" s="13" t="str">
        <f>IF(ISERROR(VLOOKUP(T_Voluntarios[[#This Row],[RUN]],BBDD_Formadores[],18,FALSE)),"NO",VLOOKUP(T_Voluntarios[[#This Row],[RUN]],BBDD_Formadores[],18,FALSE))</f>
        <v>NO</v>
      </c>
      <c r="AB9" s="13">
        <v>1</v>
      </c>
      <c r="AC9" s="13" t="s">
        <v>1</v>
      </c>
      <c r="AD9" s="13" t="s">
        <v>77</v>
      </c>
      <c r="AF9" s="2" t="str">
        <f>IF(VLOOKUP(T_Voluntarios[[#This Row],[RUN]],BBDD[],25,FALSE)=0,"",VLOOKUP(T_Voluntarios[[#This Row],[RUN]],BBDD[],25,FALSE))</f>
        <v/>
      </c>
      <c r="AG9" s="2" t="str">
        <f>IF(VLOOKUP(T_Voluntarios[[#This Row],[RUN]],BBDD[],26,FALSE)=0,"",VLOOKUP(T_Voluntarios[[#This Row],[RUN]],BBDD[],26,FALSE))</f>
        <v/>
      </c>
      <c r="AH9" s="2" t="str">
        <f>IF(VLOOKUP(T_Voluntarios[[#This Row],[RUN]],BBDD[],24,FALSE)=0,"",VLOOKUP(T_Voluntarios[[#This Row],[RUN]],BBDD[],24,FALSE))</f>
        <v/>
      </c>
      <c r="AI9" s="13" t="str">
        <f>VLOOKUP(T_Voluntarios[[#This Row],[RUN]],BBDD[],28,FALSE)</f>
        <v>SI</v>
      </c>
      <c r="AJ9" s="13" t="str">
        <f>VLOOKUP(T_Voluntarios[[#This Row],[RUN]],BBDD[],28,FALSE)</f>
        <v>SI</v>
      </c>
      <c r="AK9" s="32">
        <f>IF(T_Voluntarios[[#This Row],[ROL]]="Participante",SUMIFS(T_Cuotas[[#All],[Total]],T_Cuotas[[#All],[RUN]],T_Voluntarios[[#This Row],[RUN]]),-1)</f>
        <v>50000</v>
      </c>
      <c r="AL9" s="13" t="s">
        <v>1</v>
      </c>
      <c r="AM9" s="13" t="s">
        <v>2029</v>
      </c>
      <c r="AP9" s="2" t="str">
        <f>MID(T_Voluntarios[[#This Row],[E_MAIL]],SEARCH("@",T_Voluntarios[[#This Row],[E_MAIL]],1),LEN(T_Voluntarios[[#This Row],[E_MAIL]]))</f>
        <v>@gmail.com</v>
      </c>
      <c r="AQ9" s="13" t="str">
        <f>VLOOKUP(T_Voluntarios[[#This Row],[RUN]],BBDD[],37,FALSE)</f>
        <v>25</v>
      </c>
      <c r="AR9" s="2" t="str">
        <f>VLOOKUP(T_Voluntarios[[#This Row],[RUN]],BBDD[],29,FALSE)</f>
        <v>Comunicador Audiovisual</v>
      </c>
      <c r="AS9" s="2" t="str">
        <f>VLOOKUP(T_Voluntarios[[#This Row],[RUN]],BBDD[],30,FALSE)</f>
        <v>7 años</v>
      </c>
      <c r="AT9" s="2" t="str">
        <f>VLOOKUP(T_Voluntarios[[#This Row],[RUN]],BBDD[],31,FALSE)</f>
        <v>5 Meses</v>
      </c>
      <c r="AU9" s="2" t="str">
        <f>VLOOKUP(T_Voluntarios[[#This Row],[RUN]],BBDD[],32,FALSE)</f>
        <v>Soltero(a)</v>
      </c>
      <c r="AV9" s="2" t="str">
        <f>VLOOKUP(T_Voluntarios[[#This Row],[RUN]],BBDD[],33,FALSE)</f>
        <v>Ninguna</v>
      </c>
      <c r="AW9" s="2" t="str">
        <f>VLOOKUP(T_Voluntarios[[#This Row],[RUN]],BBDD[],34,FALSE)</f>
        <v>Ale</v>
      </c>
      <c r="AX9" s="13" t="s">
        <v>733</v>
      </c>
      <c r="AY9" s="76">
        <f>VLOOKUP(T_Voluntarios[[#This Row],[RUN]],BBDD[],2,FALSE)</f>
        <v>45779.8074966821</v>
      </c>
      <c r="AZ9" s="13" t="s">
        <v>3403</v>
      </c>
    </row>
    <row r="10" spans="1:52" ht="14.4" x14ac:dyDescent="0.3">
      <c r="A10" t="s">
        <v>815</v>
      </c>
      <c r="B10" s="2" t="str">
        <f>VLOOKUP(T_Voluntarios[[#This Row],[RUN]],BBDD[],3,FALSE)</f>
        <v>gonza.sandovalito@gmail.com</v>
      </c>
      <c r="C10" s="2" t="str">
        <f>VLOOKUP(T_Voluntarios[[#This Row],[RUN]],BBDD[],4,FALSE)</f>
        <v>Gonzalo Peña Sandoval</v>
      </c>
      <c r="D10" s="16">
        <f>VLOOKUP(T_Voluntarios[[#This Row],[RUN]],BBDD[],5,FALSE)</f>
        <v>37272</v>
      </c>
      <c r="E10" s="2" t="str">
        <f>VLOOKUP(T_Voluntarios[[#This Row],[RUN]],BBDD[],6,FALSE)</f>
        <v>los jazmines 4836</v>
      </c>
      <c r="F10" s="2" t="str">
        <f>VLOOKUP(T_Voluntarios[[#This Row],[RUN]],BBDD[],7,FALSE)</f>
        <v>Talcahuano</v>
      </c>
      <c r="G10" s="2" t="str">
        <f>VLOOKUP(T_Voluntarios[[#This Row],[RUN]],BBDD[],8,FALSE)</f>
        <v>Celular</v>
      </c>
      <c r="H10" s="2" t="str">
        <f>IF(VLOOKUP(T_Voluntarios[[#This Row],[RUN]],BBDD[],9,FALSE)=0,"Falta",VLOOKUP(T_Voluntarios[[#This Row],[RUN]],BBDD[],9,FALSE))</f>
        <v>+56974531813</v>
      </c>
      <c r="I10" s="2" t="str">
        <f>VLOOKUP(T_Voluntarios[[#This Row],[RUN]],BBDD[],10,FALSE)</f>
        <v>Participante</v>
      </c>
      <c r="J10" s="2" t="str">
        <f>VLOOKUP(T_Voluntarios[[#This Row],[RUN]],BBDD[],11,FALSE)</f>
        <v>Helen Keller</v>
      </c>
      <c r="K10" s="2" t="str">
        <f>VLOOKUP(T_Voluntarios[[#This Row],[RUN]],BBDD[],12,FALSE)</f>
        <v>Lobatos</v>
      </c>
      <c r="L10" s="2" t="str">
        <f>VLOOKUP(T_Voluntarios[[#This Row],[RUN]],BBDD[],15,FALSE)</f>
        <v>Talcahuano - Hualpén</v>
      </c>
      <c r="M10" s="2" t="str">
        <f>VLOOKUP(T_Voluntarios[[#This Row],[RUN]],BBDD[],20,FALSE)</f>
        <v>Alimentación Tradicional</v>
      </c>
      <c r="N10" s="2" t="str">
        <f>VLOOKUP(T_Voluntarios[[#This Row],[RUN]],BBDD[],21,FALSE)</f>
        <v>Ninguna</v>
      </c>
      <c r="O10" s="2" t="str">
        <f>VLOOKUP(T_Voluntarios[[#This Row],[RUN]],BBDD[],22,FALSE)</f>
        <v>Movilidad poco limitada</v>
      </c>
      <c r="P10" s="2" t="str">
        <f>VLOOKUP(T_Voluntarios[[#This Row],[RUN]],BBDD[],23,FALSE)</f>
        <v>Hector peña  +56981741669</v>
      </c>
      <c r="Q10" s="2" t="str">
        <f>IF(VLOOKUP(T_Voluntarios[[#This Row],[RUN]],BBDD[],27,FALSE)=0,"",VLOOKUP(T_Voluntarios[[#This Row],[RUN]],BBDD[],27,FALSE))</f>
        <v>Soy una persona con la condicion del transtorno del espectro autista</v>
      </c>
      <c r="R10" s="2" t="str">
        <f>VLOOKUP(T_Voluntarios[[#This Row],[RUN]],BBDD[],36,FALSE)</f>
        <v>https://drive.google.com/open?id=19hr6zLY2DwYLS55JCS_UmtpJ4rDd3Zvo</v>
      </c>
      <c r="S10" s="2" t="str">
        <f>VLOOKUP(T_Voluntarios[[#This Row],[RUN]],BBDD[],16,FALSE)</f>
        <v>Inicial</v>
      </c>
      <c r="T10" s="2" t="str">
        <f>VLOOKUP(T_Voluntarios[[#This Row],[RUN]],BBDD[],17,FALSE)</f>
        <v>Ninguno</v>
      </c>
      <c r="U10" s="2" t="str">
        <f>VLOOKUP(T_Voluntarios[[#This Row],[RUN]],BBDD[],18,FALSE)</f>
        <v>Ninguno</v>
      </c>
      <c r="V10" s="2" t="str">
        <f>VLOOKUP(T_Voluntarios[[#This Row],[RUN]],BBDD[],19,FALSE)</f>
        <v>Ninguno</v>
      </c>
      <c r="W10" s="13" t="str">
        <f>IF(OR(T_Voluntarios[[#This Row],[ROL]]="Formador(a)"),"SI","NO")</f>
        <v>NO</v>
      </c>
      <c r="X10" s="13" t="str">
        <f>IF(ISERROR(VLOOKUP(T_Voluntarios[[#This Row],[RUN]],BBDD_Formadores[],15,FALSE)),"NO",VLOOKUP(T_Voluntarios[[#This Row],[RUN]],BBDD_Formadores[],15,FALSE))</f>
        <v>NO</v>
      </c>
      <c r="Y10" s="13" t="str">
        <f>IF(ISERROR(VLOOKUP(T_Voluntarios[[#This Row],[RUN]],BBDD_Formadores[],16,FALSE)),"NO",VLOOKUP(T_Voluntarios[[#This Row],[RUN]],BBDD_Formadores[],16,FALSE))</f>
        <v>NO</v>
      </c>
      <c r="Z10" s="13" t="str">
        <f>IF(ISERROR(VLOOKUP(T_Voluntarios[[#This Row],[RUN]],BBDD_Formadores[],17,FALSE)),"NO",VLOOKUP(T_Voluntarios[[#This Row],[RUN]],BBDD_Formadores[],17,FALSE))</f>
        <v>NO</v>
      </c>
      <c r="AA10" s="13" t="str">
        <f>IF(ISERROR(VLOOKUP(T_Voluntarios[[#This Row],[RUN]],BBDD_Formadores[],18,FALSE)),"NO",VLOOKUP(T_Voluntarios[[#This Row],[RUN]],BBDD_Formadores[],18,FALSE))</f>
        <v>NO</v>
      </c>
      <c r="AB10" s="13">
        <v>1</v>
      </c>
      <c r="AC10" s="13" t="s">
        <v>1</v>
      </c>
      <c r="AD10" s="13" t="s">
        <v>77</v>
      </c>
      <c r="AF10" s="2" t="str">
        <f>IF(VLOOKUP(T_Voluntarios[[#This Row],[RUN]],BBDD[],25,FALSE)=0,"",VLOOKUP(T_Voluntarios[[#This Row],[RUN]],BBDD[],25,FALSE))</f>
        <v/>
      </c>
      <c r="AG10" s="2" t="str">
        <f>IF(VLOOKUP(T_Voluntarios[[#This Row],[RUN]],BBDD[],26,FALSE)=0,"",VLOOKUP(T_Voluntarios[[#This Row],[RUN]],BBDD[],26,FALSE))</f>
        <v/>
      </c>
      <c r="AH10" s="2" t="str">
        <f>IF(VLOOKUP(T_Voluntarios[[#This Row],[RUN]],BBDD[],24,FALSE)=0,"",VLOOKUP(T_Voluntarios[[#This Row],[RUN]],BBDD[],24,FALSE))</f>
        <v/>
      </c>
      <c r="AI10" s="13" t="str">
        <f>VLOOKUP(T_Voluntarios[[#This Row],[RUN]],BBDD[],28,FALSE)</f>
        <v>SI</v>
      </c>
      <c r="AJ10" s="13" t="str">
        <f>VLOOKUP(T_Voluntarios[[#This Row],[RUN]],BBDD[],28,FALSE)</f>
        <v>SI</v>
      </c>
      <c r="AK10" s="32">
        <f>IF(T_Voluntarios[[#This Row],[ROL]]="Participante",SUMIFS(T_Cuotas[[#All],[Total]],T_Cuotas[[#All],[RUN]],T_Voluntarios[[#This Row],[RUN]]),-1)</f>
        <v>50000</v>
      </c>
      <c r="AL10" s="13" t="s">
        <v>1</v>
      </c>
      <c r="AM10" s="13" t="s">
        <v>2029</v>
      </c>
      <c r="AP10" s="2" t="str">
        <f>MID(T_Voluntarios[[#This Row],[E_MAIL]],SEARCH("@",T_Voluntarios[[#This Row],[E_MAIL]],1),LEN(T_Voluntarios[[#This Row],[E_MAIL]]))</f>
        <v>@gmail.com</v>
      </c>
      <c r="AQ10" s="13" t="str">
        <f>VLOOKUP(T_Voluntarios[[#This Row],[RUN]],BBDD[],37,FALSE)</f>
        <v>23</v>
      </c>
      <c r="AR10" s="2" t="str">
        <f>VLOOKUP(T_Voluntarios[[#This Row],[RUN]],BBDD[],29,FALSE)</f>
        <v>Estudiante</v>
      </c>
      <c r="AS10" s="2" t="str">
        <f>VLOOKUP(T_Voluntarios[[#This Row],[RUN]],BBDD[],30,FALSE)</f>
        <v>Desde los 9 a 21 años</v>
      </c>
      <c r="AT10" s="2" t="str">
        <f>VLOOKUP(T_Voluntarios[[#This Row],[RUN]],BBDD[],31,FALSE)</f>
        <v>1 año</v>
      </c>
      <c r="AU10" s="2" t="str">
        <f>VLOOKUP(T_Voluntarios[[#This Row],[RUN]],BBDD[],32,FALSE)</f>
        <v>Soltero(a)</v>
      </c>
      <c r="AV10" s="2" t="str">
        <f>VLOOKUP(T_Voluntarios[[#This Row],[RUN]],BBDD[],33,FALSE)</f>
        <v>Ninguna</v>
      </c>
      <c r="AW10" s="2" t="str">
        <f>VLOOKUP(T_Voluntarios[[#This Row],[RUN]],BBDD[],34,FALSE)</f>
        <v>Golazo</v>
      </c>
      <c r="AX10" s="13" t="s">
        <v>733</v>
      </c>
      <c r="AY10" s="76">
        <f>VLOOKUP(T_Voluntarios[[#This Row],[RUN]],BBDD[],2,FALSE)</f>
        <v>45779.845802199074</v>
      </c>
      <c r="AZ10" s="13" t="s">
        <v>3403</v>
      </c>
    </row>
    <row r="11" spans="1:52" ht="14.4" x14ac:dyDescent="0.3">
      <c r="A11" t="s">
        <v>828</v>
      </c>
      <c r="B11" s="2" t="str">
        <f>VLOOKUP(T_Voluntarios[[#This Row],[RUN]],BBDD[],3,FALSE)</f>
        <v>estebangop@gmail.com</v>
      </c>
      <c r="C11" s="2" t="str">
        <f>VLOOKUP(T_Voluntarios[[#This Row],[RUN]],BBDD[],4,FALSE)</f>
        <v>Esteban Gustavo Ortiz Pezo</v>
      </c>
      <c r="D11" s="16">
        <f>VLOOKUP(T_Voluntarios[[#This Row],[RUN]],BBDD[],5,FALSE)</f>
        <v>37295</v>
      </c>
      <c r="E11" s="2" t="str">
        <f>VLOOKUP(T_Voluntarios[[#This Row],[RUN]],BBDD[],6,FALSE)</f>
        <v>Psj José Antonio villa gran 370 población Carlos Ibáñez del campo sector los lirios concepción</v>
      </c>
      <c r="F11" s="2" t="str">
        <f>VLOOKUP(T_Voluntarios[[#This Row],[RUN]],BBDD[],7,FALSE)</f>
        <v>Concepción</v>
      </c>
      <c r="G11" s="2" t="str">
        <f>VLOOKUP(T_Voluntarios[[#This Row],[RUN]],BBDD[],8,FALSE)</f>
        <v>Celular</v>
      </c>
      <c r="H11" s="2" t="str">
        <f>IF(VLOOKUP(T_Voluntarios[[#This Row],[RUN]],BBDD[],9,FALSE)=0,"Falta",VLOOKUP(T_Voluntarios[[#This Row],[RUN]],BBDD[],9,FALSE))</f>
        <v>+56964856859</v>
      </c>
      <c r="I11" s="2" t="str">
        <f>VLOOKUP(T_Voluntarios[[#This Row],[RUN]],BBDD[],10,FALSE)</f>
        <v>Participante</v>
      </c>
      <c r="J11" s="2" t="str">
        <f>VLOOKUP(T_Voluntarios[[#This Row],[RUN]],BBDD[],11,FALSE)</f>
        <v>Rañileufu</v>
      </c>
      <c r="K11" s="2" t="str">
        <f>VLOOKUP(T_Voluntarios[[#This Row],[RUN]],BBDD[],12,FALSE)</f>
        <v>Scouts</v>
      </c>
      <c r="L11" s="2" t="str">
        <f>VLOOKUP(T_Voluntarios[[#This Row],[RUN]],BBDD[],15,FALSE)</f>
        <v>Concepción</v>
      </c>
      <c r="M11" s="2" t="str">
        <f>VLOOKUP(T_Voluntarios[[#This Row],[RUN]],BBDD[],20,FALSE)</f>
        <v>Alimentación Tradicional</v>
      </c>
      <c r="N11" s="2" t="str">
        <f>VLOOKUP(T_Voluntarios[[#This Row],[RUN]],BBDD[],21,FALSE)</f>
        <v>Lactosa</v>
      </c>
      <c r="O11" s="2" t="str">
        <f>VLOOKUP(T_Voluntarios[[#This Row],[RUN]],BBDD[],22,FALSE)</f>
        <v>Ninguna</v>
      </c>
      <c r="P11" s="2" t="str">
        <f>VLOOKUP(T_Voluntarios[[#This Row],[RUN]],BBDD[],23,FALSE)</f>
        <v>Catalina Velasquez, 9 59641563</v>
      </c>
      <c r="Q11" s="2" t="str">
        <f>IF(VLOOKUP(T_Voluntarios[[#This Row],[RUN]],BBDD[],27,FALSE)=0,"",VLOOKUP(T_Voluntarios[[#This Row],[RUN]],BBDD[],27,FALSE))</f>
        <v/>
      </c>
      <c r="R11" s="2" t="str">
        <f>VLOOKUP(T_Voluntarios[[#This Row],[RUN]],BBDD[],36,FALSE)</f>
        <v>https://drive.google.com/open?id=1FhlMEhCe0IiX7WuxWIz7aXD0FYMzn0NQ</v>
      </c>
      <c r="S11" s="2" t="str">
        <f>VLOOKUP(T_Voluntarios[[#This Row],[RUN]],BBDD[],16,FALSE)</f>
        <v>Inicial</v>
      </c>
      <c r="T11" s="2" t="str">
        <f>VLOOKUP(T_Voluntarios[[#This Row],[RUN]],BBDD[],17,FALSE)</f>
        <v>Ninguno</v>
      </c>
      <c r="U11" s="2" t="str">
        <f>VLOOKUP(T_Voluntarios[[#This Row],[RUN]],BBDD[],18,FALSE)</f>
        <v>Ninguno</v>
      </c>
      <c r="V11" s="2" t="str">
        <f>VLOOKUP(T_Voluntarios[[#This Row],[RUN]],BBDD[],19,FALSE)</f>
        <v>Ninguno</v>
      </c>
      <c r="W11" s="13" t="str">
        <f>IF(OR(T_Voluntarios[[#This Row],[ROL]]="Formador(a)"),"SI","NO")</f>
        <v>NO</v>
      </c>
      <c r="X11" s="13" t="str">
        <f>IF(ISERROR(VLOOKUP(T_Voluntarios[[#This Row],[RUN]],BBDD_Formadores[],15,FALSE)),"NO",VLOOKUP(T_Voluntarios[[#This Row],[RUN]],BBDD_Formadores[],15,FALSE))</f>
        <v>NO</v>
      </c>
      <c r="Y11" s="13" t="str">
        <f>IF(ISERROR(VLOOKUP(T_Voluntarios[[#This Row],[RUN]],BBDD_Formadores[],16,FALSE)),"NO",VLOOKUP(T_Voluntarios[[#This Row],[RUN]],BBDD_Formadores[],16,FALSE))</f>
        <v>NO</v>
      </c>
      <c r="Z11" s="13" t="str">
        <f>IF(ISERROR(VLOOKUP(T_Voluntarios[[#This Row],[RUN]],BBDD_Formadores[],17,FALSE)),"NO",VLOOKUP(T_Voluntarios[[#This Row],[RUN]],BBDD_Formadores[],17,FALSE))</f>
        <v>NO</v>
      </c>
      <c r="AA11" s="13" t="str">
        <f>IF(ISERROR(VLOOKUP(T_Voluntarios[[#This Row],[RUN]],BBDD_Formadores[],18,FALSE)),"NO",VLOOKUP(T_Voluntarios[[#This Row],[RUN]],BBDD_Formadores[],18,FALSE))</f>
        <v>NO</v>
      </c>
      <c r="AB11" s="13">
        <v>1</v>
      </c>
      <c r="AC11" s="13" t="s">
        <v>1597</v>
      </c>
      <c r="AD11" s="13" t="s">
        <v>78</v>
      </c>
      <c r="AF11" s="2" t="str">
        <f>IF(VLOOKUP(T_Voluntarios[[#This Row],[RUN]],BBDD[],25,FALSE)=0,"",VLOOKUP(T_Voluntarios[[#This Row],[RUN]],BBDD[],25,FALSE))</f>
        <v/>
      </c>
      <c r="AG11" s="2" t="str">
        <f>IF(VLOOKUP(T_Voluntarios[[#This Row],[RUN]],BBDD[],26,FALSE)=0,"",VLOOKUP(T_Voluntarios[[#This Row],[RUN]],BBDD[],26,FALSE))</f>
        <v/>
      </c>
      <c r="AH11" s="2" t="str">
        <f>IF(VLOOKUP(T_Voluntarios[[#This Row],[RUN]],BBDD[],24,FALSE)=0,"",VLOOKUP(T_Voluntarios[[#This Row],[RUN]],BBDD[],24,FALSE))</f>
        <v/>
      </c>
      <c r="AI11" s="13" t="str">
        <f>VLOOKUP(T_Voluntarios[[#This Row],[RUN]],BBDD[],28,FALSE)</f>
        <v>SI</v>
      </c>
      <c r="AJ11" s="13" t="str">
        <f>VLOOKUP(T_Voluntarios[[#This Row],[RUN]],BBDD[],28,FALSE)</f>
        <v>SI</v>
      </c>
      <c r="AK11" s="32">
        <f>IF(T_Voluntarios[[#This Row],[ROL]]="Participante",SUMIFS(T_Cuotas[[#All],[Total]],T_Cuotas[[#All],[RUN]],T_Voluntarios[[#This Row],[RUN]]),-1)</f>
        <v>0</v>
      </c>
      <c r="AL11" s="13" t="s">
        <v>78</v>
      </c>
      <c r="AM11" s="13" t="s">
        <v>733</v>
      </c>
      <c r="AN11" s="2" t="s">
        <v>3231</v>
      </c>
      <c r="AP11" s="2" t="str">
        <f>MID(T_Voluntarios[[#This Row],[E_MAIL]],SEARCH("@",T_Voluntarios[[#This Row],[E_MAIL]],1),LEN(T_Voluntarios[[#This Row],[E_MAIL]]))</f>
        <v>@gmail.com</v>
      </c>
      <c r="AQ11" s="13" t="str">
        <f>VLOOKUP(T_Voluntarios[[#This Row],[RUN]],BBDD[],37,FALSE)</f>
        <v>23</v>
      </c>
      <c r="AR11" s="2" t="str">
        <f>VLOOKUP(T_Voluntarios[[#This Row],[RUN]],BBDD[],29,FALSE)</f>
        <v>Tens</v>
      </c>
      <c r="AS11" s="2" t="str">
        <f>VLOOKUP(T_Voluntarios[[#This Row],[RUN]],BBDD[],30,FALSE)</f>
        <v>7 años</v>
      </c>
      <c r="AT11" s="2" t="str">
        <f>VLOOKUP(T_Voluntarios[[#This Row],[RUN]],BBDD[],31,FALSE)</f>
        <v>2 años</v>
      </c>
      <c r="AU11" s="2" t="str">
        <f>VLOOKUP(T_Voluntarios[[#This Row],[RUN]],BBDD[],32,FALSE)</f>
        <v>Soltero(a)</v>
      </c>
      <c r="AV11" s="2" t="str">
        <f>VLOOKUP(T_Voluntarios[[#This Row],[RUN]],BBDD[],33,FALSE)</f>
        <v>Católica</v>
      </c>
      <c r="AW11" s="2" t="str">
        <f>VLOOKUP(T_Voluntarios[[#This Row],[RUN]],BBDD[],34,FALSE)</f>
        <v>MOAI</v>
      </c>
      <c r="AX11" s="13" t="s">
        <v>733</v>
      </c>
      <c r="AY11" s="76">
        <f>VLOOKUP(T_Voluntarios[[#This Row],[RUN]],BBDD[],2,FALSE)</f>
        <v>45779.880184452159</v>
      </c>
      <c r="AZ11" s="13" t="s">
        <v>2</v>
      </c>
    </row>
    <row r="12" spans="1:52" ht="14.4" x14ac:dyDescent="0.3">
      <c r="A12" t="s">
        <v>838</v>
      </c>
      <c r="B12" s="2" t="str">
        <f>VLOOKUP(T_Voluntarios[[#This Row],[RUN]],BBDD[],3,FALSE)</f>
        <v>chaminherrera2.3@gmail.com</v>
      </c>
      <c r="C12" s="2" t="str">
        <f>VLOOKUP(T_Voluntarios[[#This Row],[RUN]],BBDD[],4,FALSE)</f>
        <v>Benjamin Ignacio Herrera Acevedo</v>
      </c>
      <c r="D12" s="16">
        <f>VLOOKUP(T_Voluntarios[[#This Row],[RUN]],BBDD[],5,FALSE)</f>
        <v>38597</v>
      </c>
      <c r="E12" s="2" t="str">
        <f>VLOOKUP(T_Voluntarios[[#This Row],[RUN]],BBDD[],6,FALSE)</f>
        <v>Hamburgo 2589</v>
      </c>
      <c r="F12" s="2" t="str">
        <f>VLOOKUP(T_Voluntarios[[#This Row],[RUN]],BBDD[],7,FALSE)</f>
        <v>Hualpén</v>
      </c>
      <c r="G12" s="2" t="str">
        <f>VLOOKUP(T_Voluntarios[[#This Row],[RUN]],BBDD[],8,FALSE)</f>
        <v>Celular</v>
      </c>
      <c r="H12" s="2" t="str">
        <f>IF(VLOOKUP(T_Voluntarios[[#This Row],[RUN]],BBDD[],9,FALSE)=0,"Falta",VLOOKUP(T_Voluntarios[[#This Row],[RUN]],BBDD[],9,FALSE))</f>
        <v>+56949310990</v>
      </c>
      <c r="I12" s="2" t="str">
        <f>VLOOKUP(T_Voluntarios[[#This Row],[RUN]],BBDD[],10,FALSE)</f>
        <v>Participante</v>
      </c>
      <c r="J12" s="2" t="str">
        <f>VLOOKUP(T_Voluntarios[[#This Row],[RUN]],BBDD[],11,FALSE)</f>
        <v>Salesianos Concepción</v>
      </c>
      <c r="K12" s="2" t="str">
        <f>VLOOKUP(T_Voluntarios[[#This Row],[RUN]],BBDD[],12,FALSE)</f>
        <v>Lobatos</v>
      </c>
      <c r="L12" s="2" t="str">
        <f>VLOOKUP(T_Voluntarios[[#This Row],[RUN]],BBDD[],15,FALSE)</f>
        <v>Rio Andalién</v>
      </c>
      <c r="M12" s="2" t="str">
        <f>VLOOKUP(T_Voluntarios[[#This Row],[RUN]],BBDD[],20,FALSE)</f>
        <v>Alimentación Tradicional</v>
      </c>
      <c r="N12" s="2" t="str">
        <f>VLOOKUP(T_Voluntarios[[#This Row],[RUN]],BBDD[],21,FALSE)</f>
        <v>Intolerancia a la lactosa</v>
      </c>
      <c r="O12" s="2" t="str">
        <f>VLOOKUP(T_Voluntarios[[#This Row],[RUN]],BBDD[],22,FALSE)</f>
        <v>Asma</v>
      </c>
      <c r="P12" s="2" t="str">
        <f>VLOOKUP(T_Voluntarios[[#This Row],[RUN]],BBDD[],23,FALSE)</f>
        <v>Violeta Acevedo 990900350</v>
      </c>
      <c r="Q12" s="2" t="str">
        <f>IF(VLOOKUP(T_Voluntarios[[#This Row],[RUN]],BBDD[],27,FALSE)=0,"",VLOOKUP(T_Voluntarios[[#This Row],[RUN]],BBDD[],27,FALSE))</f>
        <v/>
      </c>
      <c r="R12" s="2" t="str">
        <f>VLOOKUP(T_Voluntarios[[#This Row],[RUN]],BBDD[],36,FALSE)</f>
        <v>https://drive.google.com/open?id=1nkA5khAZQVKpYNjLckI05354uoNr0ygJ</v>
      </c>
      <c r="S12" s="2" t="str">
        <f>VLOOKUP(T_Voluntarios[[#This Row],[RUN]],BBDD[],16,FALSE)</f>
        <v>Ninguno</v>
      </c>
      <c r="T12" s="2" t="str">
        <f>VLOOKUP(T_Voluntarios[[#This Row],[RUN]],BBDD[],17,FALSE)</f>
        <v>Ninguno</v>
      </c>
      <c r="U12" s="2" t="str">
        <f>VLOOKUP(T_Voluntarios[[#This Row],[RUN]],BBDD[],18,FALSE)</f>
        <v>Ninguno</v>
      </c>
      <c r="V12" s="2" t="str">
        <f>VLOOKUP(T_Voluntarios[[#This Row],[RUN]],BBDD[],19,FALSE)</f>
        <v>Ninguno</v>
      </c>
      <c r="W12" s="13" t="str">
        <f>IF(OR(T_Voluntarios[[#This Row],[ROL]]="Formador(a)"),"SI","NO")</f>
        <v>NO</v>
      </c>
      <c r="X12" s="13" t="str">
        <f>IF(ISERROR(VLOOKUP(T_Voluntarios[[#This Row],[RUN]],BBDD_Formadores[],15,FALSE)),"NO",VLOOKUP(T_Voluntarios[[#This Row],[RUN]],BBDD_Formadores[],15,FALSE))</f>
        <v>NO</v>
      </c>
      <c r="Y12" s="13" t="str">
        <f>IF(ISERROR(VLOOKUP(T_Voluntarios[[#This Row],[RUN]],BBDD_Formadores[],16,FALSE)),"NO",VLOOKUP(T_Voluntarios[[#This Row],[RUN]],BBDD_Formadores[],16,FALSE))</f>
        <v>NO</v>
      </c>
      <c r="Z12" s="13" t="str">
        <f>IF(ISERROR(VLOOKUP(T_Voluntarios[[#This Row],[RUN]],BBDD_Formadores[],17,FALSE)),"NO",VLOOKUP(T_Voluntarios[[#This Row],[RUN]],BBDD_Formadores[],17,FALSE))</f>
        <v>NO</v>
      </c>
      <c r="AA12" s="13" t="str">
        <f>IF(ISERROR(VLOOKUP(T_Voluntarios[[#This Row],[RUN]],BBDD_Formadores[],18,FALSE)),"NO",VLOOKUP(T_Voluntarios[[#This Row],[RUN]],BBDD_Formadores[],18,FALSE))</f>
        <v>NO</v>
      </c>
      <c r="AB12" s="13">
        <v>1</v>
      </c>
      <c r="AC12" s="13" t="s">
        <v>1</v>
      </c>
      <c r="AD12" s="13" t="s">
        <v>77</v>
      </c>
      <c r="AF12" s="2" t="str">
        <f>IF(VLOOKUP(T_Voluntarios[[#This Row],[RUN]],BBDD[],25,FALSE)=0,"",VLOOKUP(T_Voluntarios[[#This Row],[RUN]],BBDD[],25,FALSE))</f>
        <v/>
      </c>
      <c r="AG12" s="2" t="str">
        <f>IF(VLOOKUP(T_Voluntarios[[#This Row],[RUN]],BBDD[],26,FALSE)=0,"",VLOOKUP(T_Voluntarios[[#This Row],[RUN]],BBDD[],26,FALSE))</f>
        <v/>
      </c>
      <c r="AH12" s="2" t="str">
        <f>IF(VLOOKUP(T_Voluntarios[[#This Row],[RUN]],BBDD[],24,FALSE)=0,"",VLOOKUP(T_Voluntarios[[#This Row],[RUN]],BBDD[],24,FALSE))</f>
        <v/>
      </c>
      <c r="AI12" s="13" t="str">
        <f>VLOOKUP(T_Voluntarios[[#This Row],[RUN]],BBDD[],28,FALSE)</f>
        <v>SI</v>
      </c>
      <c r="AJ12" s="13" t="str">
        <f>VLOOKUP(T_Voluntarios[[#This Row],[RUN]],BBDD[],28,FALSE)</f>
        <v>SI</v>
      </c>
      <c r="AK12" s="32">
        <f>IF(T_Voluntarios[[#This Row],[ROL]]="Participante",SUMIFS(T_Cuotas[[#All],[Total]],T_Cuotas[[#All],[RUN]],T_Voluntarios[[#This Row],[RUN]]),-1)</f>
        <v>50000</v>
      </c>
      <c r="AL12" s="13" t="s">
        <v>1</v>
      </c>
      <c r="AM12" s="13" t="s">
        <v>2029</v>
      </c>
      <c r="AP12" s="2" t="str">
        <f>MID(T_Voluntarios[[#This Row],[E_MAIL]],SEARCH("@",T_Voluntarios[[#This Row],[E_MAIL]],1),LEN(T_Voluntarios[[#This Row],[E_MAIL]]))</f>
        <v>@gmail.com</v>
      </c>
      <c r="AQ12" s="13" t="str">
        <f>VLOOKUP(T_Voluntarios[[#This Row],[RUN]],BBDD[],37,FALSE)</f>
        <v>19</v>
      </c>
      <c r="AR12" s="2" t="str">
        <f>VLOOKUP(T_Voluntarios[[#This Row],[RUN]],BBDD[],29,FALSE)</f>
        <v>Estudiante</v>
      </c>
      <c r="AS12" s="2" t="str">
        <f>VLOOKUP(T_Voluntarios[[#This Row],[RUN]],BBDD[],30,FALSE)</f>
        <v>8 años</v>
      </c>
      <c r="AT12" s="2" t="str">
        <f>VLOOKUP(T_Voluntarios[[#This Row],[RUN]],BBDD[],31,FALSE)</f>
        <v>0</v>
      </c>
      <c r="AU12" s="2" t="str">
        <f>VLOOKUP(T_Voluntarios[[#This Row],[RUN]],BBDD[],32,FALSE)</f>
        <v>Soltero(a)</v>
      </c>
      <c r="AV12" s="2" t="str">
        <f>VLOOKUP(T_Voluntarios[[#This Row],[RUN]],BBDD[],33,FALSE)</f>
        <v>Católica</v>
      </c>
      <c r="AW12" s="2" t="str">
        <f>VLOOKUP(T_Voluntarios[[#This Row],[RUN]],BBDD[],34,FALSE)</f>
        <v>Herrera</v>
      </c>
      <c r="AX12" s="13" t="s">
        <v>733</v>
      </c>
      <c r="AY12" s="76">
        <f>VLOOKUP(T_Voluntarios[[#This Row],[RUN]],BBDD[],2,FALSE)</f>
        <v>45779.922843749999</v>
      </c>
      <c r="AZ12" s="13" t="s">
        <v>3403</v>
      </c>
    </row>
    <row r="13" spans="1:52" ht="14.4" x14ac:dyDescent="0.3">
      <c r="A13" t="s">
        <v>851</v>
      </c>
      <c r="B13" s="2" t="str">
        <f>VLOOKUP(T_Voluntarios[[#This Row],[RUN]],BBDD[],3,FALSE)</f>
        <v>niigvipa@gmail.com</v>
      </c>
      <c r="C13" s="2" t="str">
        <f>VLOOKUP(T_Voluntarios[[#This Row],[RUN]],BBDD[],4,FALSE)</f>
        <v>Nicolás Ignacio Villanueva Parodi</v>
      </c>
      <c r="D13" s="16">
        <f>VLOOKUP(T_Voluntarios[[#This Row],[RUN]],BBDD[],5,FALSE)</f>
        <v>37765</v>
      </c>
      <c r="E13" s="2" t="str">
        <f>VLOOKUP(T_Voluntarios[[#This Row],[RUN]],BBDD[],6,FALSE)</f>
        <v>Sor María Josefina Cavada 639</v>
      </c>
      <c r="F13" s="2" t="str">
        <f>VLOOKUP(T_Voluntarios[[#This Row],[RUN]],BBDD[],7,FALSE)</f>
        <v>Concepción</v>
      </c>
      <c r="G13" s="2" t="str">
        <f>VLOOKUP(T_Voluntarios[[#This Row],[RUN]],BBDD[],8,FALSE)</f>
        <v>Celular</v>
      </c>
      <c r="H13" s="2" t="str">
        <f>IF(VLOOKUP(T_Voluntarios[[#This Row],[RUN]],BBDD[],9,FALSE)=0,"Falta",VLOOKUP(T_Voluntarios[[#This Row],[RUN]],BBDD[],9,FALSE))</f>
        <v>+56957805108</v>
      </c>
      <c r="I13" s="2" t="str">
        <f>VLOOKUP(T_Voluntarios[[#This Row],[RUN]],BBDD[],10,FALSE)</f>
        <v>Participante</v>
      </c>
      <c r="J13" s="2" t="str">
        <f>VLOOKUP(T_Voluntarios[[#This Row],[RUN]],BBDD[],11,FALSE)</f>
        <v>Alfa Cruz</v>
      </c>
      <c r="K13" s="2" t="str">
        <f>VLOOKUP(T_Voluntarios[[#This Row],[RUN]],BBDD[],12,FALSE)</f>
        <v>Guias</v>
      </c>
      <c r="L13" s="2" t="str">
        <f>VLOOKUP(T_Voluntarios[[#This Row],[RUN]],BBDD[],15,FALSE)</f>
        <v>Rio Andalién</v>
      </c>
      <c r="M13" s="2" t="str">
        <f>VLOOKUP(T_Voluntarios[[#This Row],[RUN]],BBDD[],20,FALSE)</f>
        <v>Sin Almuerzo</v>
      </c>
      <c r="N13" s="2" t="str">
        <f>VLOOKUP(T_Voluntarios[[#This Row],[RUN]],BBDD[],21,FALSE)</f>
        <v>Ninguna</v>
      </c>
      <c r="O13" s="2" t="str">
        <f>VLOOKUP(T_Voluntarios[[#This Row],[RUN]],BBDD[],22,FALSE)</f>
        <v>Ninguna</v>
      </c>
      <c r="P13" s="2" t="str">
        <f>VLOOKUP(T_Voluntarios[[#This Row],[RUN]],BBDD[],23,FALSE)</f>
        <v>Macarena Parodi +56944016104</v>
      </c>
      <c r="Q13" s="2" t="str">
        <f>IF(VLOOKUP(T_Voluntarios[[#This Row],[RUN]],BBDD[],27,FALSE)=0,"",VLOOKUP(T_Voluntarios[[#This Row],[RUN]],BBDD[],27,FALSE))</f>
        <v/>
      </c>
      <c r="R13" s="2" t="str">
        <f>VLOOKUP(T_Voluntarios[[#This Row],[RUN]],BBDD[],36,FALSE)</f>
        <v>https://drive.google.com/open?id=1eGlvwNbp07j_pSioBCjhCpgURWPjKEIRWJcXBMzOdjo</v>
      </c>
      <c r="S13" s="2" t="str">
        <f>VLOOKUP(T_Voluntarios[[#This Row],[RUN]],BBDD[],16,FALSE)</f>
        <v>Inicial</v>
      </c>
      <c r="T13" s="2" t="str">
        <f>VLOOKUP(T_Voluntarios[[#This Row],[RUN]],BBDD[],17,FALSE)</f>
        <v>Ninguno</v>
      </c>
      <c r="U13" s="2" t="str">
        <f>VLOOKUP(T_Voluntarios[[#This Row],[RUN]],BBDD[],18,FALSE)</f>
        <v>Ninguno</v>
      </c>
      <c r="V13" s="2" t="str">
        <f>VLOOKUP(T_Voluntarios[[#This Row],[RUN]],BBDD[],19,FALSE)</f>
        <v>Ninguno</v>
      </c>
      <c r="W13" s="13" t="str">
        <f>IF(OR(T_Voluntarios[[#This Row],[ROL]]="Formador(a)"),"SI","NO")</f>
        <v>NO</v>
      </c>
      <c r="X13" s="13" t="str">
        <f>IF(ISERROR(VLOOKUP(T_Voluntarios[[#This Row],[RUN]],BBDD_Formadores[],15,FALSE)),"NO",VLOOKUP(T_Voluntarios[[#This Row],[RUN]],BBDD_Formadores[],15,FALSE))</f>
        <v>NO</v>
      </c>
      <c r="Y13" s="13" t="str">
        <f>IF(ISERROR(VLOOKUP(T_Voluntarios[[#This Row],[RUN]],BBDD_Formadores[],16,FALSE)),"NO",VLOOKUP(T_Voluntarios[[#This Row],[RUN]],BBDD_Formadores[],16,FALSE))</f>
        <v>NO</v>
      </c>
      <c r="Z13" s="13" t="str">
        <f>IF(ISERROR(VLOOKUP(T_Voluntarios[[#This Row],[RUN]],BBDD_Formadores[],17,FALSE)),"NO",VLOOKUP(T_Voluntarios[[#This Row],[RUN]],BBDD_Formadores[],17,FALSE))</f>
        <v>NO</v>
      </c>
      <c r="AA13" s="13" t="str">
        <f>IF(ISERROR(VLOOKUP(T_Voluntarios[[#This Row],[RUN]],BBDD_Formadores[],18,FALSE)),"NO",VLOOKUP(T_Voluntarios[[#This Row],[RUN]],BBDD_Formadores[],18,FALSE))</f>
        <v>NO</v>
      </c>
      <c r="AB13" s="13">
        <v>1</v>
      </c>
      <c r="AC13" s="13" t="s">
        <v>1597</v>
      </c>
      <c r="AD13" s="13" t="s">
        <v>78</v>
      </c>
      <c r="AF13" s="2" t="str">
        <f>IF(VLOOKUP(T_Voluntarios[[#This Row],[RUN]],BBDD[],25,FALSE)=0,"",VLOOKUP(T_Voluntarios[[#This Row],[RUN]],BBDD[],25,FALSE))</f>
        <v/>
      </c>
      <c r="AG13" s="2" t="str">
        <f>IF(VLOOKUP(T_Voluntarios[[#This Row],[RUN]],BBDD[],26,FALSE)=0,"",VLOOKUP(T_Voluntarios[[#This Row],[RUN]],BBDD[],26,FALSE))</f>
        <v/>
      </c>
      <c r="AH13" s="2" t="str">
        <f>IF(VLOOKUP(T_Voluntarios[[#This Row],[RUN]],BBDD[],24,FALSE)=0,"",VLOOKUP(T_Voluntarios[[#This Row],[RUN]],BBDD[],24,FALSE))</f>
        <v/>
      </c>
      <c r="AI13" s="13" t="str">
        <f>VLOOKUP(T_Voluntarios[[#This Row],[RUN]],BBDD[],28,FALSE)</f>
        <v>No</v>
      </c>
      <c r="AJ13" s="13" t="str">
        <f>VLOOKUP(T_Voluntarios[[#This Row],[RUN]],BBDD[],28,FALSE)</f>
        <v>No</v>
      </c>
      <c r="AK13" s="32">
        <f>IF(T_Voluntarios[[#This Row],[ROL]]="Participante",SUMIFS(T_Cuotas[[#All],[Total]],T_Cuotas[[#All],[RUN]],T_Voluntarios[[#This Row],[RUN]]),-1)</f>
        <v>0</v>
      </c>
      <c r="AL13" s="13" t="s">
        <v>78</v>
      </c>
      <c r="AM13" s="13" t="s">
        <v>733</v>
      </c>
      <c r="AP13" s="2" t="str">
        <f>MID(T_Voluntarios[[#This Row],[E_MAIL]],SEARCH("@",T_Voluntarios[[#This Row],[E_MAIL]],1),LEN(T_Voluntarios[[#This Row],[E_MAIL]]))</f>
        <v>@gmail.com</v>
      </c>
      <c r="AQ13" s="13" t="str">
        <f>VLOOKUP(T_Voluntarios[[#This Row],[RUN]],BBDD[],37,FALSE)</f>
        <v>22</v>
      </c>
      <c r="AR13" s="2" t="str">
        <f>VLOOKUP(T_Voluntarios[[#This Row],[RUN]],BBDD[],29,FALSE)</f>
        <v>Estudiante</v>
      </c>
      <c r="AS13" s="2" t="str">
        <f>VLOOKUP(T_Voluntarios[[#This Row],[RUN]],BBDD[],30,FALSE)</f>
        <v>7 años aprox</v>
      </c>
      <c r="AT13" s="2" t="str">
        <f>VLOOKUP(T_Voluntarios[[#This Row],[RUN]],BBDD[],31,FALSE)</f>
        <v>2 años</v>
      </c>
      <c r="AU13" s="2" t="str">
        <f>VLOOKUP(T_Voluntarios[[#This Row],[RUN]],BBDD[],32,FALSE)</f>
        <v>Soltero(a)</v>
      </c>
      <c r="AV13" s="2" t="str">
        <f>VLOOKUP(T_Voluntarios[[#This Row],[RUN]],BBDD[],33,FALSE)</f>
        <v>Ninguna</v>
      </c>
      <c r="AW13" s="2" t="str">
        <f>VLOOKUP(T_Voluntarios[[#This Row],[RUN]],BBDD[],34,FALSE)</f>
        <v>Niko</v>
      </c>
      <c r="AX13" s="13" t="s">
        <v>733</v>
      </c>
      <c r="AY13" s="76">
        <f>VLOOKUP(T_Voluntarios[[#This Row],[RUN]],BBDD[],2,FALSE)</f>
        <v>45779.939551041665</v>
      </c>
      <c r="AZ13" s="13" t="s">
        <v>2</v>
      </c>
    </row>
    <row r="14" spans="1:52" ht="14.4" x14ac:dyDescent="0.3">
      <c r="A14" t="s">
        <v>860</v>
      </c>
      <c r="B14" s="2" t="str">
        <f>VLOOKUP(T_Voluntarios[[#This Row],[RUN]],BBDD[],3,FALSE)</f>
        <v>nachogoncar02@gmail.com</v>
      </c>
      <c r="C14" s="2" t="str">
        <f>VLOOKUP(T_Voluntarios[[#This Row],[RUN]],BBDD[],4,FALSE)</f>
        <v>Ignacio Antonio González Carrasco</v>
      </c>
      <c r="D14" s="16">
        <f>VLOOKUP(T_Voluntarios[[#This Row],[RUN]],BBDD[],5,FALSE)</f>
        <v>37575</v>
      </c>
      <c r="E14" s="2" t="str">
        <f>VLOOKUP(T_Voluntarios[[#This Row],[RUN]],BBDD[],6,FALSE)</f>
        <v>Pasaje ainavillo 1611 Barrio norte</v>
      </c>
      <c r="F14" s="2" t="str">
        <f>VLOOKUP(T_Voluntarios[[#This Row],[RUN]],BBDD[],7,FALSE)</f>
        <v>Concepción</v>
      </c>
      <c r="G14" s="2" t="str">
        <f>VLOOKUP(T_Voluntarios[[#This Row],[RUN]],BBDD[],8,FALSE)</f>
        <v>Celular</v>
      </c>
      <c r="H14" s="2" t="str">
        <f>IF(VLOOKUP(T_Voluntarios[[#This Row],[RUN]],BBDD[],9,FALSE)=0,"Falta",VLOOKUP(T_Voluntarios[[#This Row],[RUN]],BBDD[],9,FALSE))</f>
        <v>+56953133620</v>
      </c>
      <c r="I14" s="2" t="str">
        <f>VLOOKUP(T_Voluntarios[[#This Row],[RUN]],BBDD[],10,FALSE)</f>
        <v>Participante</v>
      </c>
      <c r="J14" s="2" t="str">
        <f>VLOOKUP(T_Voluntarios[[#This Row],[RUN]],BBDD[],11,FALSE)</f>
        <v>Salesianos Concepción</v>
      </c>
      <c r="K14" s="2" t="str">
        <f>VLOOKUP(T_Voluntarios[[#This Row],[RUN]],BBDD[],12,FALSE)</f>
        <v>Lobatos</v>
      </c>
      <c r="L14" s="2" t="str">
        <f>VLOOKUP(T_Voluntarios[[#This Row],[RUN]],BBDD[],15,FALSE)</f>
        <v>Rio Andalién</v>
      </c>
      <c r="M14" s="2" t="str">
        <f>VLOOKUP(T_Voluntarios[[#This Row],[RUN]],BBDD[],20,FALSE)</f>
        <v>Alimentación Tradicional</v>
      </c>
      <c r="N14" s="2" t="str">
        <f>VLOOKUP(T_Voluntarios[[#This Row],[RUN]],BBDD[],21,FALSE)</f>
        <v>Ninguna</v>
      </c>
      <c r="O14" s="2" t="str">
        <f>VLOOKUP(T_Voluntarios[[#This Row],[RUN]],BBDD[],22,FALSE)</f>
        <v>Ninguna</v>
      </c>
      <c r="P14" s="2" t="str">
        <f>VLOOKUP(T_Voluntarios[[#This Row],[RUN]],BBDD[],23,FALSE)</f>
        <v>+56976536406</v>
      </c>
      <c r="Q14" s="2" t="str">
        <f>IF(VLOOKUP(T_Voluntarios[[#This Row],[RUN]],BBDD[],27,FALSE)=0,"",VLOOKUP(T_Voluntarios[[#This Row],[RUN]],BBDD[],27,FALSE))</f>
        <v/>
      </c>
      <c r="R14" s="2" t="str">
        <f>VLOOKUP(T_Voluntarios[[#This Row],[RUN]],BBDD[],36,FALSE)</f>
        <v>https://drive.google.com/open?id=1kr_yjZYHHx0DH00ug9Dy7ZRNDMF8BNTz</v>
      </c>
      <c r="S14" s="2" t="str">
        <f>VLOOKUP(T_Voluntarios[[#This Row],[RUN]],BBDD[],16,FALSE)</f>
        <v>Inicial</v>
      </c>
      <c r="T14" s="2" t="str">
        <f>VLOOKUP(T_Voluntarios[[#This Row],[RUN]],BBDD[],17,FALSE)</f>
        <v>Ninguno</v>
      </c>
      <c r="U14" s="2" t="str">
        <f>VLOOKUP(T_Voluntarios[[#This Row],[RUN]],BBDD[],18,FALSE)</f>
        <v>Ninguno</v>
      </c>
      <c r="V14" s="2" t="str">
        <f>VLOOKUP(T_Voluntarios[[#This Row],[RUN]],BBDD[],19,FALSE)</f>
        <v>Ninguno</v>
      </c>
      <c r="W14" s="13" t="str">
        <f>IF(OR(T_Voluntarios[[#This Row],[ROL]]="Formador(a)"),"SI","NO")</f>
        <v>NO</v>
      </c>
      <c r="X14" s="13" t="str">
        <f>IF(ISERROR(VLOOKUP(T_Voluntarios[[#This Row],[RUN]],BBDD_Formadores[],15,FALSE)),"NO",VLOOKUP(T_Voluntarios[[#This Row],[RUN]],BBDD_Formadores[],15,FALSE))</f>
        <v>NO</v>
      </c>
      <c r="Y14" s="13" t="str">
        <f>IF(ISERROR(VLOOKUP(T_Voluntarios[[#This Row],[RUN]],BBDD_Formadores[],16,FALSE)),"NO",VLOOKUP(T_Voluntarios[[#This Row],[RUN]],BBDD_Formadores[],16,FALSE))</f>
        <v>NO</v>
      </c>
      <c r="Z14" s="13" t="str">
        <f>IF(ISERROR(VLOOKUP(T_Voluntarios[[#This Row],[RUN]],BBDD_Formadores[],17,FALSE)),"NO",VLOOKUP(T_Voluntarios[[#This Row],[RUN]],BBDD_Formadores[],17,FALSE))</f>
        <v>NO</v>
      </c>
      <c r="AA14" s="13" t="str">
        <f>IF(ISERROR(VLOOKUP(T_Voluntarios[[#This Row],[RUN]],BBDD_Formadores[],18,FALSE)),"NO",VLOOKUP(T_Voluntarios[[#This Row],[RUN]],BBDD_Formadores[],18,FALSE))</f>
        <v>NO</v>
      </c>
      <c r="AB14" s="13">
        <v>1</v>
      </c>
      <c r="AC14" s="13" t="s">
        <v>1</v>
      </c>
      <c r="AD14" s="13" t="s">
        <v>77</v>
      </c>
      <c r="AF14" s="2" t="str">
        <f>IF(VLOOKUP(T_Voluntarios[[#This Row],[RUN]],BBDD[],25,FALSE)=0,"",VLOOKUP(T_Voluntarios[[#This Row],[RUN]],BBDD[],25,FALSE))</f>
        <v/>
      </c>
      <c r="AG14" s="2" t="str">
        <f>IF(VLOOKUP(T_Voluntarios[[#This Row],[RUN]],BBDD[],26,FALSE)=0,"",VLOOKUP(T_Voluntarios[[#This Row],[RUN]],BBDD[],26,FALSE))</f>
        <v/>
      </c>
      <c r="AH14" s="2" t="str">
        <f>IF(VLOOKUP(T_Voluntarios[[#This Row],[RUN]],BBDD[],24,FALSE)=0,"",VLOOKUP(T_Voluntarios[[#This Row],[RUN]],BBDD[],24,FALSE))</f>
        <v/>
      </c>
      <c r="AI14" s="13" t="str">
        <f>VLOOKUP(T_Voluntarios[[#This Row],[RUN]],BBDD[],28,FALSE)</f>
        <v>SI</v>
      </c>
      <c r="AJ14" s="13" t="str">
        <f>VLOOKUP(T_Voluntarios[[#This Row],[RUN]],BBDD[],28,FALSE)</f>
        <v>SI</v>
      </c>
      <c r="AK14" s="32">
        <f>IF(T_Voluntarios[[#This Row],[ROL]]="Participante",SUMIFS(T_Cuotas[[#All],[Total]],T_Cuotas[[#All],[RUN]],T_Voluntarios[[#This Row],[RUN]]),-1)</f>
        <v>50000</v>
      </c>
      <c r="AL14" s="13" t="s">
        <v>1</v>
      </c>
      <c r="AM14" s="13" t="s">
        <v>2029</v>
      </c>
      <c r="AP14" s="2" t="str">
        <f>MID(T_Voluntarios[[#This Row],[E_MAIL]],SEARCH("@",T_Voluntarios[[#This Row],[E_MAIL]],1),LEN(T_Voluntarios[[#This Row],[E_MAIL]]))</f>
        <v>@gmail.com</v>
      </c>
      <c r="AQ14" s="13" t="str">
        <f>VLOOKUP(T_Voluntarios[[#This Row],[RUN]],BBDD[],37,FALSE)</f>
        <v>22</v>
      </c>
      <c r="AR14" s="2" t="str">
        <f>VLOOKUP(T_Voluntarios[[#This Row],[RUN]],BBDD[],29,FALSE)</f>
        <v>Ingeniero en maquinaria pesada y vehículos automotrices</v>
      </c>
      <c r="AS14" s="2" t="str">
        <f>VLOOKUP(T_Voluntarios[[#This Row],[RUN]],BBDD[],30,FALSE)</f>
        <v>8 años y 4 meses</v>
      </c>
      <c r="AT14" s="2" t="str">
        <f>VLOOKUP(T_Voluntarios[[#This Row],[RUN]],BBDD[],31,FALSE)</f>
        <v>2 años y 5 meses</v>
      </c>
      <c r="AU14" s="2" t="str">
        <f>VLOOKUP(T_Voluntarios[[#This Row],[RUN]],BBDD[],32,FALSE)</f>
        <v>Soltero(a)</v>
      </c>
      <c r="AV14" s="2" t="str">
        <f>VLOOKUP(T_Voluntarios[[#This Row],[RUN]],BBDD[],33,FALSE)</f>
        <v>Católica</v>
      </c>
      <c r="AW14" s="2" t="str">
        <f>VLOOKUP(T_Voluntarios[[#This Row],[RUN]],BBDD[],34,FALSE)</f>
        <v>Nacho</v>
      </c>
      <c r="AX14" s="13" t="s">
        <v>733</v>
      </c>
      <c r="AY14" s="76">
        <f>VLOOKUP(T_Voluntarios[[#This Row],[RUN]],BBDD[],2,FALSE)</f>
        <v>45779.944518402779</v>
      </c>
      <c r="AZ14" s="13" t="s">
        <v>3403</v>
      </c>
    </row>
    <row r="15" spans="1:52" ht="14.4" x14ac:dyDescent="0.3">
      <c r="A15" t="s">
        <v>871</v>
      </c>
      <c r="B15" s="2" t="str">
        <f>VLOOKUP(T_Voluntarios[[#This Row],[RUN]],BBDD[],3,FALSE)</f>
        <v>carlacontreras424@gmail.com</v>
      </c>
      <c r="C15" s="2" t="str">
        <f>VLOOKUP(T_Voluntarios[[#This Row],[RUN]],BBDD[],4,FALSE)</f>
        <v>Carla Andrea Contreras Calderon</v>
      </c>
      <c r="D15" s="16">
        <f>VLOOKUP(T_Voluntarios[[#This Row],[RUN]],BBDD[],5,FALSE)</f>
        <v>37288</v>
      </c>
      <c r="E15" s="2" t="str">
        <f>VLOOKUP(T_Voluntarios[[#This Row],[RUN]],BBDD[],6,FALSE)</f>
        <v>Volcan planchon 0759</v>
      </c>
      <c r="F15" s="2" t="str">
        <f>VLOOKUP(T_Voluntarios[[#This Row],[RUN]],BBDD[],7,FALSE)</f>
        <v>Curico</v>
      </c>
      <c r="G15" s="2" t="str">
        <f>VLOOKUP(T_Voluntarios[[#This Row],[RUN]],BBDD[],8,FALSE)</f>
        <v>Celular</v>
      </c>
      <c r="H15" s="2" t="str">
        <f>IF(VLOOKUP(T_Voluntarios[[#This Row],[RUN]],BBDD[],9,FALSE)=0,"Falta",VLOOKUP(T_Voluntarios[[#This Row],[RUN]],BBDD[],9,FALSE))</f>
        <v>+56982309761</v>
      </c>
      <c r="I15" s="2" t="str">
        <f>VLOOKUP(T_Voluntarios[[#This Row],[RUN]],BBDD[],10,FALSE)</f>
        <v>Participante</v>
      </c>
      <c r="J15" s="2" t="str">
        <f>VLOOKUP(T_Voluntarios[[#This Row],[RUN]],BBDD[],11,FALSE)</f>
        <v>Nuestra señora del pilar</v>
      </c>
      <c r="K15" s="2" t="str">
        <f>VLOOKUP(T_Voluntarios[[#This Row],[RUN]],BBDD[],12,FALSE)</f>
        <v>Golondrinas</v>
      </c>
      <c r="L15" s="2" t="str">
        <f>VLOOKUP(T_Voluntarios[[#This Row],[RUN]],BBDD[],15,FALSE)</f>
        <v>Zona Maule</v>
      </c>
      <c r="M15" s="2" t="str">
        <f>VLOOKUP(T_Voluntarios[[#This Row],[RUN]],BBDD[],20,FALSE)</f>
        <v>Alimentación Tradicional</v>
      </c>
      <c r="N15" s="2" t="str">
        <f>VLOOKUP(T_Voluntarios[[#This Row],[RUN]],BBDD[],21,FALSE)</f>
        <v>Gentamicina y ciprofloxacino</v>
      </c>
      <c r="O15" s="2" t="str">
        <f>VLOOKUP(T_Voluntarios[[#This Row],[RUN]],BBDD[],22,FALSE)</f>
        <v>Ninguna</v>
      </c>
      <c r="P15" s="2" t="str">
        <f>VLOOKUP(T_Voluntarios[[#This Row],[RUN]],BBDD[],23,FALSE)</f>
        <v>Magaly calderon +569 38820910</v>
      </c>
      <c r="Q15" s="2" t="str">
        <f>IF(VLOOKUP(T_Voluntarios[[#This Row],[RUN]],BBDD[],27,FALSE)=0,"",VLOOKUP(T_Voluntarios[[#This Row],[RUN]],BBDD[],27,FALSE))</f>
        <v/>
      </c>
      <c r="R15" s="2" t="str">
        <f>VLOOKUP(T_Voluntarios[[#This Row],[RUN]],BBDD[],36,FALSE)</f>
        <v>https://drive.google.com/open?id=1UnPNGoYsihq8bfEjXxb35x-poNK79gzb</v>
      </c>
      <c r="S15" s="2" t="str">
        <f>VLOOKUP(T_Voluntarios[[#This Row],[RUN]],BBDD[],16,FALSE)</f>
        <v>Inicial</v>
      </c>
      <c r="T15" s="2" t="str">
        <f>VLOOKUP(T_Voluntarios[[#This Row],[RUN]],BBDD[],17,FALSE)</f>
        <v>Ninguno</v>
      </c>
      <c r="U15" s="2" t="str">
        <f>VLOOKUP(T_Voluntarios[[#This Row],[RUN]],BBDD[],18,FALSE)</f>
        <v>Ninguno</v>
      </c>
      <c r="V15" s="2" t="str">
        <f>VLOOKUP(T_Voluntarios[[#This Row],[RUN]],BBDD[],19,FALSE)</f>
        <v>Ninguno</v>
      </c>
      <c r="W15" s="13" t="str">
        <f>IF(OR(T_Voluntarios[[#This Row],[ROL]]="Formador(a)"),"SI","NO")</f>
        <v>NO</v>
      </c>
      <c r="X15" s="13" t="str">
        <f>IF(ISERROR(VLOOKUP(T_Voluntarios[[#This Row],[RUN]],BBDD_Formadores[],15,FALSE)),"NO",VLOOKUP(T_Voluntarios[[#This Row],[RUN]],BBDD_Formadores[],15,FALSE))</f>
        <v>NO</v>
      </c>
      <c r="Y15" s="13" t="str">
        <f>IF(ISERROR(VLOOKUP(T_Voluntarios[[#This Row],[RUN]],BBDD_Formadores[],16,FALSE)),"NO",VLOOKUP(T_Voluntarios[[#This Row],[RUN]],BBDD_Formadores[],16,FALSE))</f>
        <v>NO</v>
      </c>
      <c r="Z15" s="13" t="str">
        <f>IF(ISERROR(VLOOKUP(T_Voluntarios[[#This Row],[RUN]],BBDD_Formadores[],17,FALSE)),"NO",VLOOKUP(T_Voluntarios[[#This Row],[RUN]],BBDD_Formadores[],17,FALSE))</f>
        <v>NO</v>
      </c>
      <c r="AA15" s="13" t="str">
        <f>IF(ISERROR(VLOOKUP(T_Voluntarios[[#This Row],[RUN]],BBDD_Formadores[],18,FALSE)),"NO",VLOOKUP(T_Voluntarios[[#This Row],[RUN]],BBDD_Formadores[],18,FALSE))</f>
        <v>NO</v>
      </c>
      <c r="AB15" s="13">
        <v>1</v>
      </c>
      <c r="AC15" s="13" t="s">
        <v>1</v>
      </c>
      <c r="AD15" s="13" t="s">
        <v>77</v>
      </c>
      <c r="AF15" s="2" t="str">
        <f>IF(VLOOKUP(T_Voluntarios[[#This Row],[RUN]],BBDD[],25,FALSE)=0,"",VLOOKUP(T_Voluntarios[[#This Row],[RUN]],BBDD[],25,FALSE))</f>
        <v/>
      </c>
      <c r="AG15" s="2" t="str">
        <f>IF(VLOOKUP(T_Voluntarios[[#This Row],[RUN]],BBDD[],26,FALSE)=0,"",VLOOKUP(T_Voluntarios[[#This Row],[RUN]],BBDD[],26,FALSE))</f>
        <v/>
      </c>
      <c r="AH15" s="2" t="str">
        <f>IF(VLOOKUP(T_Voluntarios[[#This Row],[RUN]],BBDD[],24,FALSE)=0,"",VLOOKUP(T_Voluntarios[[#This Row],[RUN]],BBDD[],24,FALSE))</f>
        <v/>
      </c>
      <c r="AI15" s="13" t="str">
        <f>VLOOKUP(T_Voluntarios[[#This Row],[RUN]],BBDD[],28,FALSE)</f>
        <v>SI</v>
      </c>
      <c r="AJ15" s="13" t="str">
        <f>VLOOKUP(T_Voluntarios[[#This Row],[RUN]],BBDD[],28,FALSE)</f>
        <v>SI</v>
      </c>
      <c r="AK15" s="32">
        <f>IF(T_Voluntarios[[#This Row],[ROL]]="Participante",SUMIFS(T_Cuotas[[#All],[Total]],T_Cuotas[[#All],[RUN]],T_Voluntarios[[#This Row],[RUN]]),-1)</f>
        <v>50000</v>
      </c>
      <c r="AL15" s="13" t="s">
        <v>1</v>
      </c>
      <c r="AM15" s="13" t="s">
        <v>2029</v>
      </c>
      <c r="AP15" s="2" t="str">
        <f>MID(T_Voluntarios[[#This Row],[E_MAIL]],SEARCH("@",T_Voluntarios[[#This Row],[E_MAIL]],1),LEN(T_Voluntarios[[#This Row],[E_MAIL]]))</f>
        <v>@gmail.com</v>
      </c>
      <c r="AQ15" s="13" t="str">
        <f>VLOOKUP(T_Voluntarios[[#This Row],[RUN]],BBDD[],37,FALSE)</f>
        <v>23</v>
      </c>
      <c r="AR15" s="2" t="str">
        <f>VLOOKUP(T_Voluntarios[[#This Row],[RUN]],BBDD[],29,FALSE)</f>
        <v>Diseñadora gráfica</v>
      </c>
      <c r="AS15" s="2" t="str">
        <f>VLOOKUP(T_Voluntarios[[#This Row],[RUN]],BBDD[],30,FALSE)</f>
        <v>6 años</v>
      </c>
      <c r="AT15" s="2" t="str">
        <f>VLOOKUP(T_Voluntarios[[#This Row],[RUN]],BBDD[],31,FALSE)</f>
        <v>2años</v>
      </c>
      <c r="AU15" s="2" t="str">
        <f>VLOOKUP(T_Voluntarios[[#This Row],[RUN]],BBDD[],32,FALSE)</f>
        <v>Soltero(a)</v>
      </c>
      <c r="AV15" s="2" t="str">
        <f>VLOOKUP(T_Voluntarios[[#This Row],[RUN]],BBDD[],33,FALSE)</f>
        <v>Ninguna</v>
      </c>
      <c r="AW15" s="2" t="str">
        <f>VLOOKUP(T_Voluntarios[[#This Row],[RUN]],BBDD[],34,FALSE)</f>
        <v>Carlita</v>
      </c>
      <c r="AX15" s="13" t="s">
        <v>733</v>
      </c>
      <c r="AY15" s="76">
        <f>VLOOKUP(T_Voluntarios[[#This Row],[RUN]],BBDD[],2,FALSE)</f>
        <v>45779.956574151234</v>
      </c>
      <c r="AZ15" s="13" t="s">
        <v>3402</v>
      </c>
    </row>
    <row r="16" spans="1:52" ht="14.4" x14ac:dyDescent="0.3">
      <c r="A16" t="s">
        <v>884</v>
      </c>
      <c r="B16" s="2" t="str">
        <f>VLOOKUP(T_Voluntarios[[#This Row],[RUN]],BBDD[],3,FALSE)</f>
        <v>natimsg@gmail.com</v>
      </c>
      <c r="C16" s="2" t="str">
        <f>VLOOKUP(T_Voluntarios[[#This Row],[RUN]],BBDD[],4,FALSE)</f>
        <v>Natalie Magdalena Sepulveda Gomez</v>
      </c>
      <c r="D16" s="16">
        <f>VLOOKUP(T_Voluntarios[[#This Row],[RUN]],BBDD[],5,FALSE)</f>
        <v>31175</v>
      </c>
      <c r="E16" s="2" t="str">
        <f>VLOOKUP(T_Voluntarios[[#This Row],[RUN]],BBDD[],6,FALSE)</f>
        <v>Presbistero Andres Jarlan 1036</v>
      </c>
      <c r="F16" s="2" t="str">
        <f>VLOOKUP(T_Voluntarios[[#This Row],[RUN]],BBDD[],7,FALSE)</f>
        <v>Curico</v>
      </c>
      <c r="G16" s="2" t="str">
        <f>VLOOKUP(T_Voluntarios[[#This Row],[RUN]],BBDD[],8,FALSE)</f>
        <v>Celular</v>
      </c>
      <c r="H16" s="2" t="str">
        <f>IF(VLOOKUP(T_Voluntarios[[#This Row],[RUN]],BBDD[],9,FALSE)=0,"Falta",VLOOKUP(T_Voluntarios[[#This Row],[RUN]],BBDD[],9,FALSE))</f>
        <v>+56969084323</v>
      </c>
      <c r="I16" s="2" t="str">
        <f>VLOOKUP(T_Voluntarios[[#This Row],[RUN]],BBDD[],10,FALSE)</f>
        <v>Participante</v>
      </c>
      <c r="J16" s="2" t="str">
        <f>VLOOKUP(T_Voluntarios[[#This Row],[RUN]],BBDD[],11,FALSE)</f>
        <v>Nuestra señora del pilar</v>
      </c>
      <c r="K16" s="2" t="str">
        <f>VLOOKUP(T_Voluntarios[[#This Row],[RUN]],BBDD[],12,FALSE)</f>
        <v>Pioneros</v>
      </c>
      <c r="L16" s="2" t="str">
        <f>VLOOKUP(T_Voluntarios[[#This Row],[RUN]],BBDD[],15,FALSE)</f>
        <v>Zona Maule</v>
      </c>
      <c r="M16" s="2" t="str">
        <f>VLOOKUP(T_Voluntarios[[#This Row],[RUN]],BBDD[],20,FALSE)</f>
        <v>Alimentación Tradicional</v>
      </c>
      <c r="N16" s="2" t="str">
        <f>VLOOKUP(T_Voluntarios[[#This Row],[RUN]],BBDD[],21,FALSE)</f>
        <v>Ninguna</v>
      </c>
      <c r="O16" s="2" t="str">
        <f>VLOOKUP(T_Voluntarios[[#This Row],[RUN]],BBDD[],22,FALSE)</f>
        <v>Ninguna</v>
      </c>
      <c r="P16" s="2" t="str">
        <f>VLOOKUP(T_Voluntarios[[#This Row],[RUN]],BBDD[],23,FALSE)</f>
        <v>Antonio Millapan 966477930</v>
      </c>
      <c r="Q16" s="2" t="str">
        <f>IF(VLOOKUP(T_Voluntarios[[#This Row],[RUN]],BBDD[],27,FALSE)=0,"",VLOOKUP(T_Voluntarios[[#This Row],[RUN]],BBDD[],27,FALSE))</f>
        <v/>
      </c>
      <c r="R16" s="2" t="str">
        <f>VLOOKUP(T_Voluntarios[[#This Row],[RUN]],BBDD[],36,FALSE)</f>
        <v>https://drive.google.com/open?id=1bKRdJtRwFuhMUh8rd8hVc1hbCNZFH5V5</v>
      </c>
      <c r="S16" s="2" t="str">
        <f>VLOOKUP(T_Voluntarios[[#This Row],[RUN]],BBDD[],16,FALSE)</f>
        <v>Inicial</v>
      </c>
      <c r="T16" s="2" t="str">
        <f>VLOOKUP(T_Voluntarios[[#This Row],[RUN]],BBDD[],17,FALSE)</f>
        <v>Ninguno</v>
      </c>
      <c r="U16" s="2" t="str">
        <f>VLOOKUP(T_Voluntarios[[#This Row],[RUN]],BBDD[],18,FALSE)</f>
        <v>Ninguno</v>
      </c>
      <c r="V16" s="2" t="str">
        <f>VLOOKUP(T_Voluntarios[[#This Row],[RUN]],BBDD[],19,FALSE)</f>
        <v>Ninguno</v>
      </c>
      <c r="W16" s="13" t="str">
        <f>IF(OR(T_Voluntarios[[#This Row],[ROL]]="Formador(a)"),"SI","NO")</f>
        <v>NO</v>
      </c>
      <c r="X16" s="13" t="str">
        <f>IF(ISERROR(VLOOKUP(T_Voluntarios[[#This Row],[RUN]],BBDD_Formadores[],15,FALSE)),"NO",VLOOKUP(T_Voluntarios[[#This Row],[RUN]],BBDD_Formadores[],15,FALSE))</f>
        <v>NO</v>
      </c>
      <c r="Y16" s="13" t="str">
        <f>IF(ISERROR(VLOOKUP(T_Voluntarios[[#This Row],[RUN]],BBDD_Formadores[],16,FALSE)),"NO",VLOOKUP(T_Voluntarios[[#This Row],[RUN]],BBDD_Formadores[],16,FALSE))</f>
        <v>NO</v>
      </c>
      <c r="Z16" s="13" t="str">
        <f>IF(ISERROR(VLOOKUP(T_Voluntarios[[#This Row],[RUN]],BBDD_Formadores[],17,FALSE)),"NO",VLOOKUP(T_Voluntarios[[#This Row],[RUN]],BBDD_Formadores[],17,FALSE))</f>
        <v>NO</v>
      </c>
      <c r="AA16" s="13" t="str">
        <f>IF(ISERROR(VLOOKUP(T_Voluntarios[[#This Row],[RUN]],BBDD_Formadores[],18,FALSE)),"NO",VLOOKUP(T_Voluntarios[[#This Row],[RUN]],BBDD_Formadores[],18,FALSE))</f>
        <v>NO</v>
      </c>
      <c r="AB16" s="13">
        <v>1</v>
      </c>
      <c r="AC16" s="13" t="s">
        <v>1</v>
      </c>
      <c r="AD16" s="13" t="s">
        <v>77</v>
      </c>
      <c r="AF16" s="2" t="str">
        <f>IF(VLOOKUP(T_Voluntarios[[#This Row],[RUN]],BBDD[],25,FALSE)=0,"",VLOOKUP(T_Voluntarios[[#This Row],[RUN]],BBDD[],25,FALSE))</f>
        <v/>
      </c>
      <c r="AG16" s="2" t="str">
        <f>IF(VLOOKUP(T_Voluntarios[[#This Row],[RUN]],BBDD[],26,FALSE)=0,"",VLOOKUP(T_Voluntarios[[#This Row],[RUN]],BBDD[],26,FALSE))</f>
        <v/>
      </c>
      <c r="AH16" s="2" t="str">
        <f>IF(VLOOKUP(T_Voluntarios[[#This Row],[RUN]],BBDD[],24,FALSE)=0,"",VLOOKUP(T_Voluntarios[[#This Row],[RUN]],BBDD[],24,FALSE))</f>
        <v/>
      </c>
      <c r="AI16" s="13" t="str">
        <f>VLOOKUP(T_Voluntarios[[#This Row],[RUN]],BBDD[],28,FALSE)</f>
        <v>SI</v>
      </c>
      <c r="AJ16" s="13" t="str">
        <f>VLOOKUP(T_Voluntarios[[#This Row],[RUN]],BBDD[],28,FALSE)</f>
        <v>SI</v>
      </c>
      <c r="AK16" s="32">
        <f>IF(T_Voluntarios[[#This Row],[ROL]]="Participante",SUMIFS(T_Cuotas[[#All],[Total]],T_Cuotas[[#All],[RUN]],T_Voluntarios[[#This Row],[RUN]]),-1)</f>
        <v>50000</v>
      </c>
      <c r="AL16" s="13" t="s">
        <v>1</v>
      </c>
      <c r="AM16" s="13" t="s">
        <v>2029</v>
      </c>
      <c r="AP16" s="2" t="str">
        <f>MID(T_Voluntarios[[#This Row],[E_MAIL]],SEARCH("@",T_Voluntarios[[#This Row],[E_MAIL]],1),LEN(T_Voluntarios[[#This Row],[E_MAIL]]))</f>
        <v>@gmail.com</v>
      </c>
      <c r="AQ16" s="13" t="str">
        <f>VLOOKUP(T_Voluntarios[[#This Row],[RUN]],BBDD[],37,FALSE)</f>
        <v>40</v>
      </c>
      <c r="AR16" s="2" t="str">
        <f>VLOOKUP(T_Voluntarios[[#This Row],[RUN]],BBDD[],29,FALSE)</f>
        <v>Contadora</v>
      </c>
      <c r="AS16" s="2" t="str">
        <f>VLOOKUP(T_Voluntarios[[#This Row],[RUN]],BBDD[],30,FALSE)</f>
        <v>No</v>
      </c>
      <c r="AT16" s="2" t="str">
        <f>VLOOKUP(T_Voluntarios[[#This Row],[RUN]],BBDD[],31,FALSE)</f>
        <v>1 año</v>
      </c>
      <c r="AU16" s="2" t="str">
        <f>VLOOKUP(T_Voluntarios[[#This Row],[RUN]],BBDD[],32,FALSE)</f>
        <v>Casado(a)</v>
      </c>
      <c r="AV16" s="2" t="str">
        <f>VLOOKUP(T_Voluntarios[[#This Row],[RUN]],BBDD[],33,FALSE)</f>
        <v>Ninguna</v>
      </c>
      <c r="AW16" s="2" t="str">
        <f>VLOOKUP(T_Voluntarios[[#This Row],[RUN]],BBDD[],34,FALSE)</f>
        <v>Naty</v>
      </c>
      <c r="AX16" s="13" t="s">
        <v>733</v>
      </c>
      <c r="AY16" s="76">
        <f>VLOOKUP(T_Voluntarios[[#This Row],[RUN]],BBDD[],2,FALSE)</f>
        <v>45779.958011651237</v>
      </c>
      <c r="AZ16" s="13" t="s">
        <v>3402</v>
      </c>
    </row>
    <row r="17" spans="1:52" ht="14.4" x14ac:dyDescent="0.3">
      <c r="A17" t="s">
        <v>894</v>
      </c>
      <c r="B17" s="2" t="str">
        <f>VLOOKUP(T_Voluntarios[[#This Row],[RUN]],BBDD[],3,FALSE)</f>
        <v>renatoandresantibanezy@gmail.com</v>
      </c>
      <c r="C17" s="2" t="str">
        <f>VLOOKUP(T_Voluntarios[[#This Row],[RUN]],BBDD[],4,FALSE)</f>
        <v>Renato Andres Santibañez Yevilao</v>
      </c>
      <c r="D17" s="16">
        <f>VLOOKUP(T_Voluntarios[[#This Row],[RUN]],BBDD[],5,FALSE)</f>
        <v>38333</v>
      </c>
      <c r="E17" s="2" t="str">
        <f>VLOOKUP(T_Voluntarios[[#This Row],[RUN]],BBDD[],6,FALSE)</f>
        <v>Brisas del sol, pasaje 14, #437</v>
      </c>
      <c r="F17" s="2" t="str">
        <f>VLOOKUP(T_Voluntarios[[#This Row],[RUN]],BBDD[],7,FALSE)</f>
        <v>Talcahuano</v>
      </c>
      <c r="G17" s="2" t="str">
        <f>VLOOKUP(T_Voluntarios[[#This Row],[RUN]],BBDD[],8,FALSE)</f>
        <v>Celular</v>
      </c>
      <c r="H17" s="2" t="str">
        <f>IF(VLOOKUP(T_Voluntarios[[#This Row],[RUN]],BBDD[],9,FALSE)=0,"Falta",VLOOKUP(T_Voluntarios[[#This Row],[RUN]],BBDD[],9,FALSE))</f>
        <v>+56934950948</v>
      </c>
      <c r="I17" s="2" t="str">
        <f>VLOOKUP(T_Voluntarios[[#This Row],[RUN]],BBDD[],10,FALSE)</f>
        <v>Participante</v>
      </c>
      <c r="J17" s="2" t="str">
        <f>VLOOKUP(T_Voluntarios[[#This Row],[RUN]],BBDD[],11,FALSE)</f>
        <v>Salesianos Concepción</v>
      </c>
      <c r="K17" s="2" t="str">
        <f>VLOOKUP(T_Voluntarios[[#This Row],[RUN]],BBDD[],12,FALSE)</f>
        <v>Lobatos</v>
      </c>
      <c r="L17" s="2" t="str">
        <f>VLOOKUP(T_Voluntarios[[#This Row],[RUN]],BBDD[],15,FALSE)</f>
        <v>Rio Andalién</v>
      </c>
      <c r="M17" s="2" t="str">
        <f>VLOOKUP(T_Voluntarios[[#This Row],[RUN]],BBDD[],20,FALSE)</f>
        <v>Alimentación Tradicional</v>
      </c>
      <c r="N17" s="2" t="str">
        <f>VLOOKUP(T_Voluntarios[[#This Row],[RUN]],BBDD[],21,FALSE)</f>
        <v>Ninguna</v>
      </c>
      <c r="O17" s="2" t="str">
        <f>VLOOKUP(T_Voluntarios[[#This Row],[RUN]],BBDD[],22,FALSE)</f>
        <v>Ninguna</v>
      </c>
      <c r="P17" s="2" t="str">
        <f>VLOOKUP(T_Voluntarios[[#This Row],[RUN]],BBDD[],23,FALSE)</f>
        <v>Rosana Yevilao - 978947403</v>
      </c>
      <c r="Q17" s="2" t="str">
        <f>IF(VLOOKUP(T_Voluntarios[[#This Row],[RUN]],BBDD[],27,FALSE)=0,"",VLOOKUP(T_Voluntarios[[#This Row],[RUN]],BBDD[],27,FALSE))</f>
        <v/>
      </c>
      <c r="R17" s="2" t="str">
        <f>VLOOKUP(T_Voluntarios[[#This Row],[RUN]],BBDD[],36,FALSE)</f>
        <v>https://drive.google.com/open?id=1reuS0-wAW3j_jQkePsPLbuhCR8mpc6zC</v>
      </c>
      <c r="S17" s="2" t="str">
        <f>VLOOKUP(T_Voluntarios[[#This Row],[RUN]],BBDD[],16,FALSE)</f>
        <v>Ninguno</v>
      </c>
      <c r="T17" s="2" t="str">
        <f>VLOOKUP(T_Voluntarios[[#This Row],[RUN]],BBDD[],17,FALSE)</f>
        <v>Ninguno</v>
      </c>
      <c r="U17" s="2" t="str">
        <f>VLOOKUP(T_Voluntarios[[#This Row],[RUN]],BBDD[],18,FALSE)</f>
        <v>Ninguno</v>
      </c>
      <c r="V17" s="2" t="str">
        <f>VLOOKUP(T_Voluntarios[[#This Row],[RUN]],BBDD[],19,FALSE)</f>
        <v>Ninguno</v>
      </c>
      <c r="W17" s="13" t="str">
        <f>IF(OR(T_Voluntarios[[#This Row],[ROL]]="Formador(a)"),"SI","NO")</f>
        <v>NO</v>
      </c>
      <c r="X17" s="13" t="str">
        <f>IF(ISERROR(VLOOKUP(T_Voluntarios[[#This Row],[RUN]],BBDD_Formadores[],15,FALSE)),"NO",VLOOKUP(T_Voluntarios[[#This Row],[RUN]],BBDD_Formadores[],15,FALSE))</f>
        <v>NO</v>
      </c>
      <c r="Y17" s="13" t="str">
        <f>IF(ISERROR(VLOOKUP(T_Voluntarios[[#This Row],[RUN]],BBDD_Formadores[],16,FALSE)),"NO",VLOOKUP(T_Voluntarios[[#This Row],[RUN]],BBDD_Formadores[],16,FALSE))</f>
        <v>NO</v>
      </c>
      <c r="Z17" s="13" t="str">
        <f>IF(ISERROR(VLOOKUP(T_Voluntarios[[#This Row],[RUN]],BBDD_Formadores[],17,FALSE)),"NO",VLOOKUP(T_Voluntarios[[#This Row],[RUN]],BBDD_Formadores[],17,FALSE))</f>
        <v>NO</v>
      </c>
      <c r="AA17" s="13" t="str">
        <f>IF(ISERROR(VLOOKUP(T_Voluntarios[[#This Row],[RUN]],BBDD_Formadores[],18,FALSE)),"NO",VLOOKUP(T_Voluntarios[[#This Row],[RUN]],BBDD_Formadores[],18,FALSE))</f>
        <v>NO</v>
      </c>
      <c r="AB17" s="13">
        <v>1</v>
      </c>
      <c r="AC17" s="13" t="s">
        <v>1</v>
      </c>
      <c r="AD17" s="13" t="s">
        <v>77</v>
      </c>
      <c r="AF17" s="2" t="str">
        <f>IF(VLOOKUP(T_Voluntarios[[#This Row],[RUN]],BBDD[],25,FALSE)=0,"",VLOOKUP(T_Voluntarios[[#This Row],[RUN]],BBDD[],25,FALSE))</f>
        <v/>
      </c>
      <c r="AG17" s="2" t="str">
        <f>IF(VLOOKUP(T_Voluntarios[[#This Row],[RUN]],BBDD[],26,FALSE)=0,"",VLOOKUP(T_Voluntarios[[#This Row],[RUN]],BBDD[],26,FALSE))</f>
        <v/>
      </c>
      <c r="AH17" s="2" t="str">
        <f>IF(VLOOKUP(T_Voluntarios[[#This Row],[RUN]],BBDD[],24,FALSE)=0,"",VLOOKUP(T_Voluntarios[[#This Row],[RUN]],BBDD[],24,FALSE))</f>
        <v/>
      </c>
      <c r="AI17" s="13" t="str">
        <f>VLOOKUP(T_Voluntarios[[#This Row],[RUN]],BBDD[],28,FALSE)</f>
        <v>SI</v>
      </c>
      <c r="AJ17" s="13" t="str">
        <f>VLOOKUP(T_Voluntarios[[#This Row],[RUN]],BBDD[],28,FALSE)</f>
        <v>SI</v>
      </c>
      <c r="AK17" s="32">
        <f>IF(T_Voluntarios[[#This Row],[ROL]]="Participante",SUMIFS(T_Cuotas[[#All],[Total]],T_Cuotas[[#All],[RUN]],T_Voluntarios[[#This Row],[RUN]]),-1)</f>
        <v>50000</v>
      </c>
      <c r="AL17" s="13" t="s">
        <v>1</v>
      </c>
      <c r="AM17" s="13" t="s">
        <v>2029</v>
      </c>
      <c r="AP17" s="2" t="str">
        <f>MID(T_Voluntarios[[#This Row],[E_MAIL]],SEARCH("@",T_Voluntarios[[#This Row],[E_MAIL]],1),LEN(T_Voluntarios[[#This Row],[E_MAIL]]))</f>
        <v>@gmail.com</v>
      </c>
      <c r="AQ17" s="13" t="str">
        <f>VLOOKUP(T_Voluntarios[[#This Row],[RUN]],BBDD[],37,FALSE)</f>
        <v>20</v>
      </c>
      <c r="AR17" s="2" t="str">
        <f>VLOOKUP(T_Voluntarios[[#This Row],[RUN]],BBDD[],29,FALSE)</f>
        <v>Estudiante de biologia</v>
      </c>
      <c r="AS17" s="2" t="str">
        <f>VLOOKUP(T_Voluntarios[[#This Row],[RUN]],BBDD[],30,FALSE)</f>
        <v>14 años aprox</v>
      </c>
      <c r="AT17" s="2" t="str">
        <f>VLOOKUP(T_Voluntarios[[#This Row],[RUN]],BBDD[],31,FALSE)</f>
        <v>Como dirigente: 2 meses. En otras actividades: 5 años</v>
      </c>
      <c r="AU17" s="2" t="str">
        <f>VLOOKUP(T_Voluntarios[[#This Row],[RUN]],BBDD[],32,FALSE)</f>
        <v>Soltero(a)</v>
      </c>
      <c r="AV17" s="2" t="str">
        <f>VLOOKUP(T_Voluntarios[[#This Row],[RUN]],BBDD[],33,FALSE)</f>
        <v>Catolica</v>
      </c>
      <c r="AW17" s="2" t="str">
        <f>VLOOKUP(T_Voluntarios[[#This Row],[RUN]],BBDD[],34,FALSE)</f>
        <v>Patito</v>
      </c>
      <c r="AX17" s="13" t="s">
        <v>733</v>
      </c>
      <c r="AY17" s="76">
        <f>VLOOKUP(T_Voluntarios[[#This Row],[RUN]],BBDD[],2,FALSE)</f>
        <v>45779.972187461419</v>
      </c>
      <c r="AZ17" s="13" t="s">
        <v>3403</v>
      </c>
    </row>
    <row r="18" spans="1:52" ht="14.4" x14ac:dyDescent="0.3">
      <c r="A18" t="s">
        <v>907</v>
      </c>
      <c r="B18" s="2" t="str">
        <f>VLOOKUP(T_Voluntarios[[#This Row],[RUN]],BBDD[],3,FALSE)</f>
        <v>josearavenavarrete@gmail.com</v>
      </c>
      <c r="C18" s="2" t="str">
        <f>VLOOKUP(T_Voluntarios[[#This Row],[RUN]],BBDD[],4,FALSE)</f>
        <v>José Ignacio Aravena Navarrete</v>
      </c>
      <c r="D18" s="16">
        <f>VLOOKUP(T_Voluntarios[[#This Row],[RUN]],BBDD[],5,FALSE)</f>
        <v>38482</v>
      </c>
      <c r="E18" s="2" t="str">
        <f>VLOOKUP(T_Voluntarios[[#This Row],[RUN]],BBDD[],6,FALSE)</f>
        <v>Pasaje Diecinueve, casa 2425, Laguna Redonda</v>
      </c>
      <c r="F18" s="2" t="str">
        <f>VLOOKUP(T_Voluntarios[[#This Row],[RUN]],BBDD[],7,FALSE)</f>
        <v>Concepción</v>
      </c>
      <c r="G18" s="2" t="str">
        <f>VLOOKUP(T_Voluntarios[[#This Row],[RUN]],BBDD[],8,FALSE)</f>
        <v>Celular</v>
      </c>
      <c r="H18" s="2" t="str">
        <f>IF(VLOOKUP(T_Voluntarios[[#This Row],[RUN]],BBDD[],9,FALSE)=0,"Falta",VLOOKUP(T_Voluntarios[[#This Row],[RUN]],BBDD[],9,FALSE))</f>
        <v>+56965518943</v>
      </c>
      <c r="I18" s="2" t="str">
        <f>VLOOKUP(T_Voluntarios[[#This Row],[RUN]],BBDD[],10,FALSE)</f>
        <v>Participante</v>
      </c>
      <c r="J18" s="2" t="str">
        <f>VLOOKUP(T_Voluntarios[[#This Row],[RUN]],BBDD[],11,FALSE)</f>
        <v>Salesianos Concepción</v>
      </c>
      <c r="K18" s="2" t="str">
        <f>VLOOKUP(T_Voluntarios[[#This Row],[RUN]],BBDD[],12,FALSE)</f>
        <v>Scouts</v>
      </c>
      <c r="L18" s="2" t="str">
        <f>VLOOKUP(T_Voluntarios[[#This Row],[RUN]],BBDD[],15,FALSE)</f>
        <v>Rio Andalién</v>
      </c>
      <c r="M18" s="2" t="str">
        <f>VLOOKUP(T_Voluntarios[[#This Row],[RUN]],BBDD[],20,FALSE)</f>
        <v>Alimentación Vegetariana</v>
      </c>
      <c r="N18" s="2" t="str">
        <f>VLOOKUP(T_Voluntarios[[#This Row],[RUN]],BBDD[],21,FALSE)</f>
        <v>Ninguna</v>
      </c>
      <c r="O18" s="2" t="str">
        <f>VLOOKUP(T_Voluntarios[[#This Row],[RUN]],BBDD[],22,FALSE)</f>
        <v>Ninguna</v>
      </c>
      <c r="P18" s="2" t="str">
        <f>VLOOKUP(T_Voluntarios[[#This Row],[RUN]],BBDD[],23,FALSE)</f>
        <v>930532731 Claudio Aravena</v>
      </c>
      <c r="Q18" s="2" t="str">
        <f>IF(VLOOKUP(T_Voluntarios[[#This Row],[RUN]],BBDD[],27,FALSE)=0,"",VLOOKUP(T_Voluntarios[[#This Row],[RUN]],BBDD[],27,FALSE))</f>
        <v/>
      </c>
      <c r="R18" s="2" t="str">
        <f>VLOOKUP(T_Voluntarios[[#This Row],[RUN]],BBDD[],36,FALSE)</f>
        <v>https://drive.google.com/open?id=1M9EJwn2LH-sP4uxo1ypXnc6pfe2hLkfm</v>
      </c>
      <c r="S18" s="2" t="str">
        <f>VLOOKUP(T_Voluntarios[[#This Row],[RUN]],BBDD[],16,FALSE)</f>
        <v>Ninguno</v>
      </c>
      <c r="T18" s="2" t="str">
        <f>VLOOKUP(T_Voluntarios[[#This Row],[RUN]],BBDD[],17,FALSE)</f>
        <v>Ninguno</v>
      </c>
      <c r="U18" s="2" t="str">
        <f>VLOOKUP(T_Voluntarios[[#This Row],[RUN]],BBDD[],18,FALSE)</f>
        <v>Ninguno</v>
      </c>
      <c r="V18" s="2" t="str">
        <f>VLOOKUP(T_Voluntarios[[#This Row],[RUN]],BBDD[],19,FALSE)</f>
        <v>Ninguno</v>
      </c>
      <c r="W18" s="13" t="str">
        <f>IF(OR(T_Voluntarios[[#This Row],[ROL]]="Formador(a)"),"SI","NO")</f>
        <v>NO</v>
      </c>
      <c r="X18" s="13" t="str">
        <f>IF(ISERROR(VLOOKUP(T_Voluntarios[[#This Row],[RUN]],BBDD_Formadores[],15,FALSE)),"NO",VLOOKUP(T_Voluntarios[[#This Row],[RUN]],BBDD_Formadores[],15,FALSE))</f>
        <v>NO</v>
      </c>
      <c r="Y18" s="13" t="str">
        <f>IF(ISERROR(VLOOKUP(T_Voluntarios[[#This Row],[RUN]],BBDD_Formadores[],16,FALSE)),"NO",VLOOKUP(T_Voluntarios[[#This Row],[RUN]],BBDD_Formadores[],16,FALSE))</f>
        <v>NO</v>
      </c>
      <c r="Z18" s="13" t="str">
        <f>IF(ISERROR(VLOOKUP(T_Voluntarios[[#This Row],[RUN]],BBDD_Formadores[],17,FALSE)),"NO",VLOOKUP(T_Voluntarios[[#This Row],[RUN]],BBDD_Formadores[],17,FALSE))</f>
        <v>NO</v>
      </c>
      <c r="AA18" s="13" t="str">
        <f>IF(ISERROR(VLOOKUP(T_Voluntarios[[#This Row],[RUN]],BBDD_Formadores[],18,FALSE)),"NO",VLOOKUP(T_Voluntarios[[#This Row],[RUN]],BBDD_Formadores[],18,FALSE))</f>
        <v>NO</v>
      </c>
      <c r="AB18" s="13">
        <v>1</v>
      </c>
      <c r="AC18" s="13" t="s">
        <v>1</v>
      </c>
      <c r="AD18" s="13" t="s">
        <v>77</v>
      </c>
      <c r="AF18" s="2" t="str">
        <f>IF(VLOOKUP(T_Voluntarios[[#This Row],[RUN]],BBDD[],25,FALSE)=0,"",VLOOKUP(T_Voluntarios[[#This Row],[RUN]],BBDD[],25,FALSE))</f>
        <v/>
      </c>
      <c r="AG18" s="2" t="str">
        <f>IF(VLOOKUP(T_Voluntarios[[#This Row],[RUN]],BBDD[],26,FALSE)=0,"",VLOOKUP(T_Voluntarios[[#This Row],[RUN]],BBDD[],26,FALSE))</f>
        <v/>
      </c>
      <c r="AH18" s="2" t="str">
        <f>IF(VLOOKUP(T_Voluntarios[[#This Row],[RUN]],BBDD[],24,FALSE)=0,"",VLOOKUP(T_Voluntarios[[#This Row],[RUN]],BBDD[],24,FALSE))</f>
        <v/>
      </c>
      <c r="AI18" s="13" t="str">
        <f>VLOOKUP(T_Voluntarios[[#This Row],[RUN]],BBDD[],28,FALSE)</f>
        <v>No</v>
      </c>
      <c r="AJ18" s="13" t="str">
        <f>VLOOKUP(T_Voluntarios[[#This Row],[RUN]],BBDD[],28,FALSE)</f>
        <v>No</v>
      </c>
      <c r="AK18" s="32">
        <f>IF(T_Voluntarios[[#This Row],[ROL]]="Participante",SUMIFS(T_Cuotas[[#All],[Total]],T_Cuotas[[#All],[RUN]],T_Voluntarios[[#This Row],[RUN]]),-1)</f>
        <v>50000</v>
      </c>
      <c r="AL18" s="13" t="s">
        <v>1</v>
      </c>
      <c r="AM18" s="13" t="s">
        <v>2029</v>
      </c>
      <c r="AP18" s="2" t="str">
        <f>MID(T_Voluntarios[[#This Row],[E_MAIL]],SEARCH("@",T_Voluntarios[[#This Row],[E_MAIL]],1),LEN(T_Voluntarios[[#This Row],[E_MAIL]]))</f>
        <v>@gmail.com</v>
      </c>
      <c r="AQ18" s="13" t="str">
        <f>VLOOKUP(T_Voluntarios[[#This Row],[RUN]],BBDD[],37,FALSE)</f>
        <v>20</v>
      </c>
      <c r="AR18" s="2" t="str">
        <f>VLOOKUP(T_Voluntarios[[#This Row],[RUN]],BBDD[],29,FALSE)</f>
        <v>No tengo, soy estudiante</v>
      </c>
      <c r="AS18" s="2" t="str">
        <f>VLOOKUP(T_Voluntarios[[#This Row],[RUN]],BBDD[],30,FALSE)</f>
        <v>11 años</v>
      </c>
      <c r="AT18" s="2" t="str">
        <f>VLOOKUP(T_Voluntarios[[#This Row],[RUN]],BBDD[],31,FALSE)</f>
        <v>Este año y algunos voluntariados cortos</v>
      </c>
      <c r="AU18" s="2" t="str">
        <f>VLOOKUP(T_Voluntarios[[#This Row],[RUN]],BBDD[],32,FALSE)</f>
        <v>Soltero(a)</v>
      </c>
      <c r="AV18" s="2" t="str">
        <f>VLOOKUP(T_Voluntarios[[#This Row],[RUN]],BBDD[],33,FALSE)</f>
        <v>Ninguna</v>
      </c>
      <c r="AW18" s="2" t="str">
        <f>VLOOKUP(T_Voluntarios[[#This Row],[RUN]],BBDD[],34,FALSE)</f>
        <v>Jose</v>
      </c>
      <c r="AX18" s="13" t="s">
        <v>733</v>
      </c>
      <c r="AY18" s="76">
        <f>VLOOKUP(T_Voluntarios[[#This Row],[RUN]],BBDD[],2,FALSE)</f>
        <v>45780.145754899691</v>
      </c>
      <c r="AZ18" s="13" t="s">
        <v>3403</v>
      </c>
    </row>
    <row r="19" spans="1:52" ht="14.4" x14ac:dyDescent="0.3">
      <c r="A19" t="s">
        <v>919</v>
      </c>
      <c r="B19" s="2" t="str">
        <f>VLOOKUP(T_Voluntarios[[#This Row],[RUN]],BBDD[],3,FALSE)</f>
        <v>liviocarrasco@gmail.com</v>
      </c>
      <c r="C19" s="2" t="str">
        <f>VLOOKUP(T_Voluntarios[[#This Row],[RUN]],BBDD[],4,FALSE)</f>
        <v>Livio Alfredo Carrasco Duran</v>
      </c>
      <c r="D19" s="16">
        <f>VLOOKUP(T_Voluntarios[[#This Row],[RUN]],BBDD[],5,FALSE)</f>
        <v>29183</v>
      </c>
      <c r="E19" s="2" t="str">
        <f>VLOOKUP(T_Voluntarios[[#This Row],[RUN]],BBDD[],6,FALSE)</f>
        <v>Martínez de Rosas 137, Purranque</v>
      </c>
      <c r="F19" s="2" t="str">
        <f>VLOOKUP(T_Voluntarios[[#This Row],[RUN]],BBDD[],7,FALSE)</f>
        <v>Purranque</v>
      </c>
      <c r="G19" s="2" t="str">
        <f>VLOOKUP(T_Voluntarios[[#This Row],[RUN]],BBDD[],8,FALSE)</f>
        <v>Celular</v>
      </c>
      <c r="H19" s="2" t="str">
        <f>IF(VLOOKUP(T_Voluntarios[[#This Row],[RUN]],BBDD[],9,FALSE)=0,"Falta",VLOOKUP(T_Voluntarios[[#This Row],[RUN]],BBDD[],9,FALSE))</f>
        <v>+56988118402</v>
      </c>
      <c r="I19" s="2" t="str">
        <f>VLOOKUP(T_Voluntarios[[#This Row],[RUN]],BBDD[],10,FALSE)</f>
        <v>Participante</v>
      </c>
      <c r="J19" s="2" t="str">
        <f>VLOOKUP(T_Voluntarios[[#This Row],[RUN]],BBDD[],11,FALSE)</f>
        <v>San Mateo</v>
      </c>
      <c r="K19" s="2" t="str">
        <f>VLOOKUP(T_Voluntarios[[#This Row],[RUN]],BBDD[],12,FALSE)</f>
        <v>Pioneros</v>
      </c>
      <c r="L19" s="2" t="str">
        <f>VLOOKUP(T_Voluntarios[[#This Row],[RUN]],BBDD[],15,FALSE)</f>
        <v>Zona Los Lagos</v>
      </c>
      <c r="M19" s="2" t="str">
        <f>VLOOKUP(T_Voluntarios[[#This Row],[RUN]],BBDD[],20,FALSE)</f>
        <v>Alimentación Tradicional</v>
      </c>
      <c r="N19" s="2" t="str">
        <f>VLOOKUP(T_Voluntarios[[#This Row],[RUN]],BBDD[],21,FALSE)</f>
        <v>Ninguna</v>
      </c>
      <c r="O19" s="2" t="str">
        <f>VLOOKUP(T_Voluntarios[[#This Row],[RUN]],BBDD[],22,FALSE)</f>
        <v>Ninguna</v>
      </c>
      <c r="P19" s="2" t="str">
        <f>VLOOKUP(T_Voluntarios[[#This Row],[RUN]],BBDD[],23,FALSE)</f>
        <v>Waleska Prambs. +56994861311</v>
      </c>
      <c r="Q19" s="2" t="str">
        <f>IF(VLOOKUP(T_Voluntarios[[#This Row],[RUN]],BBDD[],27,FALSE)=0,"",VLOOKUP(T_Voluntarios[[#This Row],[RUN]],BBDD[],27,FALSE))</f>
        <v>Venimos desde purranque. Buscaremos alojo por la zona. No sé si Uds ven alguna limitación.</v>
      </c>
      <c r="R19" s="2" t="str">
        <f>VLOOKUP(T_Voluntarios[[#This Row],[RUN]],BBDD[],36,FALSE)</f>
        <v>https://drive.google.com/open?id=1QXMi2oFCu59IWzjt2rizSqCEouOtYWsz</v>
      </c>
      <c r="S19" s="2" t="str">
        <f>VLOOKUP(T_Voluntarios[[#This Row],[RUN]],BBDD[],16,FALSE)</f>
        <v>Inicial</v>
      </c>
      <c r="T19" s="2" t="str">
        <f>VLOOKUP(T_Voluntarios[[#This Row],[RUN]],BBDD[],17,FALSE)</f>
        <v>Ninguno</v>
      </c>
      <c r="U19" s="2" t="str">
        <f>VLOOKUP(T_Voluntarios[[#This Row],[RUN]],BBDD[],18,FALSE)</f>
        <v>Ninguno</v>
      </c>
      <c r="V19" s="2" t="str">
        <f>VLOOKUP(T_Voluntarios[[#This Row],[RUN]],BBDD[],19,FALSE)</f>
        <v>Ninguno</v>
      </c>
      <c r="W19" s="13" t="str">
        <f>IF(OR(T_Voluntarios[[#This Row],[ROL]]="Formador(a)"),"SI","NO")</f>
        <v>NO</v>
      </c>
      <c r="X19" s="13" t="str">
        <f>IF(ISERROR(VLOOKUP(T_Voluntarios[[#This Row],[RUN]],BBDD_Formadores[],15,FALSE)),"NO",VLOOKUP(T_Voluntarios[[#This Row],[RUN]],BBDD_Formadores[],15,FALSE))</f>
        <v>NO</v>
      </c>
      <c r="Y19" s="13" t="str">
        <f>IF(ISERROR(VLOOKUP(T_Voluntarios[[#This Row],[RUN]],BBDD_Formadores[],16,FALSE)),"NO",VLOOKUP(T_Voluntarios[[#This Row],[RUN]],BBDD_Formadores[],16,FALSE))</f>
        <v>NO</v>
      </c>
      <c r="Z19" s="13" t="str">
        <f>IF(ISERROR(VLOOKUP(T_Voluntarios[[#This Row],[RUN]],BBDD_Formadores[],17,FALSE)),"NO",VLOOKUP(T_Voluntarios[[#This Row],[RUN]],BBDD_Formadores[],17,FALSE))</f>
        <v>NO</v>
      </c>
      <c r="AA19" s="13" t="str">
        <f>IF(ISERROR(VLOOKUP(T_Voluntarios[[#This Row],[RUN]],BBDD_Formadores[],18,FALSE)),"NO",VLOOKUP(T_Voluntarios[[#This Row],[RUN]],BBDD_Formadores[],18,FALSE))</f>
        <v>NO</v>
      </c>
      <c r="AB19" s="13">
        <v>1</v>
      </c>
      <c r="AC19" s="13" t="s">
        <v>1597</v>
      </c>
      <c r="AD19" s="13" t="s">
        <v>78</v>
      </c>
      <c r="AF19" s="2" t="str">
        <f>IF(VLOOKUP(T_Voluntarios[[#This Row],[RUN]],BBDD[],25,FALSE)=0,"",VLOOKUP(T_Voluntarios[[#This Row],[RUN]],BBDD[],25,FALSE))</f>
        <v>Skoda</v>
      </c>
      <c r="AG19" s="2" t="str">
        <f>IF(VLOOKUP(T_Voluntarios[[#This Row],[RUN]],BBDD[],26,FALSE)=0,"",VLOOKUP(T_Voluntarios[[#This Row],[RUN]],BBDD[],26,FALSE))</f>
        <v>Kodiak</v>
      </c>
      <c r="AH19" s="2" t="str">
        <f>IF(VLOOKUP(T_Voluntarios[[#This Row],[RUN]],BBDD[],24,FALSE)=0,"",VLOOKUP(T_Voluntarios[[#This Row],[RUN]],BBDD[],24,FALSE))</f>
        <v>SXYH17</v>
      </c>
      <c r="AI19" s="13" t="str">
        <f>VLOOKUP(T_Voluntarios[[#This Row],[RUN]],BBDD[],28,FALSE)</f>
        <v>No</v>
      </c>
      <c r="AJ19" s="13" t="str">
        <f>VLOOKUP(T_Voluntarios[[#This Row],[RUN]],BBDD[],28,FALSE)</f>
        <v>No</v>
      </c>
      <c r="AK19" s="32">
        <f>IF(T_Voluntarios[[#This Row],[ROL]]="Participante",SUMIFS(T_Cuotas[[#All],[Total]],T_Cuotas[[#All],[RUN]],T_Voluntarios[[#This Row],[RUN]]),-1)</f>
        <v>0</v>
      </c>
      <c r="AL19" s="13" t="s">
        <v>78</v>
      </c>
      <c r="AM19" s="13" t="s">
        <v>733</v>
      </c>
      <c r="AP19" s="2" t="str">
        <f>MID(T_Voluntarios[[#This Row],[E_MAIL]],SEARCH("@",T_Voluntarios[[#This Row],[E_MAIL]],1),LEN(T_Voluntarios[[#This Row],[E_MAIL]]))</f>
        <v>@gmail.com</v>
      </c>
      <c r="AQ19" s="13" t="str">
        <f>VLOOKUP(T_Voluntarios[[#This Row],[RUN]],BBDD[],37,FALSE)</f>
        <v>45</v>
      </c>
      <c r="AR19" s="2" t="str">
        <f>VLOOKUP(T_Voluntarios[[#This Row],[RUN]],BBDD[],29,FALSE)</f>
        <v>Ingeniero Civil en Informática</v>
      </c>
      <c r="AS19" s="2" t="str">
        <f>VLOOKUP(T_Voluntarios[[#This Row],[RUN]],BBDD[],30,FALSE)</f>
        <v>6 años</v>
      </c>
      <c r="AT19" s="2" t="str">
        <f>VLOOKUP(T_Voluntarios[[#This Row],[RUN]],BBDD[],31,FALSE)</f>
        <v>2 años</v>
      </c>
      <c r="AU19" s="2" t="str">
        <f>VLOOKUP(T_Voluntarios[[#This Row],[RUN]],BBDD[],32,FALSE)</f>
        <v>Soltero(a)</v>
      </c>
      <c r="AV19" s="2" t="str">
        <f>VLOOKUP(T_Voluntarios[[#This Row],[RUN]],BBDD[],33,FALSE)</f>
        <v>Catolica</v>
      </c>
      <c r="AW19" s="2" t="str">
        <f>VLOOKUP(T_Voluntarios[[#This Row],[RUN]],BBDD[],34,FALSE)</f>
        <v>Livio</v>
      </c>
      <c r="AX19" s="13" t="s">
        <v>733</v>
      </c>
      <c r="AY19" s="76">
        <f>VLOOKUP(T_Voluntarios[[#This Row],[RUN]],BBDD[],2,FALSE)</f>
        <v>45780.530955825619</v>
      </c>
      <c r="AZ19" s="13" t="s">
        <v>2</v>
      </c>
    </row>
    <row r="20" spans="1:52" ht="14.4" x14ac:dyDescent="0.3">
      <c r="A20" t="s">
        <v>934</v>
      </c>
      <c r="B20" s="2" t="str">
        <f>VLOOKUP(T_Voluntarios[[#This Row],[RUN]],BBDD[],3,FALSE)</f>
        <v>aneri15@gmail.com</v>
      </c>
      <c r="C20" s="2" t="str">
        <f>VLOOKUP(T_Voluntarios[[#This Row],[RUN]],BBDD[],4,FALSE)</f>
        <v>Ana Erilda Peña Orellana</v>
      </c>
      <c r="D20" s="16">
        <f>VLOOKUP(T_Voluntarios[[#This Row],[RUN]],BBDD[],5,FALSE)</f>
        <v>32685</v>
      </c>
      <c r="E20" s="2" t="str">
        <f>VLOOKUP(T_Voluntarios[[#This Row],[RUN]],BBDD[],6,FALSE)</f>
        <v>Pasaje Arnoldo Hauri 455</v>
      </c>
      <c r="F20" s="2" t="str">
        <f>VLOOKUP(T_Voluntarios[[#This Row],[RUN]],BBDD[],7,FALSE)</f>
        <v>Lautaro</v>
      </c>
      <c r="G20" s="2" t="str">
        <f>VLOOKUP(T_Voluntarios[[#This Row],[RUN]],BBDD[],8,FALSE)</f>
        <v>Celular</v>
      </c>
      <c r="H20" s="2" t="str">
        <f>IF(VLOOKUP(T_Voluntarios[[#This Row],[RUN]],BBDD[],9,FALSE)=0,"Falta",VLOOKUP(T_Voluntarios[[#This Row],[RUN]],BBDD[],9,FALSE))</f>
        <v>+56989709230</v>
      </c>
      <c r="I20" s="2" t="str">
        <f>VLOOKUP(T_Voluntarios[[#This Row],[RUN]],BBDD[],10,FALSE)</f>
        <v>Participante</v>
      </c>
      <c r="J20" s="2" t="str">
        <f>VLOOKUP(T_Voluntarios[[#This Row],[RUN]],BBDD[],11,FALSE)</f>
        <v>Aliwen kimün</v>
      </c>
      <c r="K20" s="2" t="str">
        <f>VLOOKUP(T_Voluntarios[[#This Row],[RUN]],BBDD[],12,FALSE)</f>
        <v>Pioneros</v>
      </c>
      <c r="L20" s="2" t="str">
        <f>VLOOKUP(T_Voluntarios[[#This Row],[RUN]],BBDD[],15,FALSE)</f>
        <v>Zona La Frontera</v>
      </c>
      <c r="M20" s="2" t="str">
        <f>VLOOKUP(T_Voluntarios[[#This Row],[RUN]],BBDD[],20,FALSE)</f>
        <v>Alimentación Tradicional</v>
      </c>
      <c r="N20" s="2" t="str">
        <f>VLOOKUP(T_Voluntarios[[#This Row],[RUN]],BBDD[],21,FALSE)</f>
        <v>Intolerancia a Lactosa</v>
      </c>
      <c r="O20" s="2" t="str">
        <f>VLOOKUP(T_Voluntarios[[#This Row],[RUN]],BBDD[],22,FALSE)</f>
        <v>Ninguna</v>
      </c>
      <c r="P20" s="2" t="str">
        <f>VLOOKUP(T_Voluntarios[[#This Row],[RUN]],BBDD[],23,FALSE)</f>
        <v>Karla de la Jara +56 9 7138 0064</v>
      </c>
      <c r="Q20" s="2" t="str">
        <f>IF(VLOOKUP(T_Voluntarios[[#This Row],[RUN]],BBDD[],27,FALSE)=0,"",VLOOKUP(T_Voluntarios[[#This Row],[RUN]],BBDD[],27,FALSE))</f>
        <v/>
      </c>
      <c r="R20" s="2" t="str">
        <f>VLOOKUP(T_Voluntarios[[#This Row],[RUN]],BBDD[],36,FALSE)</f>
        <v>https://drive.google.com/open?id=1ZrU8L2lr1dZP67OOOzDHgrRmFSwne1OH</v>
      </c>
      <c r="S20" s="2" t="str">
        <f>VLOOKUP(T_Voluntarios[[#This Row],[RUN]],BBDD[],16,FALSE)</f>
        <v>Inicial</v>
      </c>
      <c r="T20" s="2" t="str">
        <f>VLOOKUP(T_Voluntarios[[#This Row],[RUN]],BBDD[],17,FALSE)</f>
        <v>Ninguno</v>
      </c>
      <c r="U20" s="2" t="str">
        <f>VLOOKUP(T_Voluntarios[[#This Row],[RUN]],BBDD[],18,FALSE)</f>
        <v>Ninguno</v>
      </c>
      <c r="V20" s="2" t="str">
        <f>VLOOKUP(T_Voluntarios[[#This Row],[RUN]],BBDD[],19,FALSE)</f>
        <v>Ninguno</v>
      </c>
      <c r="W20" s="13" t="str">
        <f>IF(OR(T_Voluntarios[[#This Row],[ROL]]="Formador(a)"),"SI","NO")</f>
        <v>NO</v>
      </c>
      <c r="X20" s="13" t="str">
        <f>IF(ISERROR(VLOOKUP(T_Voluntarios[[#This Row],[RUN]],BBDD_Formadores[],15,FALSE)),"NO",VLOOKUP(T_Voluntarios[[#This Row],[RUN]],BBDD_Formadores[],15,FALSE))</f>
        <v>NO</v>
      </c>
      <c r="Y20" s="13" t="str">
        <f>IF(ISERROR(VLOOKUP(T_Voluntarios[[#This Row],[RUN]],BBDD_Formadores[],16,FALSE)),"NO",VLOOKUP(T_Voluntarios[[#This Row],[RUN]],BBDD_Formadores[],16,FALSE))</f>
        <v>NO</v>
      </c>
      <c r="Z20" s="13" t="str">
        <f>IF(ISERROR(VLOOKUP(T_Voluntarios[[#This Row],[RUN]],BBDD_Formadores[],17,FALSE)),"NO",VLOOKUP(T_Voluntarios[[#This Row],[RUN]],BBDD_Formadores[],17,FALSE))</f>
        <v>NO</v>
      </c>
      <c r="AA20" s="13" t="str">
        <f>IF(ISERROR(VLOOKUP(T_Voluntarios[[#This Row],[RUN]],BBDD_Formadores[],18,FALSE)),"NO",VLOOKUP(T_Voluntarios[[#This Row],[RUN]],BBDD_Formadores[],18,FALSE))</f>
        <v>NO</v>
      </c>
      <c r="AB20" s="13">
        <v>1</v>
      </c>
      <c r="AC20" s="13" t="s">
        <v>1</v>
      </c>
      <c r="AD20" s="13" t="s">
        <v>77</v>
      </c>
      <c r="AF20" s="2" t="str">
        <f>IF(VLOOKUP(T_Voluntarios[[#This Row],[RUN]],BBDD[],25,FALSE)=0,"",VLOOKUP(T_Voluntarios[[#This Row],[RUN]],BBDD[],25,FALSE))</f>
        <v/>
      </c>
      <c r="AG20" s="2" t="str">
        <f>IF(VLOOKUP(T_Voluntarios[[#This Row],[RUN]],BBDD[],26,FALSE)=0,"",VLOOKUP(T_Voluntarios[[#This Row],[RUN]],BBDD[],26,FALSE))</f>
        <v/>
      </c>
      <c r="AH20" s="2" t="str">
        <f>IF(VLOOKUP(T_Voluntarios[[#This Row],[RUN]],BBDD[],24,FALSE)=0,"",VLOOKUP(T_Voluntarios[[#This Row],[RUN]],BBDD[],24,FALSE))</f>
        <v/>
      </c>
      <c r="AI20" s="13" t="str">
        <f>VLOOKUP(T_Voluntarios[[#This Row],[RUN]],BBDD[],28,FALSE)</f>
        <v>SI</v>
      </c>
      <c r="AJ20" s="13" t="str">
        <f>VLOOKUP(T_Voluntarios[[#This Row],[RUN]],BBDD[],28,FALSE)</f>
        <v>SI</v>
      </c>
      <c r="AK20" s="32">
        <f>IF(T_Voluntarios[[#This Row],[ROL]]="Participante",SUMIFS(T_Cuotas[[#All],[Total]],T_Cuotas[[#All],[RUN]],T_Voluntarios[[#This Row],[RUN]]),-1)</f>
        <v>50000</v>
      </c>
      <c r="AL20" s="13" t="s">
        <v>1</v>
      </c>
      <c r="AM20" s="13" t="s">
        <v>2029</v>
      </c>
      <c r="AP20" s="2" t="str">
        <f>MID(T_Voluntarios[[#This Row],[E_MAIL]],SEARCH("@",T_Voluntarios[[#This Row],[E_MAIL]],1),LEN(T_Voluntarios[[#This Row],[E_MAIL]]))</f>
        <v>@gmail.com</v>
      </c>
      <c r="AQ20" s="13" t="str">
        <f>VLOOKUP(T_Voluntarios[[#This Row],[RUN]],BBDD[],37,FALSE)</f>
        <v>36</v>
      </c>
      <c r="AR20" s="2" t="str">
        <f>VLOOKUP(T_Voluntarios[[#This Row],[RUN]],BBDD[],29,FALSE)</f>
        <v>Profesora media en matemática</v>
      </c>
      <c r="AS20" s="2" t="str">
        <f>VLOOKUP(T_Voluntarios[[#This Row],[RUN]],BBDD[],30,FALSE)</f>
        <v>3 meses</v>
      </c>
      <c r="AT20" s="2" t="str">
        <f>VLOOKUP(T_Voluntarios[[#This Row],[RUN]],BBDD[],31,FALSE)</f>
        <v>3</v>
      </c>
      <c r="AU20" s="2" t="str">
        <f>VLOOKUP(T_Voluntarios[[#This Row],[RUN]],BBDD[],32,FALSE)</f>
        <v>Soltero(a)</v>
      </c>
      <c r="AV20" s="2" t="str">
        <f>VLOOKUP(T_Voluntarios[[#This Row],[RUN]],BBDD[],33,FALSE)</f>
        <v>Ninguna</v>
      </c>
      <c r="AW20" s="2" t="str">
        <f>VLOOKUP(T_Voluntarios[[#This Row],[RUN]],BBDD[],34,FALSE)</f>
        <v>Anny</v>
      </c>
      <c r="AX20" s="13" t="s">
        <v>733</v>
      </c>
      <c r="AY20" s="76">
        <f>VLOOKUP(T_Voluntarios[[#This Row],[RUN]],BBDD[],2,FALSE)</f>
        <v>45780.64601385031</v>
      </c>
      <c r="AZ20" s="13" t="s">
        <v>3402</v>
      </c>
    </row>
    <row r="21" spans="1:52" ht="14.4" x14ac:dyDescent="0.3">
      <c r="A21" t="s">
        <v>948</v>
      </c>
      <c r="B21" s="2" t="str">
        <f>VLOOKUP(T_Voluntarios[[#This Row],[RUN]],BBDD[],3,FALSE)</f>
        <v>latorrefrancisco@gmail.com</v>
      </c>
      <c r="C21" s="2" t="str">
        <f>VLOOKUP(T_Voluntarios[[#This Row],[RUN]],BBDD[],4,FALSE)</f>
        <v>Francisco Javier Latorre Zuñiga</v>
      </c>
      <c r="D21" s="16">
        <f>VLOOKUP(T_Voluntarios[[#This Row],[RUN]],BBDD[],5,FALSE)</f>
        <v>33147</v>
      </c>
      <c r="E21" s="2" t="str">
        <f>VLOOKUP(T_Voluntarios[[#This Row],[RUN]],BBDD[],6,FALSE)</f>
        <v>General Cornelio Saavedra 59</v>
      </c>
      <c r="F21" s="2" t="str">
        <f>VLOOKUP(T_Voluntarios[[#This Row],[RUN]],BBDD[],7,FALSE)</f>
        <v>Chiguayante</v>
      </c>
      <c r="G21" s="2" t="str">
        <f>VLOOKUP(T_Voluntarios[[#This Row],[RUN]],BBDD[],8,FALSE)</f>
        <v>Celular</v>
      </c>
      <c r="H21" s="2" t="str">
        <f>IF(VLOOKUP(T_Voluntarios[[#This Row],[RUN]],BBDD[],9,FALSE)=0,"Falta",VLOOKUP(T_Voluntarios[[#This Row],[RUN]],BBDD[],9,FALSE))</f>
        <v>+56995142816</v>
      </c>
      <c r="I21" s="2" t="str">
        <f>VLOOKUP(T_Voluntarios[[#This Row],[RUN]],BBDD[],10,FALSE)</f>
        <v>Participante</v>
      </c>
      <c r="J21" s="2" t="str">
        <f>VLOOKUP(T_Voluntarios[[#This Row],[RUN]],BBDD[],11,FALSE)</f>
        <v>Rañileufu</v>
      </c>
      <c r="K21" s="2" t="str">
        <f>VLOOKUP(T_Voluntarios[[#This Row],[RUN]],BBDD[],12,FALSE)</f>
        <v>Caminantes</v>
      </c>
      <c r="L21" s="2" t="str">
        <f>VLOOKUP(T_Voluntarios[[#This Row],[RUN]],BBDD[],15,FALSE)</f>
        <v>Concepción</v>
      </c>
      <c r="M21" s="2" t="str">
        <f>VLOOKUP(T_Voluntarios[[#This Row],[RUN]],BBDD[],20,FALSE)</f>
        <v>Alimentación Tradicional</v>
      </c>
      <c r="N21" s="2" t="str">
        <f>VLOOKUP(T_Voluntarios[[#This Row],[RUN]],BBDD[],21,FALSE)</f>
        <v>Ninguna</v>
      </c>
      <c r="O21" s="2" t="str">
        <f>VLOOKUP(T_Voluntarios[[#This Row],[RUN]],BBDD[],22,FALSE)</f>
        <v>Ninguna</v>
      </c>
      <c r="P21" s="2" t="str">
        <f>VLOOKUP(T_Voluntarios[[#This Row],[RUN]],BBDD[],23,FALSE)</f>
        <v>Victoria Reyes 975679087</v>
      </c>
      <c r="Q21" s="2" t="str">
        <f>IF(VLOOKUP(T_Voluntarios[[#This Row],[RUN]],BBDD[],27,FALSE)=0,"",VLOOKUP(T_Voluntarios[[#This Row],[RUN]],BBDD[],27,FALSE))</f>
        <v/>
      </c>
      <c r="R21" s="2" t="str">
        <f>VLOOKUP(T_Voluntarios[[#This Row],[RUN]],BBDD[],36,FALSE)</f>
        <v>https://drive.google.com/open?id=1kReYL37Jw2aCO2SQZgR1sAL1KVNIbMWb</v>
      </c>
      <c r="S21" s="2" t="str">
        <f>VLOOKUP(T_Voluntarios[[#This Row],[RUN]],BBDD[],16,FALSE)</f>
        <v>Inicial</v>
      </c>
      <c r="T21" s="2" t="str">
        <f>VLOOKUP(T_Voluntarios[[#This Row],[RUN]],BBDD[],17,FALSE)</f>
        <v>Ninguno</v>
      </c>
      <c r="U21" s="2" t="str">
        <f>VLOOKUP(T_Voluntarios[[#This Row],[RUN]],BBDD[],18,FALSE)</f>
        <v>Ninguno</v>
      </c>
      <c r="V21" s="2" t="str">
        <f>VLOOKUP(T_Voluntarios[[#This Row],[RUN]],BBDD[],19,FALSE)</f>
        <v>Ninguno</v>
      </c>
      <c r="W21" s="13" t="str">
        <f>IF(OR(T_Voluntarios[[#This Row],[ROL]]="Formador(a)"),"SI","NO")</f>
        <v>NO</v>
      </c>
      <c r="X21" s="13" t="str">
        <f>IF(ISERROR(VLOOKUP(T_Voluntarios[[#This Row],[RUN]],BBDD_Formadores[],15,FALSE)),"NO",VLOOKUP(T_Voluntarios[[#This Row],[RUN]],BBDD_Formadores[],15,FALSE))</f>
        <v>NO</v>
      </c>
      <c r="Y21" s="13" t="str">
        <f>IF(ISERROR(VLOOKUP(T_Voluntarios[[#This Row],[RUN]],BBDD_Formadores[],16,FALSE)),"NO",VLOOKUP(T_Voluntarios[[#This Row],[RUN]],BBDD_Formadores[],16,FALSE))</f>
        <v>NO</v>
      </c>
      <c r="Z21" s="13" t="str">
        <f>IF(ISERROR(VLOOKUP(T_Voluntarios[[#This Row],[RUN]],BBDD_Formadores[],17,FALSE)),"NO",VLOOKUP(T_Voluntarios[[#This Row],[RUN]],BBDD_Formadores[],17,FALSE))</f>
        <v>NO</v>
      </c>
      <c r="AA21" s="13" t="str">
        <f>IF(ISERROR(VLOOKUP(T_Voluntarios[[#This Row],[RUN]],BBDD_Formadores[],18,FALSE)),"NO",VLOOKUP(T_Voluntarios[[#This Row],[RUN]],BBDD_Formadores[],18,FALSE))</f>
        <v>NO</v>
      </c>
      <c r="AB21" s="13">
        <v>1</v>
      </c>
      <c r="AC21" s="13" t="s">
        <v>1</v>
      </c>
      <c r="AD21" s="13" t="s">
        <v>77</v>
      </c>
      <c r="AF21" s="2" t="str">
        <f>IF(VLOOKUP(T_Voluntarios[[#This Row],[RUN]],BBDD[],25,FALSE)=0,"",VLOOKUP(T_Voluntarios[[#This Row],[RUN]],BBDD[],25,FALSE))</f>
        <v/>
      </c>
      <c r="AG21" s="2" t="str">
        <f>IF(VLOOKUP(T_Voluntarios[[#This Row],[RUN]],BBDD[],26,FALSE)=0,"",VLOOKUP(T_Voluntarios[[#This Row],[RUN]],BBDD[],26,FALSE))</f>
        <v/>
      </c>
      <c r="AH21" s="2" t="str">
        <f>IF(VLOOKUP(T_Voluntarios[[#This Row],[RUN]],BBDD[],24,FALSE)=0,"",VLOOKUP(T_Voluntarios[[#This Row],[RUN]],BBDD[],24,FALSE))</f>
        <v/>
      </c>
      <c r="AI21" s="13" t="str">
        <f>VLOOKUP(T_Voluntarios[[#This Row],[RUN]],BBDD[],28,FALSE)</f>
        <v>SI</v>
      </c>
      <c r="AJ21" s="13" t="str">
        <f>VLOOKUP(T_Voluntarios[[#This Row],[RUN]],BBDD[],28,FALSE)</f>
        <v>SI</v>
      </c>
      <c r="AK21" s="32">
        <f>IF(T_Voluntarios[[#This Row],[ROL]]="Participante",SUMIFS(T_Cuotas[[#All],[Total]],T_Cuotas[[#All],[RUN]],T_Voluntarios[[#This Row],[RUN]]),-1)</f>
        <v>50000</v>
      </c>
      <c r="AL21" s="13" t="s">
        <v>1</v>
      </c>
      <c r="AM21" s="13" t="s">
        <v>2029</v>
      </c>
      <c r="AP21" s="2" t="str">
        <f>MID(T_Voluntarios[[#This Row],[E_MAIL]],SEARCH("@",T_Voluntarios[[#This Row],[E_MAIL]],1),LEN(T_Voluntarios[[#This Row],[E_MAIL]]))</f>
        <v>@gmail.com</v>
      </c>
      <c r="AQ21" s="13" t="str">
        <f>VLOOKUP(T_Voluntarios[[#This Row],[RUN]],BBDD[],37,FALSE)</f>
        <v>34</v>
      </c>
      <c r="AR21" s="2" t="str">
        <f>VLOOKUP(T_Voluntarios[[#This Row],[RUN]],BBDD[],29,FALSE)</f>
        <v>Estudiante de derecho</v>
      </c>
      <c r="AS21" s="2" t="str">
        <f>VLOOKUP(T_Voluntarios[[#This Row],[RUN]],BBDD[],30,FALSE)</f>
        <v>0</v>
      </c>
      <c r="AT21" s="2" t="str">
        <f>VLOOKUP(T_Voluntarios[[#This Row],[RUN]],BBDD[],31,FALSE)</f>
        <v>6 años</v>
      </c>
      <c r="AU21" s="2" t="str">
        <f>VLOOKUP(T_Voluntarios[[#This Row],[RUN]],BBDD[],32,FALSE)</f>
        <v>Soltero(a)</v>
      </c>
      <c r="AV21" s="2" t="str">
        <f>VLOOKUP(T_Voluntarios[[#This Row],[RUN]],BBDD[],33,FALSE)</f>
        <v>Católica</v>
      </c>
      <c r="AW21" s="2" t="str">
        <f>VLOOKUP(T_Voluntarios[[#This Row],[RUN]],BBDD[],34,FALSE)</f>
        <v>Panxo</v>
      </c>
      <c r="AX21" s="13" t="s">
        <v>733</v>
      </c>
      <c r="AY21" s="76">
        <f>VLOOKUP(T_Voluntarios[[#This Row],[RUN]],BBDD[],2,FALSE)</f>
        <v>45780.728285918209</v>
      </c>
      <c r="AZ21" s="13" t="s">
        <v>3403</v>
      </c>
    </row>
    <row r="22" spans="1:52" ht="14.4" x14ac:dyDescent="0.3">
      <c r="A22" t="s">
        <v>957</v>
      </c>
      <c r="B22" s="2" t="str">
        <f>VLOOKUP(T_Voluntarios[[#This Row],[RUN]],BBDD[],3,FALSE)</f>
        <v>sebasper2003@gmail.com</v>
      </c>
      <c r="C22" s="2" t="str">
        <f>VLOOKUP(T_Voluntarios[[#This Row],[RUN]],BBDD[],4,FALSE)</f>
        <v>Sebastián Alejandro Pérez Serrano</v>
      </c>
      <c r="D22" s="16">
        <f>VLOOKUP(T_Voluntarios[[#This Row],[RUN]],BBDD[],5,FALSE)</f>
        <v>37837</v>
      </c>
      <c r="E22" s="2" t="str">
        <f>VLOOKUP(T_Voluntarios[[#This Row],[RUN]],BBDD[],6,FALSE)</f>
        <v>Brisa del sol, calle 3</v>
      </c>
      <c r="F22" s="2" t="str">
        <f>VLOOKUP(T_Voluntarios[[#This Row],[RUN]],BBDD[],7,FALSE)</f>
        <v>Talcahuano</v>
      </c>
      <c r="G22" s="2" t="str">
        <f>VLOOKUP(T_Voluntarios[[#This Row],[RUN]],BBDD[],8,FALSE)</f>
        <v>Celular</v>
      </c>
      <c r="H22" s="2" t="str">
        <f>IF(VLOOKUP(T_Voluntarios[[#This Row],[RUN]],BBDD[],9,FALSE)=0,"Falta",VLOOKUP(T_Voluntarios[[#This Row],[RUN]],BBDD[],9,FALSE))</f>
        <v>+56973352622</v>
      </c>
      <c r="I22" s="2" t="str">
        <f>VLOOKUP(T_Voluntarios[[#This Row],[RUN]],BBDD[],10,FALSE)</f>
        <v>Participante</v>
      </c>
      <c r="J22" s="2" t="str">
        <f>VLOOKUP(T_Voluntarios[[#This Row],[RUN]],BBDD[],11,FALSE)</f>
        <v>Rucapeñihue</v>
      </c>
      <c r="K22" s="2" t="str">
        <f>VLOOKUP(T_Voluntarios[[#This Row],[RUN]],BBDD[],12,FALSE)</f>
        <v>Scouts</v>
      </c>
      <c r="L22" s="2" t="str">
        <f>VLOOKUP(T_Voluntarios[[#This Row],[RUN]],BBDD[],15,FALSE)</f>
        <v>Concepción</v>
      </c>
      <c r="M22" s="2" t="str">
        <f>VLOOKUP(T_Voluntarios[[#This Row],[RUN]],BBDD[],20,FALSE)</f>
        <v>Sin Almuerzo</v>
      </c>
      <c r="N22" s="2" t="str">
        <f>VLOOKUP(T_Voluntarios[[#This Row],[RUN]],BBDD[],21,FALSE)</f>
        <v>Alergia a Penicilina e insectos</v>
      </c>
      <c r="O22" s="2" t="str">
        <f>VLOOKUP(T_Voluntarios[[#This Row],[RUN]],BBDD[],22,FALSE)</f>
        <v>Ninguna</v>
      </c>
      <c r="P22" s="2" t="str">
        <f>VLOOKUP(T_Voluntarios[[#This Row],[RUN]],BBDD[],23,FALSE)</f>
        <v>María Teresa Serrano Badilla +56950250390</v>
      </c>
      <c r="Q22" s="2" t="str">
        <f>IF(VLOOKUP(T_Voluntarios[[#This Row],[RUN]],BBDD[],27,FALSE)=0,"",VLOOKUP(T_Voluntarios[[#This Row],[RUN]],BBDD[],27,FALSE))</f>
        <v/>
      </c>
      <c r="R22" s="2" t="str">
        <f>VLOOKUP(T_Voluntarios[[#This Row],[RUN]],BBDD[],36,FALSE)</f>
        <v>https://drive.google.com/open?id=1tabU68-UjapXnlIh_xL6OKbRCsmkp4u6</v>
      </c>
      <c r="S22" s="2" t="str">
        <f>VLOOKUP(T_Voluntarios[[#This Row],[RUN]],BBDD[],16,FALSE)</f>
        <v>Inicial</v>
      </c>
      <c r="T22" s="2" t="str">
        <f>VLOOKUP(T_Voluntarios[[#This Row],[RUN]],BBDD[],17,FALSE)</f>
        <v>Ninguno</v>
      </c>
      <c r="U22" s="2" t="str">
        <f>VLOOKUP(T_Voluntarios[[#This Row],[RUN]],BBDD[],18,FALSE)</f>
        <v>Ninguno</v>
      </c>
      <c r="V22" s="2" t="str">
        <f>VLOOKUP(T_Voluntarios[[#This Row],[RUN]],BBDD[],19,FALSE)</f>
        <v>Ninguno</v>
      </c>
      <c r="W22" s="13" t="str">
        <f>IF(OR(T_Voluntarios[[#This Row],[ROL]]="Formador(a)"),"SI","NO")</f>
        <v>NO</v>
      </c>
      <c r="X22" s="13" t="str">
        <f>IF(ISERROR(VLOOKUP(T_Voluntarios[[#This Row],[RUN]],BBDD_Formadores[],15,FALSE)),"NO",VLOOKUP(T_Voluntarios[[#This Row],[RUN]],BBDD_Formadores[],15,FALSE))</f>
        <v>NO</v>
      </c>
      <c r="Y22" s="13" t="str">
        <f>IF(ISERROR(VLOOKUP(T_Voluntarios[[#This Row],[RUN]],BBDD_Formadores[],16,FALSE)),"NO",VLOOKUP(T_Voluntarios[[#This Row],[RUN]],BBDD_Formadores[],16,FALSE))</f>
        <v>NO</v>
      </c>
      <c r="Z22" s="13" t="str">
        <f>IF(ISERROR(VLOOKUP(T_Voluntarios[[#This Row],[RUN]],BBDD_Formadores[],17,FALSE)),"NO",VLOOKUP(T_Voluntarios[[#This Row],[RUN]],BBDD_Formadores[],17,FALSE))</f>
        <v>NO</v>
      </c>
      <c r="AA22" s="13" t="str">
        <f>IF(ISERROR(VLOOKUP(T_Voluntarios[[#This Row],[RUN]],BBDD_Formadores[],18,FALSE)),"NO",VLOOKUP(T_Voluntarios[[#This Row],[RUN]],BBDD_Formadores[],18,FALSE))</f>
        <v>NO</v>
      </c>
      <c r="AB22" s="13">
        <v>1</v>
      </c>
      <c r="AC22" s="13" t="s">
        <v>1</v>
      </c>
      <c r="AD22" s="13" t="s">
        <v>77</v>
      </c>
      <c r="AF22" s="2" t="str">
        <f>IF(VLOOKUP(T_Voluntarios[[#This Row],[RUN]],BBDD[],25,FALSE)=0,"",VLOOKUP(T_Voluntarios[[#This Row],[RUN]],BBDD[],25,FALSE))</f>
        <v>Susuki</v>
      </c>
      <c r="AG22" s="2" t="str">
        <f>IF(VLOOKUP(T_Voluntarios[[#This Row],[RUN]],BBDD[],26,FALSE)=0,"",VLOOKUP(T_Voluntarios[[#This Row],[RUN]],BBDD[],26,FALSE))</f>
        <v>Swift</v>
      </c>
      <c r="AH22" s="2" t="str">
        <f>IF(VLOOKUP(T_Voluntarios[[#This Row],[RUN]],BBDD[],24,FALSE)=0,"",VLOOKUP(T_Voluntarios[[#This Row],[RUN]],BBDD[],24,FALSE))</f>
        <v>JBTR67</v>
      </c>
      <c r="AI22" s="13" t="str">
        <f>VLOOKUP(T_Voluntarios[[#This Row],[RUN]],BBDD[],28,FALSE)</f>
        <v>SI</v>
      </c>
      <c r="AJ22" s="13" t="str">
        <f>VLOOKUP(T_Voluntarios[[#This Row],[RUN]],BBDD[],28,FALSE)</f>
        <v>SI</v>
      </c>
      <c r="AK22" s="32">
        <f>IF(T_Voluntarios[[#This Row],[ROL]]="Participante",SUMIFS(T_Cuotas[[#All],[Total]],T_Cuotas[[#All],[RUN]],T_Voluntarios[[#This Row],[RUN]]),-1)</f>
        <v>36500</v>
      </c>
      <c r="AL22" s="13" t="s">
        <v>1</v>
      </c>
      <c r="AM22" s="13" t="s">
        <v>2029</v>
      </c>
      <c r="AP22" s="2" t="str">
        <f>MID(T_Voluntarios[[#This Row],[E_MAIL]],SEARCH("@",T_Voluntarios[[#This Row],[E_MAIL]],1),LEN(T_Voluntarios[[#This Row],[E_MAIL]]))</f>
        <v>@gmail.com</v>
      </c>
      <c r="AQ22" s="13" t="str">
        <f>VLOOKUP(T_Voluntarios[[#This Row],[RUN]],BBDD[],37,FALSE)</f>
        <v>21</v>
      </c>
      <c r="AR22" s="2" t="str">
        <f>VLOOKUP(T_Voluntarios[[#This Row],[RUN]],BBDD[],29,FALSE)</f>
        <v>Estudiante</v>
      </c>
      <c r="AS22" s="2" t="str">
        <f>VLOOKUP(T_Voluntarios[[#This Row],[RUN]],BBDD[],30,FALSE)</f>
        <v>12 años</v>
      </c>
      <c r="AT22" s="2" t="str">
        <f>VLOOKUP(T_Voluntarios[[#This Row],[RUN]],BBDD[],31,FALSE)</f>
        <v>1 año y medio</v>
      </c>
      <c r="AU22" s="2" t="str">
        <f>VLOOKUP(T_Voluntarios[[#This Row],[RUN]],BBDD[],32,FALSE)</f>
        <v>Soltero(a)</v>
      </c>
      <c r="AV22" s="2" t="str">
        <f>VLOOKUP(T_Voluntarios[[#This Row],[RUN]],BBDD[],33,FALSE)</f>
        <v>Catolicismo</v>
      </c>
      <c r="AW22" s="2" t="str">
        <f>VLOOKUP(T_Voluntarios[[#This Row],[RUN]],BBDD[],34,FALSE)</f>
        <v>Seba</v>
      </c>
      <c r="AX22" s="13" t="s">
        <v>733</v>
      </c>
      <c r="AY22" s="76">
        <f>VLOOKUP(T_Voluntarios[[#This Row],[RUN]],BBDD[],2,FALSE)</f>
        <v>45780.801750462961</v>
      </c>
      <c r="AZ22" s="13" t="s">
        <v>3403</v>
      </c>
    </row>
    <row r="23" spans="1:52" ht="14.4" x14ac:dyDescent="0.3">
      <c r="A23" t="s">
        <v>1554</v>
      </c>
      <c r="B23" s="2" t="str">
        <f>VLOOKUP(T_Voluntarios[[#This Row],[RUN]],BBDD[],3,FALSE)</f>
        <v>elias.neirato@gmail.com</v>
      </c>
      <c r="C23" s="2" t="str">
        <f>VLOOKUP(T_Voluntarios[[#This Row],[RUN]],BBDD[],4,FALSE)</f>
        <v>Elias Neira Torres</v>
      </c>
      <c r="D23" s="16">
        <f>VLOOKUP(T_Voluntarios[[#This Row],[RUN]],BBDD[],5,FALSE)</f>
        <v>32726</v>
      </c>
      <c r="E23" s="2" t="str">
        <f>VLOOKUP(T_Voluntarios[[#This Row],[RUN]],BBDD[],6,FALSE)</f>
        <v>Manuel Rodríguez 1551</v>
      </c>
      <c r="F23" s="2" t="str">
        <f>VLOOKUP(T_Voluntarios[[#This Row],[RUN]],BBDD[],7,FALSE)</f>
        <v>Chiguayante</v>
      </c>
      <c r="G23" s="2" t="str">
        <f>VLOOKUP(T_Voluntarios[[#This Row],[RUN]],BBDD[],8,FALSE)</f>
        <v>Celular</v>
      </c>
      <c r="H23" s="2" t="str">
        <f>IF(VLOOKUP(T_Voluntarios[[#This Row],[RUN]],BBDD[],9,FALSE)=0,"Falta",VLOOKUP(T_Voluntarios[[#This Row],[RUN]],BBDD[],9,FALSE))</f>
        <v>+56997800817</v>
      </c>
      <c r="I23" s="2" t="str">
        <f>VLOOKUP(T_Voluntarios[[#This Row],[RUN]],BBDD[],10,FALSE)</f>
        <v>Participante</v>
      </c>
      <c r="J23" s="2" t="str">
        <f>VLOOKUP(T_Voluntarios[[#This Row],[RUN]],BBDD[],11,FALSE)</f>
        <v>Rañileufu</v>
      </c>
      <c r="K23" s="2" t="str">
        <f>VLOOKUP(T_Voluntarios[[#This Row],[RUN]],BBDD[],12,FALSE)</f>
        <v>Caminantes</v>
      </c>
      <c r="L23" s="2" t="str">
        <f>VLOOKUP(T_Voluntarios[[#This Row],[RUN]],BBDD[],15,FALSE)</f>
        <v>Concepción</v>
      </c>
      <c r="M23" s="2" t="str">
        <f>VLOOKUP(T_Voluntarios[[#This Row],[RUN]],BBDD[],20,FALSE)</f>
        <v>Alimentación Tradicional</v>
      </c>
      <c r="N23" s="2" t="str">
        <f>VLOOKUP(T_Voluntarios[[#This Row],[RUN]],BBDD[],21,FALSE)</f>
        <v>Ninguna</v>
      </c>
      <c r="O23" s="2" t="str">
        <f>VLOOKUP(T_Voluntarios[[#This Row],[RUN]],BBDD[],22,FALSE)</f>
        <v>No lo sé</v>
      </c>
      <c r="P23" s="2" t="str">
        <f>VLOOKUP(T_Voluntarios[[#This Row],[RUN]],BBDD[],23,FALSE)</f>
        <v>Florentino Neira +56972165886</v>
      </c>
      <c r="Q23" s="2" t="str">
        <f>IF(VLOOKUP(T_Voluntarios[[#This Row],[RUN]],BBDD[],27,FALSE)=0,"",VLOOKUP(T_Voluntarios[[#This Row],[RUN]],BBDD[],27,FALSE))</f>
        <v/>
      </c>
      <c r="R23" s="2" t="str">
        <f>VLOOKUP(T_Voluntarios[[#This Row],[RUN]],BBDD[],36,FALSE)</f>
        <v>https://drive.google.com/open?id=1KbUM0QynHg_WJGaxX1n0_XmI2US7TzGF</v>
      </c>
      <c r="S23" s="2" t="str">
        <f>VLOOKUP(T_Voluntarios[[#This Row],[RUN]],BBDD[],16,FALSE)</f>
        <v>Inicial</v>
      </c>
      <c r="T23" s="2" t="str">
        <f>VLOOKUP(T_Voluntarios[[#This Row],[RUN]],BBDD[],17,FALSE)</f>
        <v>Ninguno</v>
      </c>
      <c r="U23" s="2" t="str">
        <f>VLOOKUP(T_Voluntarios[[#This Row],[RUN]],BBDD[],18,FALSE)</f>
        <v>Ninguno</v>
      </c>
      <c r="V23" s="2" t="str">
        <f>VLOOKUP(T_Voluntarios[[#This Row],[RUN]],BBDD[],19,FALSE)</f>
        <v>Ninguno</v>
      </c>
      <c r="W23" s="13" t="str">
        <f>IF(OR(T_Voluntarios[[#This Row],[ROL]]="Formador(a)"),"SI","NO")</f>
        <v>NO</v>
      </c>
      <c r="X23" s="13" t="str">
        <f>IF(ISERROR(VLOOKUP(T_Voluntarios[[#This Row],[RUN]],BBDD_Formadores[],15,FALSE)),"NO",VLOOKUP(T_Voluntarios[[#This Row],[RUN]],BBDD_Formadores[],15,FALSE))</f>
        <v>NO</v>
      </c>
      <c r="Y23" s="13" t="str">
        <f>IF(ISERROR(VLOOKUP(T_Voluntarios[[#This Row],[RUN]],BBDD_Formadores[],16,FALSE)),"NO",VLOOKUP(T_Voluntarios[[#This Row],[RUN]],BBDD_Formadores[],16,FALSE))</f>
        <v>NO</v>
      </c>
      <c r="Z23" s="13" t="str">
        <f>IF(ISERROR(VLOOKUP(T_Voluntarios[[#This Row],[RUN]],BBDD_Formadores[],17,FALSE)),"NO",VLOOKUP(T_Voluntarios[[#This Row],[RUN]],BBDD_Formadores[],17,FALSE))</f>
        <v>NO</v>
      </c>
      <c r="AA23" s="13" t="str">
        <f>IF(ISERROR(VLOOKUP(T_Voluntarios[[#This Row],[RUN]],BBDD_Formadores[],18,FALSE)),"NO",VLOOKUP(T_Voluntarios[[#This Row],[RUN]],BBDD_Formadores[],18,FALSE))</f>
        <v>NO</v>
      </c>
      <c r="AB23" s="13">
        <v>1</v>
      </c>
      <c r="AC23" s="13" t="s">
        <v>1</v>
      </c>
      <c r="AD23" s="13" t="s">
        <v>77</v>
      </c>
      <c r="AF23" s="2" t="str">
        <f>IF(VLOOKUP(T_Voluntarios[[#This Row],[RUN]],BBDD[],25,FALSE)=0,"",VLOOKUP(T_Voluntarios[[#This Row],[RUN]],BBDD[],25,FALSE))</f>
        <v/>
      </c>
      <c r="AG23" s="2" t="str">
        <f>IF(VLOOKUP(T_Voluntarios[[#This Row],[RUN]],BBDD[],26,FALSE)=0,"",VLOOKUP(T_Voluntarios[[#This Row],[RUN]],BBDD[],26,FALSE))</f>
        <v/>
      </c>
      <c r="AH23" s="2" t="str">
        <f>IF(VLOOKUP(T_Voluntarios[[#This Row],[RUN]],BBDD[],24,FALSE)=0,"",VLOOKUP(T_Voluntarios[[#This Row],[RUN]],BBDD[],24,FALSE))</f>
        <v/>
      </c>
      <c r="AI23" s="13" t="str">
        <f>VLOOKUP(T_Voluntarios[[#This Row],[RUN]],BBDD[],28,FALSE)</f>
        <v>No</v>
      </c>
      <c r="AJ23" s="13" t="str">
        <f>VLOOKUP(T_Voluntarios[[#This Row],[RUN]],BBDD[],28,FALSE)</f>
        <v>No</v>
      </c>
      <c r="AK23" s="32">
        <f>IF(T_Voluntarios[[#This Row],[ROL]]="Participante",SUMIFS(T_Cuotas[[#All],[Total]],T_Cuotas[[#All],[RUN]],T_Voluntarios[[#This Row],[RUN]]),-1)</f>
        <v>50000</v>
      </c>
      <c r="AL23" s="13" t="s">
        <v>1</v>
      </c>
      <c r="AM23" s="13" t="s">
        <v>2029</v>
      </c>
      <c r="AP23" s="2" t="str">
        <f>MID(T_Voluntarios[[#This Row],[E_MAIL]],SEARCH("@",T_Voluntarios[[#This Row],[E_MAIL]],1),LEN(T_Voluntarios[[#This Row],[E_MAIL]]))</f>
        <v>@gmail.com</v>
      </c>
      <c r="AQ23" s="13" t="str">
        <f>VLOOKUP(T_Voluntarios[[#This Row],[RUN]],BBDD[],37,FALSE)</f>
        <v>35</v>
      </c>
      <c r="AR23" s="2" t="str">
        <f>VLOOKUP(T_Voluntarios[[#This Row],[RUN]],BBDD[],29,FALSE)</f>
        <v>No tengo</v>
      </c>
      <c r="AS23" s="2" t="str">
        <f>VLOOKUP(T_Voluntarios[[#This Row],[RUN]],BBDD[],30,FALSE)</f>
        <v>Fui beneficiario 9 años</v>
      </c>
      <c r="AT23" s="2" t="str">
        <f>VLOOKUP(T_Voluntarios[[#This Row],[RUN]],BBDD[],31,FALSE)</f>
        <v>14 años</v>
      </c>
      <c r="AU23" s="2" t="str">
        <f>VLOOKUP(T_Voluntarios[[#This Row],[RUN]],BBDD[],32,FALSE)</f>
        <v>Soltero(a)</v>
      </c>
      <c r="AV23" s="2" t="str">
        <f>VLOOKUP(T_Voluntarios[[#This Row],[RUN]],BBDD[],33,FALSE)</f>
        <v>Ninguna</v>
      </c>
      <c r="AW23" s="2" t="str">
        <f>VLOOKUP(T_Voluntarios[[#This Row],[RUN]],BBDD[],34,FALSE)</f>
        <v>Elias</v>
      </c>
      <c r="AX23" s="13" t="s">
        <v>733</v>
      </c>
      <c r="AY23" s="76">
        <f>VLOOKUP(T_Voluntarios[[#This Row],[RUN]],BBDD[],2,FALSE)</f>
        <v>45780.8170185571</v>
      </c>
      <c r="AZ23" s="13" t="s">
        <v>3403</v>
      </c>
    </row>
    <row r="24" spans="1:52" ht="14.4" x14ac:dyDescent="0.3">
      <c r="A24" t="s">
        <v>563</v>
      </c>
      <c r="B24" s="2" t="str">
        <f>VLOOKUP(T_Voluntarios[[#This Row],[RUN]],BBDD[],3,FALSE)</f>
        <v>itecheira17@gmail.com</v>
      </c>
      <c r="C24" s="2" t="str">
        <f>VLOOKUP(T_Voluntarios[[#This Row],[RUN]],BBDD[],4,FALSE)</f>
        <v>Ignacio Nicolás Techeira Sepúlveda</v>
      </c>
      <c r="D24" s="16">
        <f>VLOOKUP(T_Voluntarios[[#This Row],[RUN]],BBDD[],5,FALSE)</f>
        <v>36716</v>
      </c>
      <c r="E24" s="2" t="str">
        <f>VLOOKUP(T_Voluntarios[[#This Row],[RUN]],BBDD[],6,FALSE)</f>
        <v>Talcahuano #79</v>
      </c>
      <c r="F24" s="2" t="str">
        <f>VLOOKUP(T_Voluntarios[[#This Row],[RUN]],BBDD[],7,FALSE)</f>
        <v>Talcahuano</v>
      </c>
      <c r="G24" s="2" t="str">
        <f>VLOOKUP(T_Voluntarios[[#This Row],[RUN]],BBDD[],8,FALSE)</f>
        <v>Celular</v>
      </c>
      <c r="H24" s="2" t="str">
        <f>IF(VLOOKUP(T_Voluntarios[[#This Row],[RUN]],BBDD[],9,FALSE)=0,"Falta",VLOOKUP(T_Voluntarios[[#This Row],[RUN]],BBDD[],9,FALSE))</f>
        <v>+56951562182</v>
      </c>
      <c r="I24" s="2" t="str">
        <f>VLOOKUP(T_Voluntarios[[#This Row],[RUN]],BBDD[],10,FALSE)</f>
        <v>Participante</v>
      </c>
      <c r="J24" s="2" t="str">
        <f>VLOOKUP(T_Voluntarios[[#This Row],[RUN]],BBDD[],11,FALSE)</f>
        <v>Rucapeñihue</v>
      </c>
      <c r="K24" s="2" t="str">
        <f>VLOOKUP(T_Voluntarios[[#This Row],[RUN]],BBDD[],12,FALSE)</f>
        <v>Caminantes</v>
      </c>
      <c r="L24" s="2" t="str">
        <f>VLOOKUP(T_Voluntarios[[#This Row],[RUN]],BBDD[],15,FALSE)</f>
        <v>Concepción</v>
      </c>
      <c r="M24" s="2" t="str">
        <f>VLOOKUP(T_Voluntarios[[#This Row],[RUN]],BBDD[],20,FALSE)</f>
        <v>Sin Almuerzo</v>
      </c>
      <c r="N24" s="2" t="str">
        <f>VLOOKUP(T_Voluntarios[[#This Row],[RUN]],BBDD[],21,FALSE)</f>
        <v>Ninguna</v>
      </c>
      <c r="O24" s="2" t="str">
        <f>VLOOKUP(T_Voluntarios[[#This Row],[RUN]],BBDD[],22,FALSE)</f>
        <v>Ninguna</v>
      </c>
      <c r="P24" s="2" t="str">
        <f>VLOOKUP(T_Voluntarios[[#This Row],[RUN]],BBDD[],23,FALSE)</f>
        <v>Paula Sepúlveda Medina +56966163228</v>
      </c>
      <c r="Q24" s="2" t="str">
        <f>IF(VLOOKUP(T_Voluntarios[[#This Row],[RUN]],BBDD[],27,FALSE)=0,"",VLOOKUP(T_Voluntarios[[#This Row],[RUN]],BBDD[],27,FALSE))</f>
        <v/>
      </c>
      <c r="R24" s="2" t="str">
        <f>VLOOKUP(T_Voluntarios[[#This Row],[RUN]],BBDD[],36,FALSE)</f>
        <v>https://drive.google.com/open?id=1nuqqzQnNstIGgY12NNHmR6mMfoIp2KUg</v>
      </c>
      <c r="S24" s="2" t="str">
        <f>VLOOKUP(T_Voluntarios[[#This Row],[RUN]],BBDD[],16,FALSE)</f>
        <v>Medio</v>
      </c>
      <c r="T24" s="2" t="str">
        <f>VLOOKUP(T_Voluntarios[[#This Row],[RUN]],BBDD[],17,FALSE)</f>
        <v>10627</v>
      </c>
      <c r="U24" s="2" t="str">
        <f>VLOOKUP(T_Voluntarios[[#This Row],[RUN]],BBDD[],18,FALSE)</f>
        <v>Lobatos</v>
      </c>
      <c r="V24" s="2" t="str">
        <f>VLOOKUP(T_Voluntarios[[#This Row],[RUN]],BBDD[],19,FALSE)</f>
        <v>Ninguno</v>
      </c>
      <c r="W24" s="13" t="str">
        <f>IF(OR(T_Voluntarios[[#This Row],[ROL]]="Formador(a)"),"SI","NO")</f>
        <v>NO</v>
      </c>
      <c r="X24" s="13" t="str">
        <f>IF(ISERROR(VLOOKUP(T_Voluntarios[[#This Row],[RUN]],BBDD_Formadores[],15,FALSE)),"NO",VLOOKUP(T_Voluntarios[[#This Row],[RUN]],BBDD_Formadores[],15,FALSE))</f>
        <v>SI</v>
      </c>
      <c r="Y24" s="13" t="str">
        <f>IF(ISERROR(VLOOKUP(T_Voluntarios[[#This Row],[RUN]],BBDD_Formadores[],16,FALSE)),"NO",VLOOKUP(T_Voluntarios[[#This Row],[RUN]],BBDD_Formadores[],16,FALSE))</f>
        <v>Lobatos</v>
      </c>
      <c r="Z24" s="13" t="str">
        <f>IF(ISERROR(VLOOKUP(T_Voluntarios[[#This Row],[RUN]],BBDD_Formadores[],17,FALSE)),"NO",VLOOKUP(T_Voluntarios[[#This Row],[RUN]],BBDD_Formadores[],17,FALSE))</f>
        <v>Lobatos</v>
      </c>
      <c r="AA24" s="13" t="str">
        <f>IF(ISERROR(VLOOKUP(T_Voluntarios[[#This Row],[RUN]],BBDD_Formadores[],18,FALSE)),"NO",VLOOKUP(T_Voluntarios[[#This Row],[RUN]],BBDD_Formadores[],18,FALSE))</f>
        <v>NO</v>
      </c>
      <c r="AB24" s="13">
        <v>1</v>
      </c>
      <c r="AC24" s="13" t="s">
        <v>1</v>
      </c>
      <c r="AD24" s="13" t="s">
        <v>77</v>
      </c>
      <c r="AF24" s="2" t="str">
        <f>IF(VLOOKUP(T_Voluntarios[[#This Row],[RUN]],BBDD[],25,FALSE)=0,"",VLOOKUP(T_Voluntarios[[#This Row],[RUN]],BBDD[],25,FALSE))</f>
        <v/>
      </c>
      <c r="AG24" s="2" t="str">
        <f>IF(VLOOKUP(T_Voluntarios[[#This Row],[RUN]],BBDD[],26,FALSE)=0,"",VLOOKUP(T_Voluntarios[[#This Row],[RUN]],BBDD[],26,FALSE))</f>
        <v/>
      </c>
      <c r="AH24" s="2" t="str">
        <f>IF(VLOOKUP(T_Voluntarios[[#This Row],[RUN]],BBDD[],24,FALSE)=0,"",VLOOKUP(T_Voluntarios[[#This Row],[RUN]],BBDD[],24,FALSE))</f>
        <v/>
      </c>
      <c r="AI24" s="13" t="str">
        <f>VLOOKUP(T_Voluntarios[[#This Row],[RUN]],BBDD[],28,FALSE)</f>
        <v>No</v>
      </c>
      <c r="AJ24" s="13" t="str">
        <f>VLOOKUP(T_Voluntarios[[#This Row],[RUN]],BBDD[],28,FALSE)</f>
        <v>No</v>
      </c>
      <c r="AK24" s="32">
        <f>IF(T_Voluntarios[[#This Row],[ROL]]="Participante",SUMIFS(T_Cuotas[[#All],[Total]],T_Cuotas[[#All],[RUN]],T_Voluntarios[[#This Row],[RUN]]),-1)</f>
        <v>36500</v>
      </c>
      <c r="AL24" s="13" t="s">
        <v>1</v>
      </c>
      <c r="AM24" s="13" t="s">
        <v>2029</v>
      </c>
      <c r="AP24" s="2" t="str">
        <f>MID(T_Voluntarios[[#This Row],[E_MAIL]],SEARCH("@",T_Voluntarios[[#This Row],[E_MAIL]],1),LEN(T_Voluntarios[[#This Row],[E_MAIL]]))</f>
        <v>@gmail.com</v>
      </c>
      <c r="AQ24" s="13" t="str">
        <f>VLOOKUP(T_Voluntarios[[#This Row],[RUN]],BBDD[],37,FALSE)</f>
        <v>24</v>
      </c>
      <c r="AR24" s="2" t="str">
        <f>VLOOKUP(T_Voluntarios[[#This Row],[RUN]],BBDD[],29,FALSE)</f>
        <v>No aplica</v>
      </c>
      <c r="AS24" s="2" t="str">
        <f>VLOOKUP(T_Voluntarios[[#This Row],[RUN]],BBDD[],30,FALSE)</f>
        <v>5 años</v>
      </c>
      <c r="AT24" s="2" t="str">
        <f>VLOOKUP(T_Voluntarios[[#This Row],[RUN]],BBDD[],31,FALSE)</f>
        <v>4 años</v>
      </c>
      <c r="AU24" s="2" t="str">
        <f>VLOOKUP(T_Voluntarios[[#This Row],[RUN]],BBDD[],32,FALSE)</f>
        <v>Soltero(a)</v>
      </c>
      <c r="AV24" s="2" t="str">
        <f>VLOOKUP(T_Voluntarios[[#This Row],[RUN]],BBDD[],33,FALSE)</f>
        <v>Ninguna</v>
      </c>
      <c r="AW24" s="2" t="str">
        <f>VLOOKUP(T_Voluntarios[[#This Row],[RUN]],BBDD[],34,FALSE)</f>
        <v>Teche</v>
      </c>
      <c r="AX24" s="13" t="s">
        <v>733</v>
      </c>
      <c r="AY24" s="76">
        <f>VLOOKUP(T_Voluntarios[[#This Row],[RUN]],BBDD[],2,FALSE)</f>
        <v>45780.847293364197</v>
      </c>
      <c r="AZ24" s="13" t="s">
        <v>3403</v>
      </c>
    </row>
    <row r="25" spans="1:52" ht="14.4" x14ac:dyDescent="0.3">
      <c r="A25" t="s">
        <v>3242</v>
      </c>
      <c r="B25" s="2" t="str">
        <f>VLOOKUP(T_Voluntarios[[#This Row],[RUN]],BBDD[],3,FALSE)</f>
        <v>marcela.ivana.molina.agurto@gmail.com</v>
      </c>
      <c r="C25" s="2" t="str">
        <f>VLOOKUP(T_Voluntarios[[#This Row],[RUN]],BBDD[],4,FALSE)</f>
        <v>Marcela Molina Agurto</v>
      </c>
      <c r="D25" s="16">
        <f>VLOOKUP(T_Voluntarios[[#This Row],[RUN]],BBDD[],5,FALSE)</f>
        <v>38201</v>
      </c>
      <c r="E25" s="2" t="str">
        <f>VLOOKUP(T_Voluntarios[[#This Row],[RUN]],BBDD[],6,FALSE)</f>
        <v>Pinares 10 casa 83 condominio alto castaño</v>
      </c>
      <c r="F25" s="2" t="str">
        <f>VLOOKUP(T_Voluntarios[[#This Row],[RUN]],BBDD[],7,FALSE)</f>
        <v>Chiguayante</v>
      </c>
      <c r="G25" s="2" t="str">
        <f>VLOOKUP(T_Voluntarios[[#This Row],[RUN]],BBDD[],8,FALSE)</f>
        <v>Celular</v>
      </c>
      <c r="H25" s="2" t="str">
        <f>IF(VLOOKUP(T_Voluntarios[[#This Row],[RUN]],BBDD[],9,FALSE)=0,"Falta",VLOOKUP(T_Voluntarios[[#This Row],[RUN]],BBDD[],9,FALSE))</f>
        <v>+56965416672</v>
      </c>
      <c r="I25" s="2" t="str">
        <f>VLOOKUP(T_Voluntarios[[#This Row],[RUN]],BBDD[],10,FALSE)</f>
        <v>Participante</v>
      </c>
      <c r="J25" s="2" t="str">
        <f>VLOOKUP(T_Voluntarios[[#This Row],[RUN]],BBDD[],11,FALSE)</f>
        <v>Rucapeñihue</v>
      </c>
      <c r="K25" s="2" t="str">
        <f>VLOOKUP(T_Voluntarios[[#This Row],[RUN]],BBDD[],12,FALSE)</f>
        <v>Scouts</v>
      </c>
      <c r="L25" s="2" t="str">
        <f>VLOOKUP(T_Voluntarios[[#This Row],[RUN]],BBDD[],15,FALSE)</f>
        <v>Concepción</v>
      </c>
      <c r="M25" s="2" t="str">
        <f>VLOOKUP(T_Voluntarios[[#This Row],[RUN]],BBDD[],20,FALSE)</f>
        <v>Sin Almuerzo</v>
      </c>
      <c r="N25" s="2" t="str">
        <f>VLOOKUP(T_Voluntarios[[#This Row],[RUN]],BBDD[],21,FALSE)</f>
        <v>Ninguna</v>
      </c>
      <c r="O25" s="2" t="str">
        <f>VLOOKUP(T_Voluntarios[[#This Row],[RUN]],BBDD[],22,FALSE)</f>
        <v>Ninguna</v>
      </c>
      <c r="P25" s="2" t="str">
        <f>VLOOKUP(T_Voluntarios[[#This Row],[RUN]],BBDD[],23,FALSE)</f>
        <v>Montserrat agurto 987760864</v>
      </c>
      <c r="Q25" s="2" t="str">
        <f>IF(VLOOKUP(T_Voluntarios[[#This Row],[RUN]],BBDD[],27,FALSE)=0,"",VLOOKUP(T_Voluntarios[[#This Row],[RUN]],BBDD[],27,FALSE))</f>
        <v/>
      </c>
      <c r="R25" s="2" t="str">
        <f>VLOOKUP(T_Voluntarios[[#This Row],[RUN]],BBDD[],36,FALSE)</f>
        <v>https://drive.google.com/open?id=1MV_iCfIBi2ClzQuy1B6QkmCFCbItecnt</v>
      </c>
      <c r="S25" s="2" t="str">
        <f>VLOOKUP(T_Voluntarios[[#This Row],[RUN]],BBDD[],16,FALSE)</f>
        <v>Inicial</v>
      </c>
      <c r="T25" s="2" t="str">
        <f>VLOOKUP(T_Voluntarios[[#This Row],[RUN]],BBDD[],17,FALSE)</f>
        <v>Ninguno</v>
      </c>
      <c r="U25" s="2" t="str">
        <f>VLOOKUP(T_Voluntarios[[#This Row],[RUN]],BBDD[],18,FALSE)</f>
        <v>Ninguno</v>
      </c>
      <c r="V25" s="2" t="str">
        <f>VLOOKUP(T_Voluntarios[[#This Row],[RUN]],BBDD[],19,FALSE)</f>
        <v>Ninguno</v>
      </c>
      <c r="W25" s="13" t="str">
        <f>IF(OR(T_Voluntarios[[#This Row],[ROL]]="Formador(a)"),"SI","NO")</f>
        <v>NO</v>
      </c>
      <c r="X25" s="13" t="str">
        <f>IF(ISERROR(VLOOKUP(T_Voluntarios[[#This Row],[RUN]],BBDD_Formadores[],15,FALSE)),"NO",VLOOKUP(T_Voluntarios[[#This Row],[RUN]],BBDD_Formadores[],15,FALSE))</f>
        <v>NO</v>
      </c>
      <c r="Y25" s="13" t="str">
        <f>IF(ISERROR(VLOOKUP(T_Voluntarios[[#This Row],[RUN]],BBDD_Formadores[],16,FALSE)),"NO",VLOOKUP(T_Voluntarios[[#This Row],[RUN]],BBDD_Formadores[],16,FALSE))</f>
        <v>NO</v>
      </c>
      <c r="Z25" s="13" t="str">
        <f>IF(ISERROR(VLOOKUP(T_Voluntarios[[#This Row],[RUN]],BBDD_Formadores[],17,FALSE)),"NO",VLOOKUP(T_Voluntarios[[#This Row],[RUN]],BBDD_Formadores[],17,FALSE))</f>
        <v>NO</v>
      </c>
      <c r="AA25" s="13" t="str">
        <f>IF(ISERROR(VLOOKUP(T_Voluntarios[[#This Row],[RUN]],BBDD_Formadores[],18,FALSE)),"NO",VLOOKUP(T_Voluntarios[[#This Row],[RUN]],BBDD_Formadores[],18,FALSE))</f>
        <v>NO</v>
      </c>
      <c r="AB25" s="13">
        <v>1</v>
      </c>
      <c r="AC25" s="13" t="s">
        <v>1</v>
      </c>
      <c r="AD25" s="13" t="s">
        <v>77</v>
      </c>
      <c r="AF25" s="2" t="str">
        <f>IF(VLOOKUP(T_Voluntarios[[#This Row],[RUN]],BBDD[],25,FALSE)=0,"",VLOOKUP(T_Voluntarios[[#This Row],[RUN]],BBDD[],25,FALSE))</f>
        <v/>
      </c>
      <c r="AG25" s="2" t="str">
        <f>IF(VLOOKUP(T_Voluntarios[[#This Row],[RUN]],BBDD[],26,FALSE)=0,"",VLOOKUP(T_Voluntarios[[#This Row],[RUN]],BBDD[],26,FALSE))</f>
        <v/>
      </c>
      <c r="AH25" s="2" t="str">
        <f>IF(VLOOKUP(T_Voluntarios[[#This Row],[RUN]],BBDD[],24,FALSE)=0,"",VLOOKUP(T_Voluntarios[[#This Row],[RUN]],BBDD[],24,FALSE))</f>
        <v/>
      </c>
      <c r="AI25" s="13" t="str">
        <f>VLOOKUP(T_Voluntarios[[#This Row],[RUN]],BBDD[],28,FALSE)</f>
        <v>No</v>
      </c>
      <c r="AJ25" s="13" t="str">
        <f>VLOOKUP(T_Voluntarios[[#This Row],[RUN]],BBDD[],28,FALSE)</f>
        <v>No</v>
      </c>
      <c r="AK25" s="32">
        <f>IF(T_Voluntarios[[#This Row],[ROL]]="Participante",SUMIFS(T_Cuotas[[#All],[Total]],T_Cuotas[[#All],[RUN]],T_Voluntarios[[#This Row],[RUN]]),-1)</f>
        <v>36500</v>
      </c>
      <c r="AL25" s="13" t="s">
        <v>2</v>
      </c>
      <c r="AM25" s="13" t="s">
        <v>2029</v>
      </c>
      <c r="AP25" s="2" t="str">
        <f>MID(T_Voluntarios[[#This Row],[E_MAIL]],SEARCH("@",T_Voluntarios[[#This Row],[E_MAIL]],1),LEN(T_Voluntarios[[#This Row],[E_MAIL]]))</f>
        <v>@gmail.com</v>
      </c>
      <c r="AQ25" s="13" t="str">
        <f>VLOOKUP(T_Voluntarios[[#This Row],[RUN]],BBDD[],37,FALSE)</f>
        <v>20</v>
      </c>
      <c r="AR25" s="2" t="str">
        <f>VLOOKUP(T_Voluntarios[[#This Row],[RUN]],BBDD[],29,FALSE)</f>
        <v>Estudiante</v>
      </c>
      <c r="AS25" s="2" t="str">
        <f>VLOOKUP(T_Voluntarios[[#This Row],[RUN]],BBDD[],30,FALSE)</f>
        <v>6 años</v>
      </c>
      <c r="AT25" s="2" t="str">
        <f>VLOOKUP(T_Voluntarios[[#This Row],[RUN]],BBDD[],31,FALSE)</f>
        <v>Meses</v>
      </c>
      <c r="AU25" s="2" t="str">
        <f>VLOOKUP(T_Voluntarios[[#This Row],[RUN]],BBDD[],32,FALSE)</f>
        <v>Soltero(a)</v>
      </c>
      <c r="AV25" s="2" t="str">
        <f>VLOOKUP(T_Voluntarios[[#This Row],[RUN]],BBDD[],33,FALSE)</f>
        <v>Ninguna</v>
      </c>
      <c r="AW25" s="2" t="str">
        <f>VLOOKUP(T_Voluntarios[[#This Row],[RUN]],BBDD[],34,FALSE)</f>
        <v>Marce</v>
      </c>
      <c r="AX25" s="13" t="s">
        <v>733</v>
      </c>
      <c r="AY25" s="76">
        <f>VLOOKUP(T_Voluntarios[[#This Row],[RUN]],BBDD[],2,FALSE)</f>
        <v>45780.902482060184</v>
      </c>
      <c r="AZ25" s="13" t="s">
        <v>3403</v>
      </c>
    </row>
    <row r="26" spans="1:52" ht="14.4" x14ac:dyDescent="0.3">
      <c r="A26" t="s">
        <v>1555</v>
      </c>
      <c r="B26" s="2" t="str">
        <f>VLOOKUP(T_Voluntarios[[#This Row],[RUN]],BBDD[],3,FALSE)</f>
        <v>mora62813@gmail.com</v>
      </c>
      <c r="C26" s="2" t="str">
        <f>VLOOKUP(T_Voluntarios[[#This Row],[RUN]],BBDD[],4,FALSE)</f>
        <v>Alvaro Mora Martinez</v>
      </c>
      <c r="D26" s="16">
        <f>VLOOKUP(T_Voluntarios[[#This Row],[RUN]],BBDD[],5,FALSE)</f>
        <v>37243</v>
      </c>
      <c r="E26" s="2" t="str">
        <f>VLOOKUP(T_Voluntarios[[#This Row],[RUN]],BBDD[],6,FALSE)</f>
        <v>General Gambino 3731</v>
      </c>
      <c r="F26" s="2" t="str">
        <f>VLOOKUP(T_Voluntarios[[#This Row],[RUN]],BBDD[],7,FALSE)</f>
        <v>Conchali</v>
      </c>
      <c r="G26" s="2" t="str">
        <f>VLOOKUP(T_Voluntarios[[#This Row],[RUN]],BBDD[],8,FALSE)</f>
        <v>Celular</v>
      </c>
      <c r="H26" s="2" t="str">
        <f>IF(VLOOKUP(T_Voluntarios[[#This Row],[RUN]],BBDD[],9,FALSE)=0,"Falta",VLOOKUP(T_Voluntarios[[#This Row],[RUN]],BBDD[],9,FALSE))</f>
        <v>+56966748869</v>
      </c>
      <c r="I26" s="2" t="str">
        <f>VLOOKUP(T_Voluntarios[[#This Row],[RUN]],BBDD[],10,FALSE)</f>
        <v>Participante</v>
      </c>
      <c r="J26" s="2" t="str">
        <f>VLOOKUP(T_Voluntarios[[#This Row],[RUN]],BBDD[],11,FALSE)</f>
        <v>La Montaña</v>
      </c>
      <c r="K26" s="2" t="str">
        <f>VLOOKUP(T_Voluntarios[[#This Row],[RUN]],BBDD[],12,FALSE)</f>
        <v>Lobatos</v>
      </c>
      <c r="L26" s="2" t="str">
        <f>VLOOKUP(T_Voluntarios[[#This Row],[RUN]],BBDD[],15,FALSE)</f>
        <v>Zona Ñuble</v>
      </c>
      <c r="M26" s="2" t="str">
        <f>VLOOKUP(T_Voluntarios[[#This Row],[RUN]],BBDD[],20,FALSE)</f>
        <v>Alimentación Tradicional</v>
      </c>
      <c r="N26" s="2" t="str">
        <f>VLOOKUP(T_Voluntarios[[#This Row],[RUN]],BBDD[],21,FALSE)</f>
        <v>a la dipirona</v>
      </c>
      <c r="O26" s="2" t="str">
        <f>VLOOKUP(T_Voluntarios[[#This Row],[RUN]],BBDD[],22,FALSE)</f>
        <v>Ninguna</v>
      </c>
      <c r="P26" s="2" t="str">
        <f>VLOOKUP(T_Voluntarios[[#This Row],[RUN]],BBDD[],23,FALSE)</f>
        <v>Maria Martinez 984462480</v>
      </c>
      <c r="Q26" s="2" t="str">
        <f>IF(VLOOKUP(T_Voluntarios[[#This Row],[RUN]],BBDD[],27,FALSE)=0,"",VLOOKUP(T_Voluntarios[[#This Row],[RUN]],BBDD[],27,FALSE))</f>
        <v/>
      </c>
      <c r="R26" s="2" t="str">
        <f>VLOOKUP(T_Voluntarios[[#This Row],[RUN]],BBDD[],36,FALSE)</f>
        <v>https://drive.google.com/open?id=1GQm-YFCdlT3OKmJBrMeBgtcUZBf_u3fv</v>
      </c>
      <c r="S26" s="2" t="str">
        <f>VLOOKUP(T_Voluntarios[[#This Row],[RUN]],BBDD[],16,FALSE)</f>
        <v>Inicial</v>
      </c>
      <c r="T26" s="2" t="str">
        <f>VLOOKUP(T_Voluntarios[[#This Row],[RUN]],BBDD[],17,FALSE)</f>
        <v>Ninguno</v>
      </c>
      <c r="U26" s="2" t="str">
        <f>VLOOKUP(T_Voluntarios[[#This Row],[RUN]],BBDD[],18,FALSE)</f>
        <v>Ninguno</v>
      </c>
      <c r="V26" s="2" t="str">
        <f>VLOOKUP(T_Voluntarios[[#This Row],[RUN]],BBDD[],19,FALSE)</f>
        <v>Ninguno</v>
      </c>
      <c r="W26" s="13" t="str">
        <f>IF(OR(T_Voluntarios[[#This Row],[ROL]]="Formador(a)"),"SI","NO")</f>
        <v>NO</v>
      </c>
      <c r="X26" s="13" t="str">
        <f>IF(ISERROR(VLOOKUP(T_Voluntarios[[#This Row],[RUN]],BBDD_Formadores[],15,FALSE)),"NO",VLOOKUP(T_Voluntarios[[#This Row],[RUN]],BBDD_Formadores[],15,FALSE))</f>
        <v>NO</v>
      </c>
      <c r="Y26" s="13" t="str">
        <f>IF(ISERROR(VLOOKUP(T_Voluntarios[[#This Row],[RUN]],BBDD_Formadores[],16,FALSE)),"NO",VLOOKUP(T_Voluntarios[[#This Row],[RUN]],BBDD_Formadores[],16,FALSE))</f>
        <v>NO</v>
      </c>
      <c r="Z26" s="13" t="str">
        <f>IF(ISERROR(VLOOKUP(T_Voluntarios[[#This Row],[RUN]],BBDD_Formadores[],17,FALSE)),"NO",VLOOKUP(T_Voluntarios[[#This Row],[RUN]],BBDD_Formadores[],17,FALSE))</f>
        <v>NO</v>
      </c>
      <c r="AA26" s="13" t="str">
        <f>IF(ISERROR(VLOOKUP(T_Voluntarios[[#This Row],[RUN]],BBDD_Formadores[],18,FALSE)),"NO",VLOOKUP(T_Voluntarios[[#This Row],[RUN]],BBDD_Formadores[],18,FALSE))</f>
        <v>NO</v>
      </c>
      <c r="AB26" s="13">
        <v>1</v>
      </c>
      <c r="AC26" s="13" t="s">
        <v>1</v>
      </c>
      <c r="AD26" s="13" t="s">
        <v>77</v>
      </c>
      <c r="AF26" s="2" t="str">
        <f>IF(VLOOKUP(T_Voluntarios[[#This Row],[RUN]],BBDD[],25,FALSE)=0,"",VLOOKUP(T_Voluntarios[[#This Row],[RUN]],BBDD[],25,FALSE))</f>
        <v/>
      </c>
      <c r="AG26" s="2" t="str">
        <f>IF(VLOOKUP(T_Voluntarios[[#This Row],[RUN]],BBDD[],26,FALSE)=0,"",VLOOKUP(T_Voluntarios[[#This Row],[RUN]],BBDD[],26,FALSE))</f>
        <v/>
      </c>
      <c r="AH26" s="2" t="str">
        <f>IF(VLOOKUP(T_Voluntarios[[#This Row],[RUN]],BBDD[],24,FALSE)=0,"",VLOOKUP(T_Voluntarios[[#This Row],[RUN]],BBDD[],24,FALSE))</f>
        <v/>
      </c>
      <c r="AI26" s="13" t="str">
        <f>VLOOKUP(T_Voluntarios[[#This Row],[RUN]],BBDD[],28,FALSE)</f>
        <v>SI</v>
      </c>
      <c r="AJ26" s="13" t="str">
        <f>VLOOKUP(T_Voluntarios[[#This Row],[RUN]],BBDD[],28,FALSE)</f>
        <v>SI</v>
      </c>
      <c r="AK26" s="32">
        <f>IF(T_Voluntarios[[#This Row],[ROL]]="Participante",SUMIFS(T_Cuotas[[#All],[Total]],T_Cuotas[[#All],[RUN]],T_Voluntarios[[#This Row],[RUN]]),-1)</f>
        <v>50000</v>
      </c>
      <c r="AL26" s="13" t="s">
        <v>1</v>
      </c>
      <c r="AM26" s="13" t="s">
        <v>2029</v>
      </c>
      <c r="AP26" s="2" t="str">
        <f>MID(T_Voluntarios[[#This Row],[E_MAIL]],SEARCH("@",T_Voluntarios[[#This Row],[E_MAIL]],1),LEN(T_Voluntarios[[#This Row],[E_MAIL]]))</f>
        <v>@gmail.com</v>
      </c>
      <c r="AQ26" s="13" t="str">
        <f>VLOOKUP(T_Voluntarios[[#This Row],[RUN]],BBDD[],37,FALSE)</f>
        <v>23</v>
      </c>
      <c r="AR26" s="2" t="str">
        <f>VLOOKUP(T_Voluntarios[[#This Row],[RUN]],BBDD[],29,FALSE)</f>
        <v>Carabinero</v>
      </c>
      <c r="AS26" s="2" t="str">
        <f>VLOOKUP(T_Voluntarios[[#This Row],[RUN]],BBDD[],30,FALSE)</f>
        <v>10 años</v>
      </c>
      <c r="AT26" s="2" t="str">
        <f>VLOOKUP(T_Voluntarios[[#This Row],[RUN]],BBDD[],31,FALSE)</f>
        <v>2 años</v>
      </c>
      <c r="AU26" s="2" t="str">
        <f>VLOOKUP(T_Voluntarios[[#This Row],[RUN]],BBDD[],32,FALSE)</f>
        <v>Soltero(a)</v>
      </c>
      <c r="AV26" s="2" t="str">
        <f>VLOOKUP(T_Voluntarios[[#This Row],[RUN]],BBDD[],33,FALSE)</f>
        <v>catolico</v>
      </c>
      <c r="AW26" s="2" t="str">
        <f>VLOOKUP(T_Voluntarios[[#This Row],[RUN]],BBDD[],34,FALSE)</f>
        <v>Morita</v>
      </c>
      <c r="AX26" s="13" t="s">
        <v>733</v>
      </c>
      <c r="AY26" s="76">
        <f>VLOOKUP(T_Voluntarios[[#This Row],[RUN]],BBDD[],2,FALSE)</f>
        <v>45781.367854089505</v>
      </c>
      <c r="AZ26" s="13" t="s">
        <v>3402</v>
      </c>
    </row>
    <row r="27" spans="1:52" ht="14.4" x14ac:dyDescent="0.3">
      <c r="A27" t="s">
        <v>1556</v>
      </c>
      <c r="B27" s="2" t="str">
        <f>VLOOKUP(T_Voluntarios[[#This Row],[RUN]],BBDD[],3,FALSE)</f>
        <v>lisbetmatamala2001@gmail.com</v>
      </c>
      <c r="C27" s="2" t="str">
        <f>VLOOKUP(T_Voluntarios[[#This Row],[RUN]],BBDD[],4,FALSE)</f>
        <v>Lisbet Almendra Matamala Sandoval</v>
      </c>
      <c r="D27" s="16">
        <f>VLOOKUP(T_Voluntarios[[#This Row],[RUN]],BBDD[],5,FALSE)</f>
        <v>37016</v>
      </c>
      <c r="E27" s="2" t="str">
        <f>VLOOKUP(T_Voluntarios[[#This Row],[RUN]],BBDD[],6,FALSE)</f>
        <v>Esmeralda 029-7</v>
      </c>
      <c r="F27" s="2" t="str">
        <f>VLOOKUP(T_Voluntarios[[#This Row],[RUN]],BBDD[],7,FALSE)</f>
        <v>El Carmen</v>
      </c>
      <c r="G27" s="2" t="str">
        <f>VLOOKUP(T_Voluntarios[[#This Row],[RUN]],BBDD[],8,FALSE)</f>
        <v>Celular</v>
      </c>
      <c r="H27" s="2" t="str">
        <f>IF(VLOOKUP(T_Voluntarios[[#This Row],[RUN]],BBDD[],9,FALSE)=0,"Falta",VLOOKUP(T_Voluntarios[[#This Row],[RUN]],BBDD[],9,FALSE))</f>
        <v>+56946450576</v>
      </c>
      <c r="I27" s="2" t="str">
        <f>VLOOKUP(T_Voluntarios[[#This Row],[RUN]],BBDD[],10,FALSE)</f>
        <v>Participante</v>
      </c>
      <c r="J27" s="2" t="str">
        <f>VLOOKUP(T_Voluntarios[[#This Row],[RUN]],BBDD[],11,FALSE)</f>
        <v>La Montaña</v>
      </c>
      <c r="K27" s="2" t="str">
        <f>VLOOKUP(T_Voluntarios[[#This Row],[RUN]],BBDD[],12,FALSE)</f>
        <v>Guias</v>
      </c>
      <c r="L27" s="2" t="str">
        <f>VLOOKUP(T_Voluntarios[[#This Row],[RUN]],BBDD[],15,FALSE)</f>
        <v>Zona Ñuble</v>
      </c>
      <c r="M27" s="2" t="str">
        <f>VLOOKUP(T_Voluntarios[[#This Row],[RUN]],BBDD[],20,FALSE)</f>
        <v>Alimentación Tradicional</v>
      </c>
      <c r="N27" s="2" t="str">
        <f>VLOOKUP(T_Voluntarios[[#This Row],[RUN]],BBDD[],21,FALSE)</f>
        <v>Alergia al huevo</v>
      </c>
      <c r="O27" s="2" t="str">
        <f>VLOOKUP(T_Voluntarios[[#This Row],[RUN]],BBDD[],22,FALSE)</f>
        <v>Ninguna</v>
      </c>
      <c r="P27" s="2" t="str">
        <f>VLOOKUP(T_Voluntarios[[#This Row],[RUN]],BBDD[],23,FALSE)</f>
        <v>Ines Sandoval Troncoso +56956522122</v>
      </c>
      <c r="Q27" s="2" t="str">
        <f>IF(VLOOKUP(T_Voluntarios[[#This Row],[RUN]],BBDD[],27,FALSE)=0,"",VLOOKUP(T_Voluntarios[[#This Row],[RUN]],BBDD[],27,FALSE))</f>
        <v/>
      </c>
      <c r="R27" s="2" t="str">
        <f>VLOOKUP(T_Voluntarios[[#This Row],[RUN]],BBDD[],36,FALSE)</f>
        <v>https://drive.google.com/open?id=15JrLYtxBjHWz61VrAwRphoKJqg8QgpfW</v>
      </c>
      <c r="S27" s="2" t="str">
        <f>VLOOKUP(T_Voluntarios[[#This Row],[RUN]],BBDD[],16,FALSE)</f>
        <v>Inicial</v>
      </c>
      <c r="T27" s="2" t="str">
        <f>VLOOKUP(T_Voluntarios[[#This Row],[RUN]],BBDD[],17,FALSE)</f>
        <v>Ninguno</v>
      </c>
      <c r="U27" s="2" t="str">
        <f>VLOOKUP(T_Voluntarios[[#This Row],[RUN]],BBDD[],18,FALSE)</f>
        <v>Ninguno</v>
      </c>
      <c r="V27" s="2" t="str">
        <f>VLOOKUP(T_Voluntarios[[#This Row],[RUN]],BBDD[],19,FALSE)</f>
        <v>Ninguno</v>
      </c>
      <c r="W27" s="13" t="str">
        <f>IF(OR(T_Voluntarios[[#This Row],[ROL]]="Formador(a)"),"SI","NO")</f>
        <v>NO</v>
      </c>
      <c r="X27" s="13" t="str">
        <f>IF(ISERROR(VLOOKUP(T_Voluntarios[[#This Row],[RUN]],BBDD_Formadores[],15,FALSE)),"NO",VLOOKUP(T_Voluntarios[[#This Row],[RUN]],BBDD_Formadores[],15,FALSE))</f>
        <v>NO</v>
      </c>
      <c r="Y27" s="13" t="str">
        <f>IF(ISERROR(VLOOKUP(T_Voluntarios[[#This Row],[RUN]],BBDD_Formadores[],16,FALSE)),"NO",VLOOKUP(T_Voluntarios[[#This Row],[RUN]],BBDD_Formadores[],16,FALSE))</f>
        <v>NO</v>
      </c>
      <c r="Z27" s="13" t="str">
        <f>IF(ISERROR(VLOOKUP(T_Voluntarios[[#This Row],[RUN]],BBDD_Formadores[],17,FALSE)),"NO",VLOOKUP(T_Voluntarios[[#This Row],[RUN]],BBDD_Formadores[],17,FALSE))</f>
        <v>NO</v>
      </c>
      <c r="AA27" s="13" t="str">
        <f>IF(ISERROR(VLOOKUP(T_Voluntarios[[#This Row],[RUN]],BBDD_Formadores[],18,FALSE)),"NO",VLOOKUP(T_Voluntarios[[#This Row],[RUN]],BBDD_Formadores[],18,FALSE))</f>
        <v>NO</v>
      </c>
      <c r="AB27" s="13">
        <v>1</v>
      </c>
      <c r="AC27" s="13" t="s">
        <v>1</v>
      </c>
      <c r="AD27" s="13" t="s">
        <v>77</v>
      </c>
      <c r="AF27" s="2" t="str">
        <f>IF(VLOOKUP(T_Voluntarios[[#This Row],[RUN]],BBDD[],25,FALSE)=0,"",VLOOKUP(T_Voluntarios[[#This Row],[RUN]],BBDD[],25,FALSE))</f>
        <v/>
      </c>
      <c r="AG27" s="2" t="str">
        <f>IF(VLOOKUP(T_Voluntarios[[#This Row],[RUN]],BBDD[],26,FALSE)=0,"",VLOOKUP(T_Voluntarios[[#This Row],[RUN]],BBDD[],26,FALSE))</f>
        <v/>
      </c>
      <c r="AH27" s="2" t="str">
        <f>IF(VLOOKUP(T_Voluntarios[[#This Row],[RUN]],BBDD[],24,FALSE)=0,"",VLOOKUP(T_Voluntarios[[#This Row],[RUN]],BBDD[],24,FALSE))</f>
        <v/>
      </c>
      <c r="AI27" s="13" t="str">
        <f>VLOOKUP(T_Voluntarios[[#This Row],[RUN]],BBDD[],28,FALSE)</f>
        <v>SI</v>
      </c>
      <c r="AJ27" s="13" t="str">
        <f>VLOOKUP(T_Voluntarios[[#This Row],[RUN]],BBDD[],28,FALSE)</f>
        <v>SI</v>
      </c>
      <c r="AK27" s="32">
        <f>IF(T_Voluntarios[[#This Row],[ROL]]="Participante",SUMIFS(T_Cuotas[[#All],[Total]],T_Cuotas[[#All],[RUN]],T_Voluntarios[[#This Row],[RUN]]),-1)</f>
        <v>50000</v>
      </c>
      <c r="AL27" s="13" t="s">
        <v>1</v>
      </c>
      <c r="AM27" s="13" t="s">
        <v>2029</v>
      </c>
      <c r="AP27" s="2" t="str">
        <f>MID(T_Voluntarios[[#This Row],[E_MAIL]],SEARCH("@",T_Voluntarios[[#This Row],[E_MAIL]],1),LEN(T_Voluntarios[[#This Row],[E_MAIL]]))</f>
        <v>@gmail.com</v>
      </c>
      <c r="AQ27" s="13" t="str">
        <f>VLOOKUP(T_Voluntarios[[#This Row],[RUN]],BBDD[],37,FALSE)</f>
        <v>24</v>
      </c>
      <c r="AR27" s="2" t="str">
        <f>VLOOKUP(T_Voluntarios[[#This Row],[RUN]],BBDD[],29,FALSE)</f>
        <v>Estudiante</v>
      </c>
      <c r="AS27" s="2" t="str">
        <f>VLOOKUP(T_Voluntarios[[#This Row],[RUN]],BBDD[],30,FALSE)</f>
        <v>8 años</v>
      </c>
      <c r="AT27" s="2" t="str">
        <f>VLOOKUP(T_Voluntarios[[#This Row],[RUN]],BBDD[],31,FALSE)</f>
        <v>2 años</v>
      </c>
      <c r="AU27" s="2" t="str">
        <f>VLOOKUP(T_Voluntarios[[#This Row],[RUN]],BBDD[],32,FALSE)</f>
        <v>Soltero(a)</v>
      </c>
      <c r="AV27" s="2" t="str">
        <f>VLOOKUP(T_Voluntarios[[#This Row],[RUN]],BBDD[],33,FALSE)</f>
        <v>Ninguna</v>
      </c>
      <c r="AW27" s="2" t="str">
        <f>VLOOKUP(T_Voluntarios[[#This Row],[RUN]],BBDD[],34,FALSE)</f>
        <v>Lisbet</v>
      </c>
      <c r="AX27" s="13" t="s">
        <v>733</v>
      </c>
      <c r="AY27" s="76">
        <f>VLOOKUP(T_Voluntarios[[#This Row],[RUN]],BBDD[],2,FALSE)</f>
        <v>45781.488532600306</v>
      </c>
      <c r="AZ27" s="13" t="s">
        <v>3402</v>
      </c>
    </row>
    <row r="28" spans="1:52" ht="14.4" x14ac:dyDescent="0.3">
      <c r="A28" t="s">
        <v>1022</v>
      </c>
      <c r="B28" s="2" t="str">
        <f>VLOOKUP(T_Voluntarios[[#This Row],[RUN]],BBDD[],3,FALSE)</f>
        <v>khenriquezb@gmail.com</v>
      </c>
      <c r="C28" s="2" t="str">
        <f>VLOOKUP(T_Voluntarios[[#This Row],[RUN]],BBDD[],4,FALSE)</f>
        <v>Katherin Valeska Bañados Henriquez</v>
      </c>
      <c r="D28" s="16">
        <f>VLOOKUP(T_Voluntarios[[#This Row],[RUN]],BBDD[],5,FALSE)</f>
        <v>34725</v>
      </c>
      <c r="E28" s="2" t="str">
        <f>VLOOKUP(T_Voluntarios[[#This Row],[RUN]],BBDD[],6,FALSE)</f>
        <v>Juan Antonio Ríos 537</v>
      </c>
      <c r="F28" s="2" t="str">
        <f>VLOOKUP(T_Voluntarios[[#This Row],[RUN]],BBDD[],7,FALSE)</f>
        <v>Talcahuano</v>
      </c>
      <c r="G28" s="2" t="str">
        <f>VLOOKUP(T_Voluntarios[[#This Row],[RUN]],BBDD[],8,FALSE)</f>
        <v>Celular</v>
      </c>
      <c r="H28" s="2" t="str">
        <f>IF(VLOOKUP(T_Voluntarios[[#This Row],[RUN]],BBDD[],9,FALSE)=0,"Falta",VLOOKUP(T_Voluntarios[[#This Row],[RUN]],BBDD[],9,FALSE))</f>
        <v>+56971041512</v>
      </c>
      <c r="I28" s="2" t="str">
        <f>VLOOKUP(T_Voluntarios[[#This Row],[RUN]],BBDD[],10,FALSE)</f>
        <v>Participante</v>
      </c>
      <c r="J28" s="2" t="str">
        <f>VLOOKUP(T_Voluntarios[[#This Row],[RUN]],BBDD[],11,FALSE)</f>
        <v>Helen Keller</v>
      </c>
      <c r="K28" s="2" t="str">
        <f>VLOOKUP(T_Voluntarios[[#This Row],[RUN]],BBDD[],12,FALSE)</f>
        <v>Pioneros</v>
      </c>
      <c r="L28" s="2" t="str">
        <f>VLOOKUP(T_Voluntarios[[#This Row],[RUN]],BBDD[],15,FALSE)</f>
        <v>Talcahuano - Hualpén</v>
      </c>
      <c r="M28" s="2" t="str">
        <f>VLOOKUP(T_Voluntarios[[#This Row],[RUN]],BBDD[],20,FALSE)</f>
        <v>Alimentación Tradicional</v>
      </c>
      <c r="N28" s="2" t="str">
        <f>VLOOKUP(T_Voluntarios[[#This Row],[RUN]],BBDD[],21,FALSE)</f>
        <v>Ninguna</v>
      </c>
      <c r="O28" s="2" t="str">
        <f>VLOOKUP(T_Voluntarios[[#This Row],[RUN]],BBDD[],22,FALSE)</f>
        <v>Ninguna</v>
      </c>
      <c r="P28" s="2" t="str">
        <f>VLOOKUP(T_Voluntarios[[#This Row],[RUN]],BBDD[],23,FALSE)</f>
        <v>Joel Henríquez 991253786</v>
      </c>
      <c r="Q28" s="2" t="str">
        <f>IF(VLOOKUP(T_Voluntarios[[#This Row],[RUN]],BBDD[],27,FALSE)=0,"",VLOOKUP(T_Voluntarios[[#This Row],[RUN]],BBDD[],27,FALSE))</f>
        <v/>
      </c>
      <c r="R28" s="2" t="str">
        <f>VLOOKUP(T_Voluntarios[[#This Row],[RUN]],BBDD[],36,FALSE)</f>
        <v>https://drive.google.com/open?id=1E7e_aaCEuwp1slTSaOTNcPbYQzs5fQsF</v>
      </c>
      <c r="S28" s="2" t="str">
        <f>VLOOKUP(T_Voluntarios[[#This Row],[RUN]],BBDD[],16,FALSE)</f>
        <v>Inicial</v>
      </c>
      <c r="T28" s="2" t="str">
        <f>VLOOKUP(T_Voluntarios[[#This Row],[RUN]],BBDD[],17,FALSE)</f>
        <v>Ninguno</v>
      </c>
      <c r="U28" s="2" t="str">
        <f>VLOOKUP(T_Voluntarios[[#This Row],[RUN]],BBDD[],18,FALSE)</f>
        <v>Ninguno</v>
      </c>
      <c r="V28" s="2" t="str">
        <f>VLOOKUP(T_Voluntarios[[#This Row],[RUN]],BBDD[],19,FALSE)</f>
        <v>Ninguno</v>
      </c>
      <c r="W28" s="13" t="str">
        <f>IF(OR(T_Voluntarios[[#This Row],[ROL]]="Formador(a)"),"SI","NO")</f>
        <v>NO</v>
      </c>
      <c r="X28" s="13" t="str">
        <f>IF(ISERROR(VLOOKUP(T_Voluntarios[[#This Row],[RUN]],BBDD_Formadores[],15,FALSE)),"NO",VLOOKUP(T_Voluntarios[[#This Row],[RUN]],BBDD_Formadores[],15,FALSE))</f>
        <v>NO</v>
      </c>
      <c r="Y28" s="13" t="str">
        <f>IF(ISERROR(VLOOKUP(T_Voluntarios[[#This Row],[RUN]],BBDD_Formadores[],16,FALSE)),"NO",VLOOKUP(T_Voluntarios[[#This Row],[RUN]],BBDD_Formadores[],16,FALSE))</f>
        <v>NO</v>
      </c>
      <c r="Z28" s="13" t="str">
        <f>IF(ISERROR(VLOOKUP(T_Voluntarios[[#This Row],[RUN]],BBDD_Formadores[],17,FALSE)),"NO",VLOOKUP(T_Voluntarios[[#This Row],[RUN]],BBDD_Formadores[],17,FALSE))</f>
        <v>NO</v>
      </c>
      <c r="AA28" s="13" t="str">
        <f>IF(ISERROR(VLOOKUP(T_Voluntarios[[#This Row],[RUN]],BBDD_Formadores[],18,FALSE)),"NO",VLOOKUP(T_Voluntarios[[#This Row],[RUN]],BBDD_Formadores[],18,FALSE))</f>
        <v>NO</v>
      </c>
      <c r="AB28" s="13">
        <v>1</v>
      </c>
      <c r="AC28" s="13" t="s">
        <v>1</v>
      </c>
      <c r="AD28" s="13" t="s">
        <v>77</v>
      </c>
      <c r="AF28" s="2" t="str">
        <f>IF(VLOOKUP(T_Voluntarios[[#This Row],[RUN]],BBDD[],25,FALSE)=0,"",VLOOKUP(T_Voluntarios[[#This Row],[RUN]],BBDD[],25,FALSE))</f>
        <v>Hyundai</v>
      </c>
      <c r="AG28" s="2" t="str">
        <f>IF(VLOOKUP(T_Voluntarios[[#This Row],[RUN]],BBDD[],26,FALSE)=0,"",VLOOKUP(T_Voluntarios[[#This Row],[RUN]],BBDD[],26,FALSE))</f>
        <v>Eon</v>
      </c>
      <c r="AH28" s="2" t="str">
        <f>IF(VLOOKUP(T_Voluntarios[[#This Row],[RUN]],BBDD[],24,FALSE)=0,"",VLOOKUP(T_Voluntarios[[#This Row],[RUN]],BBDD[],24,FALSE))</f>
        <v>HPBD88</v>
      </c>
      <c r="AI28" s="13" t="str">
        <f>VLOOKUP(T_Voluntarios[[#This Row],[RUN]],BBDD[],28,FALSE)</f>
        <v>SI</v>
      </c>
      <c r="AJ28" s="13" t="str">
        <f>VLOOKUP(T_Voluntarios[[#This Row],[RUN]],BBDD[],28,FALSE)</f>
        <v>SI</v>
      </c>
      <c r="AK28" s="32">
        <f>IF(T_Voluntarios[[#This Row],[ROL]]="Participante",SUMIFS(T_Cuotas[[#All],[Total]],T_Cuotas[[#All],[RUN]],T_Voluntarios[[#This Row],[RUN]]),-1)</f>
        <v>50000</v>
      </c>
      <c r="AL28" s="13" t="s">
        <v>1</v>
      </c>
      <c r="AM28" s="13" t="s">
        <v>2029</v>
      </c>
      <c r="AP28" s="2" t="str">
        <f>MID(T_Voluntarios[[#This Row],[E_MAIL]],SEARCH("@",T_Voluntarios[[#This Row],[E_MAIL]],1),LEN(T_Voluntarios[[#This Row],[E_MAIL]]))</f>
        <v>@gmail.com</v>
      </c>
      <c r="AQ28" s="13" t="str">
        <f>VLOOKUP(T_Voluntarios[[#This Row],[RUN]],BBDD[],37,FALSE)</f>
        <v>30</v>
      </c>
      <c r="AR28" s="2" t="str">
        <f>VLOOKUP(T_Voluntarios[[#This Row],[RUN]],BBDD[],29,FALSE)</f>
        <v>Ingeniera civil industrial</v>
      </c>
      <c r="AS28" s="2" t="str">
        <f>VLOOKUP(T_Voluntarios[[#This Row],[RUN]],BBDD[],30,FALSE)</f>
        <v>9 años</v>
      </c>
      <c r="AT28" s="2" t="str">
        <f>VLOOKUP(T_Voluntarios[[#This Row],[RUN]],BBDD[],31,FALSE)</f>
        <v>8 años</v>
      </c>
      <c r="AU28" s="2" t="str">
        <f>VLOOKUP(T_Voluntarios[[#This Row],[RUN]],BBDD[],32,FALSE)</f>
        <v>Soltero(a)</v>
      </c>
      <c r="AV28" s="2" t="str">
        <f>VLOOKUP(T_Voluntarios[[#This Row],[RUN]],BBDD[],33,FALSE)</f>
        <v>Católica</v>
      </c>
      <c r="AW28" s="2" t="str">
        <f>VLOOKUP(T_Voluntarios[[#This Row],[RUN]],BBDD[],34,FALSE)</f>
        <v>Kati</v>
      </c>
      <c r="AX28" s="13" t="s">
        <v>733</v>
      </c>
      <c r="AY28" s="76">
        <f>VLOOKUP(T_Voluntarios[[#This Row],[RUN]],BBDD[],2,FALSE)</f>
        <v>45781.512864467593</v>
      </c>
      <c r="AZ28" s="13" t="s">
        <v>3403</v>
      </c>
    </row>
    <row r="29" spans="1:52" ht="14.4" x14ac:dyDescent="0.3">
      <c r="A29" t="s">
        <v>1035</v>
      </c>
      <c r="B29" s="2" t="str">
        <f>VLOOKUP(T_Voluntarios[[#This Row],[RUN]],BBDD[],3,FALSE)</f>
        <v>anitabravocortez7@gmail.com</v>
      </c>
      <c r="C29" s="2" t="str">
        <f>VLOOKUP(T_Voluntarios[[#This Row],[RUN]],BBDD[],4,FALSE)</f>
        <v>Anita Bravo Cortez</v>
      </c>
      <c r="D29" s="16">
        <f>VLOOKUP(T_Voluntarios[[#This Row],[RUN]],BBDD[],5,FALSE)</f>
        <v>38003</v>
      </c>
      <c r="E29" s="2" t="str">
        <f>VLOOKUP(T_Voluntarios[[#This Row],[RUN]],BBDD[],6,FALSE)</f>
        <v>Andrés Bello 322</v>
      </c>
      <c r="F29" s="2" t="str">
        <f>VLOOKUP(T_Voluntarios[[#This Row],[RUN]],BBDD[],7,FALSE)</f>
        <v>El Carmen</v>
      </c>
      <c r="G29" s="2" t="str">
        <f>VLOOKUP(T_Voluntarios[[#This Row],[RUN]],BBDD[],8,FALSE)</f>
        <v>Celular</v>
      </c>
      <c r="H29" s="2" t="str">
        <f>IF(VLOOKUP(T_Voluntarios[[#This Row],[RUN]],BBDD[],9,FALSE)=0,"Falta",VLOOKUP(T_Voluntarios[[#This Row],[RUN]],BBDD[],9,FALSE))</f>
        <v>+56954996048</v>
      </c>
      <c r="I29" s="2" t="str">
        <f>VLOOKUP(T_Voluntarios[[#This Row],[RUN]],BBDD[],10,FALSE)</f>
        <v>Participante</v>
      </c>
      <c r="J29" s="2" t="str">
        <f>VLOOKUP(T_Voluntarios[[#This Row],[RUN]],BBDD[],11,FALSE)</f>
        <v>La Montaña</v>
      </c>
      <c r="K29" s="2" t="str">
        <f>VLOOKUP(T_Voluntarios[[#This Row],[RUN]],BBDD[],12,FALSE)</f>
        <v>Lobatos</v>
      </c>
      <c r="L29" s="2" t="str">
        <f>VLOOKUP(T_Voluntarios[[#This Row],[RUN]],BBDD[],15,FALSE)</f>
        <v>Zona Ñuble</v>
      </c>
      <c r="M29" s="2" t="str">
        <f>VLOOKUP(T_Voluntarios[[#This Row],[RUN]],BBDD[],20,FALSE)</f>
        <v>Alimentación Tradicional</v>
      </c>
      <c r="N29" s="2" t="str">
        <f>VLOOKUP(T_Voluntarios[[#This Row],[RUN]],BBDD[],21,FALSE)</f>
        <v>Ninguna</v>
      </c>
      <c r="O29" s="2" t="str">
        <f>VLOOKUP(T_Voluntarios[[#This Row],[RUN]],BBDD[],22,FALSE)</f>
        <v>Ninguna</v>
      </c>
      <c r="P29" s="2" t="str">
        <f>VLOOKUP(T_Voluntarios[[#This Row],[RUN]],BBDD[],23,FALSE)</f>
        <v>Mayra Amigo 954094654</v>
      </c>
      <c r="Q29" s="2" t="str">
        <f>IF(VLOOKUP(T_Voluntarios[[#This Row],[RUN]],BBDD[],27,FALSE)=0,"",VLOOKUP(T_Voluntarios[[#This Row],[RUN]],BBDD[],27,FALSE))</f>
        <v/>
      </c>
      <c r="R29" s="2" t="str">
        <f>VLOOKUP(T_Voluntarios[[#This Row],[RUN]],BBDD[],36,FALSE)</f>
        <v>https://drive.google.com/open?id=1K4zHOckzcaWIAR-b1TYJefK-uoT48hi6</v>
      </c>
      <c r="S29" s="2" t="str">
        <f>VLOOKUP(T_Voluntarios[[#This Row],[RUN]],BBDD[],16,FALSE)</f>
        <v>Inicial</v>
      </c>
      <c r="T29" s="2" t="str">
        <f>VLOOKUP(T_Voluntarios[[#This Row],[RUN]],BBDD[],17,FALSE)</f>
        <v>Ninguno</v>
      </c>
      <c r="U29" s="2" t="str">
        <f>VLOOKUP(T_Voluntarios[[#This Row],[RUN]],BBDD[],18,FALSE)</f>
        <v>Ninguno</v>
      </c>
      <c r="V29" s="2" t="str">
        <f>VLOOKUP(T_Voluntarios[[#This Row],[RUN]],BBDD[],19,FALSE)</f>
        <v>Ninguno</v>
      </c>
      <c r="W29" s="13" t="str">
        <f>IF(OR(T_Voluntarios[[#This Row],[ROL]]="Formador(a)"),"SI","NO")</f>
        <v>NO</v>
      </c>
      <c r="X29" s="13" t="str">
        <f>IF(ISERROR(VLOOKUP(T_Voluntarios[[#This Row],[RUN]],BBDD_Formadores[],15,FALSE)),"NO",VLOOKUP(T_Voluntarios[[#This Row],[RUN]],BBDD_Formadores[],15,FALSE))</f>
        <v>NO</v>
      </c>
      <c r="Y29" s="13" t="str">
        <f>IF(ISERROR(VLOOKUP(T_Voluntarios[[#This Row],[RUN]],BBDD_Formadores[],16,FALSE)),"NO",VLOOKUP(T_Voluntarios[[#This Row],[RUN]],BBDD_Formadores[],16,FALSE))</f>
        <v>NO</v>
      </c>
      <c r="Z29" s="13" t="str">
        <f>IF(ISERROR(VLOOKUP(T_Voluntarios[[#This Row],[RUN]],BBDD_Formadores[],17,FALSE)),"NO",VLOOKUP(T_Voluntarios[[#This Row],[RUN]],BBDD_Formadores[],17,FALSE))</f>
        <v>NO</v>
      </c>
      <c r="AA29" s="13" t="str">
        <f>IF(ISERROR(VLOOKUP(T_Voluntarios[[#This Row],[RUN]],BBDD_Formadores[],18,FALSE)),"NO",VLOOKUP(T_Voluntarios[[#This Row],[RUN]],BBDD_Formadores[],18,FALSE))</f>
        <v>NO</v>
      </c>
      <c r="AB29" s="13">
        <v>1</v>
      </c>
      <c r="AC29" s="13" t="s">
        <v>1</v>
      </c>
      <c r="AD29" s="13" t="s">
        <v>77</v>
      </c>
      <c r="AF29" s="2" t="str">
        <f>IF(VLOOKUP(T_Voluntarios[[#This Row],[RUN]],BBDD[],25,FALSE)=0,"",VLOOKUP(T_Voluntarios[[#This Row],[RUN]],BBDD[],25,FALSE))</f>
        <v>No Aplica</v>
      </c>
      <c r="AG29" s="2" t="str">
        <f>IF(VLOOKUP(T_Voluntarios[[#This Row],[RUN]],BBDD[],26,FALSE)=0,"",VLOOKUP(T_Voluntarios[[#This Row],[RUN]],BBDD[],26,FALSE))</f>
        <v>No aplica</v>
      </c>
      <c r="AH29" s="2" t="str">
        <f>IF(VLOOKUP(T_Voluntarios[[#This Row],[RUN]],BBDD[],24,FALSE)=0,"",VLOOKUP(T_Voluntarios[[#This Row],[RUN]],BBDD[],24,FALSE))</f>
        <v>No aplica</v>
      </c>
      <c r="AI29" s="13" t="str">
        <f>VLOOKUP(T_Voluntarios[[#This Row],[RUN]],BBDD[],28,FALSE)</f>
        <v>SI</v>
      </c>
      <c r="AJ29" s="13" t="str">
        <f>VLOOKUP(T_Voluntarios[[#This Row],[RUN]],BBDD[],28,FALSE)</f>
        <v>SI</v>
      </c>
      <c r="AK29" s="32">
        <f>IF(T_Voluntarios[[#This Row],[ROL]]="Participante",SUMIFS(T_Cuotas[[#All],[Total]],T_Cuotas[[#All],[RUN]],T_Voluntarios[[#This Row],[RUN]]),-1)</f>
        <v>50000</v>
      </c>
      <c r="AL29" s="13" t="s">
        <v>1</v>
      </c>
      <c r="AM29" s="13" t="s">
        <v>2029</v>
      </c>
      <c r="AP29" s="2" t="str">
        <f>MID(T_Voluntarios[[#This Row],[E_MAIL]],SEARCH("@",T_Voluntarios[[#This Row],[E_MAIL]],1),LEN(T_Voluntarios[[#This Row],[E_MAIL]]))</f>
        <v>@gmail.com</v>
      </c>
      <c r="AQ29" s="13" t="str">
        <f>VLOOKUP(T_Voluntarios[[#This Row],[RUN]],BBDD[],37,FALSE)</f>
        <v>21</v>
      </c>
      <c r="AR29" s="2" t="str">
        <f>VLOOKUP(T_Voluntarios[[#This Row],[RUN]],BBDD[],29,FALSE)</f>
        <v>Estudiante</v>
      </c>
      <c r="AS29" s="2" t="str">
        <f>VLOOKUP(T_Voluntarios[[#This Row],[RUN]],BBDD[],30,FALSE)</f>
        <v>11 años</v>
      </c>
      <c r="AT29" s="2" t="str">
        <f>VLOOKUP(T_Voluntarios[[#This Row],[RUN]],BBDD[],31,FALSE)</f>
        <v>No Aplica</v>
      </c>
      <c r="AU29" s="2" t="str">
        <f>VLOOKUP(T_Voluntarios[[#This Row],[RUN]],BBDD[],32,FALSE)</f>
        <v>Soltero(a)</v>
      </c>
      <c r="AV29" s="2" t="str">
        <f>VLOOKUP(T_Voluntarios[[#This Row],[RUN]],BBDD[],33,FALSE)</f>
        <v>Ninguna</v>
      </c>
      <c r="AW29" s="2" t="str">
        <f>VLOOKUP(T_Voluntarios[[#This Row],[RUN]],BBDD[],34,FALSE)</f>
        <v>Anita</v>
      </c>
      <c r="AX29" s="13" t="s">
        <v>733</v>
      </c>
      <c r="AY29" s="76">
        <f>VLOOKUP(T_Voluntarios[[#This Row],[RUN]],BBDD[],2,FALSE)</f>
        <v>45781.574364776236</v>
      </c>
      <c r="AZ29" s="13" t="s">
        <v>3402</v>
      </c>
    </row>
    <row r="30" spans="1:52" ht="14.4" x14ac:dyDescent="0.3">
      <c r="A30" t="s">
        <v>1045</v>
      </c>
      <c r="B30" s="2" t="str">
        <f>VLOOKUP(T_Voluntarios[[#This Row],[RUN]],BBDD[],3,FALSE)</f>
        <v>antoromerocampos@gmail.com</v>
      </c>
      <c r="C30" s="2" t="str">
        <f>VLOOKUP(T_Voluntarios[[#This Row],[RUN]],BBDD[],4,FALSE)</f>
        <v>Antonia Belén Romero Campos</v>
      </c>
      <c r="D30" s="16">
        <f>VLOOKUP(T_Voluntarios[[#This Row],[RUN]],BBDD[],5,FALSE)</f>
        <v>38520</v>
      </c>
      <c r="E30" s="2" t="str">
        <f>VLOOKUP(T_Voluntarios[[#This Row],[RUN]],BBDD[],6,FALSE)</f>
        <v>pasaje 5 poniente casa 309 Barrio Las Pataguas</v>
      </c>
      <c r="F30" s="2" t="str">
        <f>VLOOKUP(T_Voluntarios[[#This Row],[RUN]],BBDD[],7,FALSE)</f>
        <v>Chillán</v>
      </c>
      <c r="G30" s="2" t="str">
        <f>VLOOKUP(T_Voluntarios[[#This Row],[RUN]],BBDD[],8,FALSE)</f>
        <v>Celular</v>
      </c>
      <c r="H30" s="2" t="str">
        <f>IF(VLOOKUP(T_Voluntarios[[#This Row],[RUN]],BBDD[],9,FALSE)=0,"Falta",VLOOKUP(T_Voluntarios[[#This Row],[RUN]],BBDD[],9,FALSE))</f>
        <v>+56934418140</v>
      </c>
      <c r="I30" s="2" t="str">
        <f>VLOOKUP(T_Voluntarios[[#This Row],[RUN]],BBDD[],10,FALSE)</f>
        <v>Participante</v>
      </c>
      <c r="J30" s="2" t="str">
        <f>VLOOKUP(T_Voluntarios[[#This Row],[RUN]],BBDD[],11,FALSE)</f>
        <v>La Montaña</v>
      </c>
      <c r="K30" s="2" t="str">
        <f>VLOOKUP(T_Voluntarios[[#This Row],[RUN]],BBDD[],12,FALSE)</f>
        <v>Lobatos</v>
      </c>
      <c r="L30" s="2" t="str">
        <f>VLOOKUP(T_Voluntarios[[#This Row],[RUN]],BBDD[],15,FALSE)</f>
        <v>Zona Ñuble</v>
      </c>
      <c r="M30" s="2" t="str">
        <f>VLOOKUP(T_Voluntarios[[#This Row],[RUN]],BBDD[],20,FALSE)</f>
        <v>Alimentación Tradicional</v>
      </c>
      <c r="N30" s="2" t="str">
        <f>VLOOKUP(T_Voluntarios[[#This Row],[RUN]],BBDD[],21,FALSE)</f>
        <v>Ninguna</v>
      </c>
      <c r="O30" s="2" t="str">
        <f>VLOOKUP(T_Voluntarios[[#This Row],[RUN]],BBDD[],22,FALSE)</f>
        <v>Ninguna</v>
      </c>
      <c r="P30" s="2" t="str">
        <f>VLOOKUP(T_Voluntarios[[#This Row],[RUN]],BBDD[],23,FALSE)</f>
        <v>Bárbara Campos, 982139060</v>
      </c>
      <c r="Q30" s="2" t="str">
        <f>IF(VLOOKUP(T_Voluntarios[[#This Row],[RUN]],BBDD[],27,FALSE)=0,"",VLOOKUP(T_Voluntarios[[#This Row],[RUN]],BBDD[],27,FALSE))</f>
        <v/>
      </c>
      <c r="R30" s="2" t="str">
        <f>VLOOKUP(T_Voluntarios[[#This Row],[RUN]],BBDD[],36,FALSE)</f>
        <v>https://drive.google.com/open?id=1mjRYZfsQP47u7Fox6tYik_j2_dDsZExZ</v>
      </c>
      <c r="S30" s="2" t="str">
        <f>VLOOKUP(T_Voluntarios[[#This Row],[RUN]],BBDD[],16,FALSE)</f>
        <v>Inicial</v>
      </c>
      <c r="T30" s="2" t="str">
        <f>VLOOKUP(T_Voluntarios[[#This Row],[RUN]],BBDD[],17,FALSE)</f>
        <v>Ninguno</v>
      </c>
      <c r="U30" s="2" t="str">
        <f>VLOOKUP(T_Voluntarios[[#This Row],[RUN]],BBDD[],18,FALSE)</f>
        <v>Ninguno</v>
      </c>
      <c r="V30" s="2" t="str">
        <f>VLOOKUP(T_Voluntarios[[#This Row],[RUN]],BBDD[],19,FALSE)</f>
        <v>Ninguno</v>
      </c>
      <c r="W30" s="13" t="str">
        <f>IF(OR(T_Voluntarios[[#This Row],[ROL]]="Formador(a)"),"SI","NO")</f>
        <v>NO</v>
      </c>
      <c r="X30" s="13" t="str">
        <f>IF(ISERROR(VLOOKUP(T_Voluntarios[[#This Row],[RUN]],BBDD_Formadores[],15,FALSE)),"NO",VLOOKUP(T_Voluntarios[[#This Row],[RUN]],BBDD_Formadores[],15,FALSE))</f>
        <v>NO</v>
      </c>
      <c r="Y30" s="13" t="str">
        <f>IF(ISERROR(VLOOKUP(T_Voluntarios[[#This Row],[RUN]],BBDD_Formadores[],16,FALSE)),"NO",VLOOKUP(T_Voluntarios[[#This Row],[RUN]],BBDD_Formadores[],16,FALSE))</f>
        <v>NO</v>
      </c>
      <c r="Z30" s="13" t="str">
        <f>IF(ISERROR(VLOOKUP(T_Voluntarios[[#This Row],[RUN]],BBDD_Formadores[],17,FALSE)),"NO",VLOOKUP(T_Voluntarios[[#This Row],[RUN]],BBDD_Formadores[],17,FALSE))</f>
        <v>NO</v>
      </c>
      <c r="AA30" s="13" t="str">
        <f>IF(ISERROR(VLOOKUP(T_Voluntarios[[#This Row],[RUN]],BBDD_Formadores[],18,FALSE)),"NO",VLOOKUP(T_Voluntarios[[#This Row],[RUN]],BBDD_Formadores[],18,FALSE))</f>
        <v>NO</v>
      </c>
      <c r="AB30" s="13">
        <v>1</v>
      </c>
      <c r="AC30" s="13" t="s">
        <v>1</v>
      </c>
      <c r="AD30" s="13" t="s">
        <v>77</v>
      </c>
      <c r="AF30" s="2" t="str">
        <f>IF(VLOOKUP(T_Voluntarios[[#This Row],[RUN]],BBDD[],25,FALSE)=0,"",VLOOKUP(T_Voluntarios[[#This Row],[RUN]],BBDD[],25,FALSE))</f>
        <v/>
      </c>
      <c r="AG30" s="2" t="str">
        <f>IF(VLOOKUP(T_Voluntarios[[#This Row],[RUN]],BBDD[],26,FALSE)=0,"",VLOOKUP(T_Voluntarios[[#This Row],[RUN]],BBDD[],26,FALSE))</f>
        <v/>
      </c>
      <c r="AH30" s="2" t="str">
        <f>IF(VLOOKUP(T_Voluntarios[[#This Row],[RUN]],BBDD[],24,FALSE)=0,"",VLOOKUP(T_Voluntarios[[#This Row],[RUN]],BBDD[],24,FALSE))</f>
        <v/>
      </c>
      <c r="AI30" s="13" t="str">
        <f>VLOOKUP(T_Voluntarios[[#This Row],[RUN]],BBDD[],28,FALSE)</f>
        <v>No</v>
      </c>
      <c r="AJ30" s="13" t="str">
        <f>VLOOKUP(T_Voluntarios[[#This Row],[RUN]],BBDD[],28,FALSE)</f>
        <v>No</v>
      </c>
      <c r="AK30" s="32">
        <f>IF(T_Voluntarios[[#This Row],[ROL]]="Participante",SUMIFS(T_Cuotas[[#All],[Total]],T_Cuotas[[#All],[RUN]],T_Voluntarios[[#This Row],[RUN]]),-1)</f>
        <v>50000</v>
      </c>
      <c r="AL30" s="13" t="s">
        <v>1</v>
      </c>
      <c r="AM30" s="13" t="s">
        <v>733</v>
      </c>
      <c r="AP30" s="2" t="str">
        <f>MID(T_Voluntarios[[#This Row],[E_MAIL]],SEARCH("@",T_Voluntarios[[#This Row],[E_MAIL]],1),LEN(T_Voluntarios[[#This Row],[E_MAIL]]))</f>
        <v>@gmail.com</v>
      </c>
      <c r="AQ30" s="13" t="str">
        <f>VLOOKUP(T_Voluntarios[[#This Row],[RUN]],BBDD[],37,FALSE)</f>
        <v>20</v>
      </c>
      <c r="AR30" s="2" t="str">
        <f>VLOOKUP(T_Voluntarios[[#This Row],[RUN]],BBDD[],29,FALSE)</f>
        <v>Estudiante</v>
      </c>
      <c r="AS30" s="2" t="str">
        <f>VLOOKUP(T_Voluntarios[[#This Row],[RUN]],BBDD[],30,FALSE)</f>
        <v>2 años</v>
      </c>
      <c r="AT30" s="2" t="str">
        <f>VLOOKUP(T_Voluntarios[[#This Row],[RUN]],BBDD[],31,FALSE)</f>
        <v>1 año</v>
      </c>
      <c r="AU30" s="2" t="str">
        <f>VLOOKUP(T_Voluntarios[[#This Row],[RUN]],BBDD[],32,FALSE)</f>
        <v>Soltero(a)</v>
      </c>
      <c r="AV30" s="2" t="str">
        <f>VLOOKUP(T_Voluntarios[[#This Row],[RUN]],BBDD[],33,FALSE)</f>
        <v>Ninguna</v>
      </c>
      <c r="AW30" s="2" t="str">
        <f>VLOOKUP(T_Voluntarios[[#This Row],[RUN]],BBDD[],34,FALSE)</f>
        <v>Anto R</v>
      </c>
      <c r="AX30" s="13" t="s">
        <v>733</v>
      </c>
      <c r="AY30" s="76">
        <f>VLOOKUP(T_Voluntarios[[#This Row],[RUN]],BBDD[],2,FALSE)</f>
        <v>45781.582421489198</v>
      </c>
      <c r="AZ30" s="13" t="s">
        <v>3402</v>
      </c>
    </row>
    <row r="31" spans="1:52" ht="14.4" x14ac:dyDescent="0.3">
      <c r="A31" t="s">
        <v>1053</v>
      </c>
      <c r="B31" s="2" t="str">
        <f>VLOOKUP(T_Voluntarios[[#This Row],[RUN]],BBDD[],3,FALSE)</f>
        <v>feijooangela@gmail.com</v>
      </c>
      <c r="C31" s="2" t="str">
        <f>VLOOKUP(T_Voluntarios[[#This Row],[RUN]],BBDD[],4,FALSE)</f>
        <v>Angela Andrea Feijoo Herrerra</v>
      </c>
      <c r="D31" s="16">
        <f>VLOOKUP(T_Voluntarios[[#This Row],[RUN]],BBDD[],5,FALSE)</f>
        <v>31693</v>
      </c>
      <c r="E31" s="2" t="str">
        <f>VLOOKUP(T_Voluntarios[[#This Row],[RUN]],BBDD[],6,FALSE)</f>
        <v>San Juan Bautista 2231 casa 1, San Remo, lomas San Sebastián</v>
      </c>
      <c r="F31" s="2" t="str">
        <f>VLOOKUP(T_Voluntarios[[#This Row],[RUN]],BBDD[],7,FALSE)</f>
        <v>Concepción</v>
      </c>
      <c r="G31" s="2" t="str">
        <f>VLOOKUP(T_Voluntarios[[#This Row],[RUN]],BBDD[],8,FALSE)</f>
        <v>Celular</v>
      </c>
      <c r="H31" s="2" t="str">
        <f>IF(VLOOKUP(T_Voluntarios[[#This Row],[RUN]],BBDD[],9,FALSE)=0,"Falta",VLOOKUP(T_Voluntarios[[#This Row],[RUN]],BBDD[],9,FALSE))</f>
        <v>+56985920688</v>
      </c>
      <c r="I31" s="2" t="str">
        <f>VLOOKUP(T_Voluntarios[[#This Row],[RUN]],BBDD[],10,FALSE)</f>
        <v>Participante</v>
      </c>
      <c r="J31" s="2" t="str">
        <f>VLOOKUP(T_Voluntarios[[#This Row],[RUN]],BBDD[],11,FALSE)</f>
        <v>Rañileufu</v>
      </c>
      <c r="K31" s="2" t="str">
        <f>VLOOKUP(T_Voluntarios[[#This Row],[RUN]],BBDD[],12,FALSE)</f>
        <v>Golondrinas</v>
      </c>
      <c r="L31" s="2" t="str">
        <f>VLOOKUP(T_Voluntarios[[#This Row],[RUN]],BBDD[],15,FALSE)</f>
        <v>Concepción</v>
      </c>
      <c r="M31" s="2" t="str">
        <f>VLOOKUP(T_Voluntarios[[#This Row],[RUN]],BBDD[],20,FALSE)</f>
        <v>Alimentación Vegetariana</v>
      </c>
      <c r="N31" s="2" t="str">
        <f>VLOOKUP(T_Voluntarios[[#This Row],[RUN]],BBDD[],21,FALSE)</f>
        <v>Hipertensión, alergia a la lidocaina</v>
      </c>
      <c r="O31" s="2" t="str">
        <f>VLOOKUP(T_Voluntarios[[#This Row],[RUN]],BBDD[],22,FALSE)</f>
        <v>Ninguna</v>
      </c>
      <c r="P31" s="2" t="str">
        <f>VLOOKUP(T_Voluntarios[[#This Row],[RUN]],BBDD[],23,FALSE)</f>
        <v>Gladys Herrera +56 9 5833 0496</v>
      </c>
      <c r="Q31" s="2" t="str">
        <f>IF(VLOOKUP(T_Voluntarios[[#This Row],[RUN]],BBDD[],27,FALSE)=0,"",VLOOKUP(T_Voluntarios[[#This Row],[RUN]],BBDD[],27,FALSE))</f>
        <v/>
      </c>
      <c r="R31" s="2" t="str">
        <f>VLOOKUP(T_Voluntarios[[#This Row],[RUN]],BBDD[],36,FALSE)</f>
        <v>https://drive.google.com/open?id=1Y4fqHjSWuldQc73Jkb43k1MFNFytsFgZ</v>
      </c>
      <c r="S31" s="2" t="str">
        <f>VLOOKUP(T_Voluntarios[[#This Row],[RUN]],BBDD[],16,FALSE)</f>
        <v>Inicial</v>
      </c>
      <c r="T31" s="2" t="str">
        <f>VLOOKUP(T_Voluntarios[[#This Row],[RUN]],BBDD[],17,FALSE)</f>
        <v>Ninguno</v>
      </c>
      <c r="U31" s="2" t="str">
        <f>VLOOKUP(T_Voluntarios[[#This Row],[RUN]],BBDD[],18,FALSE)</f>
        <v>Ninguno</v>
      </c>
      <c r="V31" s="2" t="str">
        <f>VLOOKUP(T_Voluntarios[[#This Row],[RUN]],BBDD[],19,FALSE)</f>
        <v>Ninguno</v>
      </c>
      <c r="W31" s="13" t="str">
        <f>IF(OR(T_Voluntarios[[#This Row],[ROL]]="Formador(a)"),"SI","NO")</f>
        <v>NO</v>
      </c>
      <c r="X31" s="13" t="str">
        <f>IF(ISERROR(VLOOKUP(T_Voluntarios[[#This Row],[RUN]],BBDD_Formadores[],15,FALSE)),"NO",VLOOKUP(T_Voluntarios[[#This Row],[RUN]],BBDD_Formadores[],15,FALSE))</f>
        <v>NO</v>
      </c>
      <c r="Y31" s="13" t="str">
        <f>IF(ISERROR(VLOOKUP(T_Voluntarios[[#This Row],[RUN]],BBDD_Formadores[],16,FALSE)),"NO",VLOOKUP(T_Voluntarios[[#This Row],[RUN]],BBDD_Formadores[],16,FALSE))</f>
        <v>NO</v>
      </c>
      <c r="Z31" s="13" t="str">
        <f>IF(ISERROR(VLOOKUP(T_Voluntarios[[#This Row],[RUN]],BBDD_Formadores[],17,FALSE)),"NO",VLOOKUP(T_Voluntarios[[#This Row],[RUN]],BBDD_Formadores[],17,FALSE))</f>
        <v>NO</v>
      </c>
      <c r="AA31" s="13" t="str">
        <f>IF(ISERROR(VLOOKUP(T_Voluntarios[[#This Row],[RUN]],BBDD_Formadores[],18,FALSE)),"NO",VLOOKUP(T_Voluntarios[[#This Row],[RUN]],BBDD_Formadores[],18,FALSE))</f>
        <v>NO</v>
      </c>
      <c r="AB31" s="13">
        <v>1</v>
      </c>
      <c r="AC31" s="13" t="s">
        <v>1</v>
      </c>
      <c r="AD31" s="13" t="s">
        <v>77</v>
      </c>
      <c r="AF31" s="2" t="str">
        <f>IF(VLOOKUP(T_Voluntarios[[#This Row],[RUN]],BBDD[],25,FALSE)=0,"",VLOOKUP(T_Voluntarios[[#This Row],[RUN]],BBDD[],25,FALSE))</f>
        <v/>
      </c>
      <c r="AG31" s="2" t="str">
        <f>IF(VLOOKUP(T_Voluntarios[[#This Row],[RUN]],BBDD[],26,FALSE)=0,"",VLOOKUP(T_Voluntarios[[#This Row],[RUN]],BBDD[],26,FALSE))</f>
        <v/>
      </c>
      <c r="AH31" s="2" t="str">
        <f>IF(VLOOKUP(T_Voluntarios[[#This Row],[RUN]],BBDD[],24,FALSE)=0,"",VLOOKUP(T_Voluntarios[[#This Row],[RUN]],BBDD[],24,FALSE))</f>
        <v/>
      </c>
      <c r="AI31" s="13" t="str">
        <f>VLOOKUP(T_Voluntarios[[#This Row],[RUN]],BBDD[],28,FALSE)</f>
        <v>No</v>
      </c>
      <c r="AJ31" s="13" t="str">
        <f>VLOOKUP(T_Voluntarios[[#This Row],[RUN]],BBDD[],28,FALSE)</f>
        <v>No</v>
      </c>
      <c r="AK31" s="32">
        <f>IF(T_Voluntarios[[#This Row],[ROL]]="Participante",SUMIFS(T_Cuotas[[#All],[Total]],T_Cuotas[[#All],[RUN]],T_Voluntarios[[#This Row],[RUN]]),-1)</f>
        <v>50000</v>
      </c>
      <c r="AL31" s="13" t="s">
        <v>1</v>
      </c>
      <c r="AM31" s="13" t="s">
        <v>2029</v>
      </c>
      <c r="AP31" s="2" t="str">
        <f>MID(T_Voluntarios[[#This Row],[E_MAIL]],SEARCH("@",T_Voluntarios[[#This Row],[E_MAIL]],1),LEN(T_Voluntarios[[#This Row],[E_MAIL]]))</f>
        <v>@gmail.com</v>
      </c>
      <c r="AQ31" s="13" t="str">
        <f>VLOOKUP(T_Voluntarios[[#This Row],[RUN]],BBDD[],37,FALSE)</f>
        <v>38</v>
      </c>
      <c r="AR31" s="2" t="str">
        <f>VLOOKUP(T_Voluntarios[[#This Row],[RUN]],BBDD[],29,FALSE)</f>
        <v>Publicidad, Fotógrafa</v>
      </c>
      <c r="AS31" s="2" t="str">
        <f>VLOOKUP(T_Voluntarios[[#This Row],[RUN]],BBDD[],30,FALSE)</f>
        <v>10 años</v>
      </c>
      <c r="AT31" s="2" t="str">
        <f>VLOOKUP(T_Voluntarios[[#This Row],[RUN]],BBDD[],31,FALSE)</f>
        <v>4 años</v>
      </c>
      <c r="AU31" s="2" t="str">
        <f>VLOOKUP(T_Voluntarios[[#This Row],[RUN]],BBDD[],32,FALSE)</f>
        <v>Viudo(a)</v>
      </c>
      <c r="AV31" s="2" t="str">
        <f>VLOOKUP(T_Voluntarios[[#This Row],[RUN]],BBDD[],33,FALSE)</f>
        <v>Ninguna</v>
      </c>
      <c r="AW31" s="2" t="str">
        <f>VLOOKUP(T_Voluntarios[[#This Row],[RUN]],BBDD[],34,FALSE)</f>
        <v>Angela "Ayeka" Feijoo</v>
      </c>
      <c r="AX31" s="13" t="s">
        <v>733</v>
      </c>
      <c r="AY31" s="76">
        <f>VLOOKUP(T_Voluntarios[[#This Row],[RUN]],BBDD[],2,FALSE)</f>
        <v>45781.588063040123</v>
      </c>
      <c r="AZ31" s="13" t="s">
        <v>3403</v>
      </c>
    </row>
    <row r="32" spans="1:52" ht="14.4" x14ac:dyDescent="0.3">
      <c r="A32" t="s">
        <v>1065</v>
      </c>
      <c r="B32" s="2" t="str">
        <f>VLOOKUP(T_Voluntarios[[#This Row],[RUN]],BBDD[],3,FALSE)</f>
        <v>isidorasandogut@gmail.com</v>
      </c>
      <c r="C32" s="2" t="str">
        <f>VLOOKUP(T_Voluntarios[[#This Row],[RUN]],BBDD[],4,FALSE)</f>
        <v>Isidora María Fernanda Sandoval Gutiérrez</v>
      </c>
      <c r="D32" s="16">
        <f>VLOOKUP(T_Voluntarios[[#This Row],[RUN]],BBDD[],5,FALSE)</f>
        <v>38073</v>
      </c>
      <c r="E32" s="2" t="str">
        <f>VLOOKUP(T_Voluntarios[[#This Row],[RUN]],BBDD[],6,FALSE)</f>
        <v>Bernardo O´Higgins 621</v>
      </c>
      <c r="F32" s="2" t="str">
        <f>VLOOKUP(T_Voluntarios[[#This Row],[RUN]],BBDD[],7,FALSE)</f>
        <v>El Carmen</v>
      </c>
      <c r="G32" s="2" t="str">
        <f>VLOOKUP(T_Voluntarios[[#This Row],[RUN]],BBDD[],8,FALSE)</f>
        <v>Celular</v>
      </c>
      <c r="H32" s="2" t="str">
        <f>IF(VLOOKUP(T_Voluntarios[[#This Row],[RUN]],BBDD[],9,FALSE)=0,"Falta",VLOOKUP(T_Voluntarios[[#This Row],[RUN]],BBDD[],9,FALSE))</f>
        <v>+56973953441</v>
      </c>
      <c r="I32" s="2" t="str">
        <f>VLOOKUP(T_Voluntarios[[#This Row],[RUN]],BBDD[],10,FALSE)</f>
        <v>Participante</v>
      </c>
      <c r="J32" s="2" t="str">
        <f>VLOOKUP(T_Voluntarios[[#This Row],[RUN]],BBDD[],11,FALSE)</f>
        <v>La Montaña</v>
      </c>
      <c r="K32" s="2" t="str">
        <f>VLOOKUP(T_Voluntarios[[#This Row],[RUN]],BBDD[],12,FALSE)</f>
        <v>Guias</v>
      </c>
      <c r="L32" s="2" t="str">
        <f>VLOOKUP(T_Voluntarios[[#This Row],[RUN]],BBDD[],15,FALSE)</f>
        <v>Zona Ñuble</v>
      </c>
      <c r="M32" s="2" t="str">
        <f>VLOOKUP(T_Voluntarios[[#This Row],[RUN]],BBDD[],20,FALSE)</f>
        <v>Alimentación Tradicional</v>
      </c>
      <c r="N32" s="2" t="str">
        <f>VLOOKUP(T_Voluntarios[[#This Row],[RUN]],BBDD[],21,FALSE)</f>
        <v>Ninguna</v>
      </c>
      <c r="O32" s="2" t="str">
        <f>VLOOKUP(T_Voluntarios[[#This Row],[RUN]],BBDD[],22,FALSE)</f>
        <v>Ninguna</v>
      </c>
      <c r="P32" s="2" t="str">
        <f>VLOOKUP(T_Voluntarios[[#This Row],[RUN]],BBDD[],23,FALSE)</f>
        <v>Paola Gutiérrez Hernández +56 9 7696 8415</v>
      </c>
      <c r="Q32" s="2" t="str">
        <f>IF(VLOOKUP(T_Voluntarios[[#This Row],[RUN]],BBDD[],27,FALSE)=0,"",VLOOKUP(T_Voluntarios[[#This Row],[RUN]],BBDD[],27,FALSE))</f>
        <v/>
      </c>
      <c r="R32" s="2" t="str">
        <f>VLOOKUP(T_Voluntarios[[#This Row],[RUN]],BBDD[],36,FALSE)</f>
        <v>https://drive.google.com/open?id=1qpd3EriJU0nvxG5B48JwqlNx0aA5BCmP</v>
      </c>
      <c r="S32" s="2" t="str">
        <f>VLOOKUP(T_Voluntarios[[#This Row],[RUN]],BBDD[],16,FALSE)</f>
        <v>Inicial</v>
      </c>
      <c r="T32" s="2" t="str">
        <f>VLOOKUP(T_Voluntarios[[#This Row],[RUN]],BBDD[],17,FALSE)</f>
        <v>Ninguno</v>
      </c>
      <c r="U32" s="2" t="str">
        <f>VLOOKUP(T_Voluntarios[[#This Row],[RUN]],BBDD[],18,FALSE)</f>
        <v>Ninguno</v>
      </c>
      <c r="V32" s="2" t="str">
        <f>VLOOKUP(T_Voluntarios[[#This Row],[RUN]],BBDD[],19,FALSE)</f>
        <v>Ninguno</v>
      </c>
      <c r="W32" s="13" t="str">
        <f>IF(OR(T_Voluntarios[[#This Row],[ROL]]="Formador(a)"),"SI","NO")</f>
        <v>NO</v>
      </c>
      <c r="X32" s="13" t="str">
        <f>IF(ISERROR(VLOOKUP(T_Voluntarios[[#This Row],[RUN]],BBDD_Formadores[],15,FALSE)),"NO",VLOOKUP(T_Voluntarios[[#This Row],[RUN]],BBDD_Formadores[],15,FALSE))</f>
        <v>NO</v>
      </c>
      <c r="Y32" s="13" t="str">
        <f>IF(ISERROR(VLOOKUP(T_Voluntarios[[#This Row],[RUN]],BBDD_Formadores[],16,FALSE)),"NO",VLOOKUP(T_Voluntarios[[#This Row],[RUN]],BBDD_Formadores[],16,FALSE))</f>
        <v>NO</v>
      </c>
      <c r="Z32" s="13" t="str">
        <f>IF(ISERROR(VLOOKUP(T_Voluntarios[[#This Row],[RUN]],BBDD_Formadores[],17,FALSE)),"NO",VLOOKUP(T_Voluntarios[[#This Row],[RUN]],BBDD_Formadores[],17,FALSE))</f>
        <v>NO</v>
      </c>
      <c r="AA32" s="13" t="str">
        <f>IF(ISERROR(VLOOKUP(T_Voluntarios[[#This Row],[RUN]],BBDD_Formadores[],18,FALSE)),"NO",VLOOKUP(T_Voluntarios[[#This Row],[RUN]],BBDD_Formadores[],18,FALSE))</f>
        <v>NO</v>
      </c>
      <c r="AB32" s="13">
        <v>1</v>
      </c>
      <c r="AC32" s="13" t="s">
        <v>1</v>
      </c>
      <c r="AD32" s="13" t="s">
        <v>77</v>
      </c>
      <c r="AF32" s="2" t="str">
        <f>IF(VLOOKUP(T_Voluntarios[[#This Row],[RUN]],BBDD[],25,FALSE)=0,"",VLOOKUP(T_Voluntarios[[#This Row],[RUN]],BBDD[],25,FALSE))</f>
        <v/>
      </c>
      <c r="AG32" s="2" t="str">
        <f>IF(VLOOKUP(T_Voluntarios[[#This Row],[RUN]],BBDD[],26,FALSE)=0,"",VLOOKUP(T_Voluntarios[[#This Row],[RUN]],BBDD[],26,FALSE))</f>
        <v/>
      </c>
      <c r="AH32" s="2" t="str">
        <f>IF(VLOOKUP(T_Voluntarios[[#This Row],[RUN]],BBDD[],24,FALSE)=0,"",VLOOKUP(T_Voluntarios[[#This Row],[RUN]],BBDD[],24,FALSE))</f>
        <v/>
      </c>
      <c r="AI32" s="13" t="str">
        <f>VLOOKUP(T_Voluntarios[[#This Row],[RUN]],BBDD[],28,FALSE)</f>
        <v>SI</v>
      </c>
      <c r="AJ32" s="13" t="str">
        <f>VLOOKUP(T_Voluntarios[[#This Row],[RUN]],BBDD[],28,FALSE)</f>
        <v>SI</v>
      </c>
      <c r="AK32" s="32">
        <f>IF(T_Voluntarios[[#This Row],[ROL]]="Participante",SUMIFS(T_Cuotas[[#All],[Total]],T_Cuotas[[#All],[RUN]],T_Voluntarios[[#This Row],[RUN]]),-1)</f>
        <v>50000</v>
      </c>
      <c r="AL32" s="13" t="s">
        <v>1</v>
      </c>
      <c r="AM32" s="13" t="s">
        <v>2029</v>
      </c>
      <c r="AP32" s="2" t="str">
        <f>MID(T_Voluntarios[[#This Row],[E_MAIL]],SEARCH("@",T_Voluntarios[[#This Row],[E_MAIL]],1),LEN(T_Voluntarios[[#This Row],[E_MAIL]]))</f>
        <v>@gmail.com</v>
      </c>
      <c r="AQ32" s="13" t="str">
        <f>VLOOKUP(T_Voluntarios[[#This Row],[RUN]],BBDD[],37,FALSE)</f>
        <v>21</v>
      </c>
      <c r="AR32" s="2" t="str">
        <f>VLOOKUP(T_Voluntarios[[#This Row],[RUN]],BBDD[],29,FALSE)</f>
        <v>Estudiante</v>
      </c>
      <c r="AS32" s="2" t="str">
        <f>VLOOKUP(T_Voluntarios[[#This Row],[RUN]],BBDD[],30,FALSE)</f>
        <v>10 años</v>
      </c>
      <c r="AT32" s="2" t="str">
        <f>VLOOKUP(T_Voluntarios[[#This Row],[RUN]],BBDD[],31,FALSE)</f>
        <v>3 años</v>
      </c>
      <c r="AU32" s="2" t="str">
        <f>VLOOKUP(T_Voluntarios[[#This Row],[RUN]],BBDD[],32,FALSE)</f>
        <v>Soltero(a)</v>
      </c>
      <c r="AV32" s="2" t="str">
        <f>VLOOKUP(T_Voluntarios[[#This Row],[RUN]],BBDD[],33,FALSE)</f>
        <v>Ninguna</v>
      </c>
      <c r="AW32" s="2" t="str">
        <f>VLOOKUP(T_Voluntarios[[#This Row],[RUN]],BBDD[],34,FALSE)</f>
        <v>Isi</v>
      </c>
      <c r="AX32" s="13" t="s">
        <v>733</v>
      </c>
      <c r="AY32" s="76">
        <f>VLOOKUP(T_Voluntarios[[#This Row],[RUN]],BBDD[],2,FALSE)</f>
        <v>45781.591822723763</v>
      </c>
      <c r="AZ32" s="13" t="s">
        <v>3402</v>
      </c>
    </row>
    <row r="33" spans="1:52" ht="14.4" x14ac:dyDescent="0.3">
      <c r="A33" t="s">
        <v>1072</v>
      </c>
      <c r="B33" s="2" t="str">
        <f>VLOOKUP(T_Voluntarios[[#This Row],[RUN]],BBDD[],3,FALSE)</f>
        <v>javiera.jareyes@gmail.com</v>
      </c>
      <c r="C33" s="2" t="str">
        <f>VLOOKUP(T_Voluntarios[[#This Row],[RUN]],BBDD[],4,FALSE)</f>
        <v>Javiera Jacqueline Jara Reyes</v>
      </c>
      <c r="D33" s="16">
        <f>VLOOKUP(T_Voluntarios[[#This Row],[RUN]],BBDD[],5,FALSE)</f>
        <v>34852</v>
      </c>
      <c r="E33" s="2" t="str">
        <f>VLOOKUP(T_Voluntarios[[#This Row],[RUN]],BBDD[],6,FALSE)</f>
        <v>Las violetas 1756 casa 13</v>
      </c>
      <c r="F33" s="2" t="str">
        <f>VLOOKUP(T_Voluntarios[[#This Row],[RUN]],BBDD[],7,FALSE)</f>
        <v>San Pedro De La Paz</v>
      </c>
      <c r="G33" s="2" t="str">
        <f>VLOOKUP(T_Voluntarios[[#This Row],[RUN]],BBDD[],8,FALSE)</f>
        <v>Celular</v>
      </c>
      <c r="H33" s="2" t="str">
        <f>IF(VLOOKUP(T_Voluntarios[[#This Row],[RUN]],BBDD[],9,FALSE)=0,"Falta",VLOOKUP(T_Voluntarios[[#This Row],[RUN]],BBDD[],9,FALSE))</f>
        <v>+56988893472</v>
      </c>
      <c r="I33" s="2" t="str">
        <f>VLOOKUP(T_Voluntarios[[#This Row],[RUN]],BBDD[],10,FALSE)</f>
        <v>Participante</v>
      </c>
      <c r="J33" s="2" t="str">
        <f>VLOOKUP(T_Voluntarios[[#This Row],[RUN]],BBDD[],11,FALSE)</f>
        <v>Huilliche</v>
      </c>
      <c r="K33" s="2" t="str">
        <f>VLOOKUP(T_Voluntarios[[#This Row],[RUN]],BBDD[],12,FALSE)</f>
        <v>Pioneros</v>
      </c>
      <c r="L33" s="2" t="str">
        <f>VLOOKUP(T_Voluntarios[[#This Row],[RUN]],BBDD[],15,FALSE)</f>
        <v>Nahuelbuta</v>
      </c>
      <c r="M33" s="2" t="str">
        <f>VLOOKUP(T_Voluntarios[[#This Row],[RUN]],BBDD[],20,FALSE)</f>
        <v>Alimentación Tradicional</v>
      </c>
      <c r="N33" s="2" t="str">
        <f>VLOOKUP(T_Voluntarios[[#This Row],[RUN]],BBDD[],21,FALSE)</f>
        <v>Mariscos</v>
      </c>
      <c r="O33" s="2" t="str">
        <f>VLOOKUP(T_Voluntarios[[#This Row],[RUN]],BBDD[],22,FALSE)</f>
        <v>Asma</v>
      </c>
      <c r="P33" s="2" t="str">
        <f>VLOOKUP(T_Voluntarios[[#This Row],[RUN]],BBDD[],23,FALSE)</f>
        <v>Lucas Urriaga +56945480251</v>
      </c>
      <c r="Q33" s="2" t="str">
        <f>IF(VLOOKUP(T_Voluntarios[[#This Row],[RUN]],BBDD[],27,FALSE)=0,"",VLOOKUP(T_Voluntarios[[#This Row],[RUN]],BBDD[],27,FALSE))</f>
        <v/>
      </c>
      <c r="R33" s="2" t="str">
        <f>VLOOKUP(T_Voluntarios[[#This Row],[RUN]],BBDD[],36,FALSE)</f>
        <v>https://drive.google.com/open?id=1q4twkejpxV2-VIaZWO9UtnfZMes_J_qz</v>
      </c>
      <c r="S33" s="2" t="str">
        <f>VLOOKUP(T_Voluntarios[[#This Row],[RUN]],BBDD[],16,FALSE)</f>
        <v>Inicial</v>
      </c>
      <c r="T33" s="2" t="str">
        <f>VLOOKUP(T_Voluntarios[[#This Row],[RUN]],BBDD[],17,FALSE)</f>
        <v>Ninguno</v>
      </c>
      <c r="U33" s="2" t="str">
        <f>VLOOKUP(T_Voluntarios[[#This Row],[RUN]],BBDD[],18,FALSE)</f>
        <v>Ninguno</v>
      </c>
      <c r="V33" s="2" t="str">
        <f>VLOOKUP(T_Voluntarios[[#This Row],[RUN]],BBDD[],19,FALSE)</f>
        <v>Ninguno</v>
      </c>
      <c r="W33" s="13" t="str">
        <f>IF(OR(T_Voluntarios[[#This Row],[ROL]]="Formador(a)"),"SI","NO")</f>
        <v>NO</v>
      </c>
      <c r="X33" s="13" t="str">
        <f>IF(ISERROR(VLOOKUP(T_Voluntarios[[#This Row],[RUN]],BBDD_Formadores[],15,FALSE)),"NO",VLOOKUP(T_Voluntarios[[#This Row],[RUN]],BBDD_Formadores[],15,FALSE))</f>
        <v>NO</v>
      </c>
      <c r="Y33" s="13" t="str">
        <f>IF(ISERROR(VLOOKUP(T_Voluntarios[[#This Row],[RUN]],BBDD_Formadores[],16,FALSE)),"NO",VLOOKUP(T_Voluntarios[[#This Row],[RUN]],BBDD_Formadores[],16,FALSE))</f>
        <v>NO</v>
      </c>
      <c r="Z33" s="13" t="str">
        <f>IF(ISERROR(VLOOKUP(T_Voluntarios[[#This Row],[RUN]],BBDD_Formadores[],17,FALSE)),"NO",VLOOKUP(T_Voluntarios[[#This Row],[RUN]],BBDD_Formadores[],17,FALSE))</f>
        <v>NO</v>
      </c>
      <c r="AA33" s="13" t="str">
        <f>IF(ISERROR(VLOOKUP(T_Voluntarios[[#This Row],[RUN]],BBDD_Formadores[],18,FALSE)),"NO",VLOOKUP(T_Voluntarios[[#This Row],[RUN]],BBDD_Formadores[],18,FALSE))</f>
        <v>NO</v>
      </c>
      <c r="AB33" s="13">
        <v>1</v>
      </c>
      <c r="AC33" s="13" t="s">
        <v>1</v>
      </c>
      <c r="AD33" s="13" t="s">
        <v>77</v>
      </c>
      <c r="AF33" s="2" t="str">
        <f>IF(VLOOKUP(T_Voluntarios[[#This Row],[RUN]],BBDD[],25,FALSE)=0,"",VLOOKUP(T_Voluntarios[[#This Row],[RUN]],BBDD[],25,FALSE))</f>
        <v/>
      </c>
      <c r="AG33" s="2" t="str">
        <f>IF(VLOOKUP(T_Voluntarios[[#This Row],[RUN]],BBDD[],26,FALSE)=0,"",VLOOKUP(T_Voluntarios[[#This Row],[RUN]],BBDD[],26,FALSE))</f>
        <v/>
      </c>
      <c r="AH33" s="2" t="str">
        <f>IF(VLOOKUP(T_Voluntarios[[#This Row],[RUN]],BBDD[],24,FALSE)=0,"",VLOOKUP(T_Voluntarios[[#This Row],[RUN]],BBDD[],24,FALSE))</f>
        <v/>
      </c>
      <c r="AI33" s="13" t="str">
        <f>VLOOKUP(T_Voluntarios[[#This Row],[RUN]],BBDD[],28,FALSE)</f>
        <v>SI</v>
      </c>
      <c r="AJ33" s="13" t="str">
        <f>VLOOKUP(T_Voluntarios[[#This Row],[RUN]],BBDD[],28,FALSE)</f>
        <v>SI</v>
      </c>
      <c r="AK33" s="32">
        <f>IF(T_Voluntarios[[#This Row],[ROL]]="Participante",SUMIFS(T_Cuotas[[#All],[Total]],T_Cuotas[[#All],[RUN]],T_Voluntarios[[#This Row],[RUN]]),-1)</f>
        <v>50000</v>
      </c>
      <c r="AL33" s="13" t="s">
        <v>1</v>
      </c>
      <c r="AM33" s="13" t="s">
        <v>2029</v>
      </c>
      <c r="AP33" s="2" t="str">
        <f>MID(T_Voluntarios[[#This Row],[E_MAIL]],SEARCH("@",T_Voluntarios[[#This Row],[E_MAIL]],1),LEN(T_Voluntarios[[#This Row],[E_MAIL]]))</f>
        <v>@gmail.com</v>
      </c>
      <c r="AQ33" s="13" t="str">
        <f>VLOOKUP(T_Voluntarios[[#This Row],[RUN]],BBDD[],37,FALSE)</f>
        <v>30</v>
      </c>
      <c r="AR33" s="2" t="str">
        <f>VLOOKUP(T_Voluntarios[[#This Row],[RUN]],BBDD[],29,FALSE)</f>
        <v>Kinesióloga</v>
      </c>
      <c r="AS33" s="2" t="str">
        <f>VLOOKUP(T_Voluntarios[[#This Row],[RUN]],BBDD[],30,FALSE)</f>
        <v>8 años</v>
      </c>
      <c r="AT33" s="2" t="str">
        <f>VLOOKUP(T_Voluntarios[[#This Row],[RUN]],BBDD[],31,FALSE)</f>
        <v>5 años</v>
      </c>
      <c r="AU33" s="2" t="str">
        <f>VLOOKUP(T_Voluntarios[[#This Row],[RUN]],BBDD[],32,FALSE)</f>
        <v>Soltero(a)</v>
      </c>
      <c r="AV33" s="2" t="str">
        <f>VLOOKUP(T_Voluntarios[[#This Row],[RUN]],BBDD[],33,FALSE)</f>
        <v>Católica</v>
      </c>
      <c r="AW33" s="2" t="str">
        <f>VLOOKUP(T_Voluntarios[[#This Row],[RUN]],BBDD[],34,FALSE)</f>
        <v>JJ</v>
      </c>
      <c r="AX33" s="13" t="s">
        <v>733</v>
      </c>
      <c r="AY33" s="76">
        <f>VLOOKUP(T_Voluntarios[[#This Row],[RUN]],BBDD[],2,FALSE)</f>
        <v>45781.599022453702</v>
      </c>
      <c r="AZ33" s="13" t="s">
        <v>3403</v>
      </c>
    </row>
    <row r="34" spans="1:52" ht="14.4" x14ac:dyDescent="0.3">
      <c r="A34" t="s">
        <v>1082</v>
      </c>
      <c r="B34" s="2" t="str">
        <f>VLOOKUP(T_Voluntarios[[#This Row],[RUN]],BBDD[],3,FALSE)</f>
        <v>placenciavalenzuela@gmail.com</v>
      </c>
      <c r="C34" s="2" t="str">
        <f>VLOOKUP(T_Voluntarios[[#This Row],[RUN]],BBDD[],4,FALSE)</f>
        <v>Alfredo Andrés Placencia Valenzuela</v>
      </c>
      <c r="D34" s="16">
        <f>VLOOKUP(T_Voluntarios[[#This Row],[RUN]],BBDD[],5,FALSE)</f>
        <v>33191</v>
      </c>
      <c r="E34" s="2" t="str">
        <f>VLOOKUP(T_Voluntarios[[#This Row],[RUN]],BBDD[],6,FALSE)</f>
        <v>Baquedano 100, Lota</v>
      </c>
      <c r="F34" s="2" t="str">
        <f>VLOOKUP(T_Voluntarios[[#This Row],[RUN]],BBDD[],7,FALSE)</f>
        <v>Lota</v>
      </c>
      <c r="G34" s="2" t="str">
        <f>VLOOKUP(T_Voluntarios[[#This Row],[RUN]],BBDD[],8,FALSE)</f>
        <v>Celular</v>
      </c>
      <c r="H34" s="2" t="str">
        <f>IF(VLOOKUP(T_Voluntarios[[#This Row],[RUN]],BBDD[],9,FALSE)=0,"Falta",VLOOKUP(T_Voluntarios[[#This Row],[RUN]],BBDD[],9,FALSE))</f>
        <v>+56971954811</v>
      </c>
      <c r="I34" s="2" t="str">
        <f>VLOOKUP(T_Voluntarios[[#This Row],[RUN]],BBDD[],10,FALSE)</f>
        <v>Participante</v>
      </c>
      <c r="J34" s="2" t="str">
        <f>VLOOKUP(T_Voluntarios[[#This Row],[RUN]],BBDD[],11,FALSE)</f>
        <v>Huilliche</v>
      </c>
      <c r="K34" s="2" t="str">
        <f>VLOOKUP(T_Voluntarios[[#This Row],[RUN]],BBDD[],12,FALSE)</f>
        <v>Scouts</v>
      </c>
      <c r="L34" s="2" t="str">
        <f>VLOOKUP(T_Voluntarios[[#This Row],[RUN]],BBDD[],15,FALSE)</f>
        <v>Nahuelbuta</v>
      </c>
      <c r="M34" s="2" t="str">
        <f>VLOOKUP(T_Voluntarios[[#This Row],[RUN]],BBDD[],20,FALSE)</f>
        <v>Alimentación Tradicional</v>
      </c>
      <c r="N34" s="2" t="str">
        <f>VLOOKUP(T_Voluntarios[[#This Row],[RUN]],BBDD[],21,FALSE)</f>
        <v>Ninguna</v>
      </c>
      <c r="O34" s="2" t="str">
        <f>VLOOKUP(T_Voluntarios[[#This Row],[RUN]],BBDD[],22,FALSE)</f>
        <v>Ninguna</v>
      </c>
      <c r="P34" s="2" t="str">
        <f>VLOOKUP(T_Voluntarios[[#This Row],[RUN]],BBDD[],23,FALSE)</f>
        <v>José Placencia 991504796</v>
      </c>
      <c r="Q34" s="2" t="str">
        <f>IF(VLOOKUP(T_Voluntarios[[#This Row],[RUN]],BBDD[],27,FALSE)=0,"",VLOOKUP(T_Voluntarios[[#This Row],[RUN]],BBDD[],27,FALSE))</f>
        <v/>
      </c>
      <c r="R34" s="2" t="str">
        <f>VLOOKUP(T_Voluntarios[[#This Row],[RUN]],BBDD[],36,FALSE)</f>
        <v>https://drive.google.com/open?id=15g4k3llnhSFJx6XUN_QpGZ0qGP2YFmAf</v>
      </c>
      <c r="S34" s="2" t="str">
        <f>VLOOKUP(T_Voluntarios[[#This Row],[RUN]],BBDD[],16,FALSE)</f>
        <v>Inicial</v>
      </c>
      <c r="T34" s="2" t="str">
        <f>VLOOKUP(T_Voluntarios[[#This Row],[RUN]],BBDD[],17,FALSE)</f>
        <v>Ninguno</v>
      </c>
      <c r="U34" s="2" t="str">
        <f>VLOOKUP(T_Voluntarios[[#This Row],[RUN]],BBDD[],18,FALSE)</f>
        <v>Ninguno</v>
      </c>
      <c r="V34" s="2" t="str">
        <f>VLOOKUP(T_Voluntarios[[#This Row],[RUN]],BBDD[],19,FALSE)</f>
        <v>Ninguno</v>
      </c>
      <c r="W34" s="13" t="str">
        <f>IF(OR(T_Voluntarios[[#This Row],[ROL]]="Formador(a)"),"SI","NO")</f>
        <v>NO</v>
      </c>
      <c r="X34" s="13" t="str">
        <f>IF(ISERROR(VLOOKUP(T_Voluntarios[[#This Row],[RUN]],BBDD_Formadores[],15,FALSE)),"NO",VLOOKUP(T_Voluntarios[[#This Row],[RUN]],BBDD_Formadores[],15,FALSE))</f>
        <v>NO</v>
      </c>
      <c r="Y34" s="13" t="str">
        <f>IF(ISERROR(VLOOKUP(T_Voluntarios[[#This Row],[RUN]],BBDD_Formadores[],16,FALSE)),"NO",VLOOKUP(T_Voluntarios[[#This Row],[RUN]],BBDD_Formadores[],16,FALSE))</f>
        <v>NO</v>
      </c>
      <c r="Z34" s="13" t="str">
        <f>IF(ISERROR(VLOOKUP(T_Voluntarios[[#This Row],[RUN]],BBDD_Formadores[],17,FALSE)),"NO",VLOOKUP(T_Voluntarios[[#This Row],[RUN]],BBDD_Formadores[],17,FALSE))</f>
        <v>NO</v>
      </c>
      <c r="AA34" s="13" t="str">
        <f>IF(ISERROR(VLOOKUP(T_Voluntarios[[#This Row],[RUN]],BBDD_Formadores[],18,FALSE)),"NO",VLOOKUP(T_Voluntarios[[#This Row],[RUN]],BBDD_Formadores[],18,FALSE))</f>
        <v>NO</v>
      </c>
      <c r="AB34" s="13">
        <v>1</v>
      </c>
      <c r="AC34" s="13" t="s">
        <v>1</v>
      </c>
      <c r="AD34" s="13" t="s">
        <v>77</v>
      </c>
      <c r="AF34" s="2" t="str">
        <f>IF(VLOOKUP(T_Voluntarios[[#This Row],[RUN]],BBDD[],25,FALSE)=0,"",VLOOKUP(T_Voluntarios[[#This Row],[RUN]],BBDD[],25,FALSE))</f>
        <v>Chevrolet</v>
      </c>
      <c r="AG34" s="2" t="str">
        <f>IF(VLOOKUP(T_Voluntarios[[#This Row],[RUN]],BBDD[],26,FALSE)=0,"",VLOOKUP(T_Voluntarios[[#This Row],[RUN]],BBDD[],26,FALSE))</f>
        <v>Sail</v>
      </c>
      <c r="AH34" s="2" t="str">
        <f>IF(VLOOKUP(T_Voluntarios[[#This Row],[RUN]],BBDD[],24,FALSE)=0,"",VLOOKUP(T_Voluntarios[[#This Row],[RUN]],BBDD[],24,FALSE))</f>
        <v>Hpgg71</v>
      </c>
      <c r="AI34" s="13" t="str">
        <f>VLOOKUP(T_Voluntarios[[#This Row],[RUN]],BBDD[],28,FALSE)</f>
        <v>No</v>
      </c>
      <c r="AJ34" s="13" t="str">
        <f>VLOOKUP(T_Voluntarios[[#This Row],[RUN]],BBDD[],28,FALSE)</f>
        <v>No</v>
      </c>
      <c r="AK34" s="32">
        <f>IF(T_Voluntarios[[#This Row],[ROL]]="Participante",SUMIFS(T_Cuotas[[#All],[Total]],T_Cuotas[[#All],[RUN]],T_Voluntarios[[#This Row],[RUN]]),-1)</f>
        <v>50000</v>
      </c>
      <c r="AL34" s="13" t="s">
        <v>1</v>
      </c>
      <c r="AM34" s="13" t="s">
        <v>2029</v>
      </c>
      <c r="AP34" s="2" t="str">
        <f>MID(T_Voluntarios[[#This Row],[E_MAIL]],SEARCH("@",T_Voluntarios[[#This Row],[E_MAIL]],1),LEN(T_Voluntarios[[#This Row],[E_MAIL]]))</f>
        <v>@gmail.com</v>
      </c>
      <c r="AQ34" s="13" t="str">
        <f>VLOOKUP(T_Voluntarios[[#This Row],[RUN]],BBDD[],37,FALSE)</f>
        <v>34</v>
      </c>
      <c r="AR34" s="2" t="str">
        <f>VLOOKUP(T_Voluntarios[[#This Row],[RUN]],BBDD[],29,FALSE)</f>
        <v>Profesor de matemáticas</v>
      </c>
      <c r="AS34" s="2" t="str">
        <f>VLOOKUP(T_Voluntarios[[#This Row],[RUN]],BBDD[],30,FALSE)</f>
        <v>0</v>
      </c>
      <c r="AT34" s="2" t="str">
        <f>VLOOKUP(T_Voluntarios[[#This Row],[RUN]],BBDD[],31,FALSE)</f>
        <v>4 meses</v>
      </c>
      <c r="AU34" s="2" t="str">
        <f>VLOOKUP(T_Voluntarios[[#This Row],[RUN]],BBDD[],32,FALSE)</f>
        <v>Soltero(a)</v>
      </c>
      <c r="AV34" s="2" t="str">
        <f>VLOOKUP(T_Voluntarios[[#This Row],[RUN]],BBDD[],33,FALSE)</f>
        <v>Ninguna</v>
      </c>
      <c r="AW34" s="2" t="str">
        <f>VLOOKUP(T_Voluntarios[[#This Row],[RUN]],BBDD[],34,FALSE)</f>
        <v>Supremo Lider</v>
      </c>
      <c r="AX34" s="13" t="s">
        <v>733</v>
      </c>
      <c r="AY34" s="76">
        <f>VLOOKUP(T_Voluntarios[[#This Row],[RUN]],BBDD[],2,FALSE)</f>
        <v>45781.615906404324</v>
      </c>
      <c r="AZ34" s="13" t="s">
        <v>3403</v>
      </c>
    </row>
    <row r="35" spans="1:52" ht="14.4" x14ac:dyDescent="0.3">
      <c r="A35" t="s">
        <v>1097</v>
      </c>
      <c r="B35" s="2" t="str">
        <f>VLOOKUP(T_Voluntarios[[#This Row],[RUN]],BBDD[],3,FALSE)</f>
        <v>texiasl@gmail.com</v>
      </c>
      <c r="C35" s="2" t="str">
        <f>VLOOKUP(T_Voluntarios[[#This Row],[RUN]],BBDD[],4,FALSE)</f>
        <v>Texias Nicole Lagos Navarrete</v>
      </c>
      <c r="D35" s="16">
        <f>VLOOKUP(T_Voluntarios[[#This Row],[RUN]],BBDD[],5,FALSE)</f>
        <v>34413</v>
      </c>
      <c r="E35" s="2" t="str">
        <f>VLOOKUP(T_Voluntarios[[#This Row],[RUN]],BBDD[],6,FALSE)</f>
        <v>V. La Esperanza, Calle Dos #525</v>
      </c>
      <c r="F35" s="2" t="str">
        <f>VLOOKUP(T_Voluntarios[[#This Row],[RUN]],BBDD[],7,FALSE)</f>
        <v>El Carmen</v>
      </c>
      <c r="G35" s="2" t="str">
        <f>VLOOKUP(T_Voluntarios[[#This Row],[RUN]],BBDD[],8,FALSE)</f>
        <v>Celular</v>
      </c>
      <c r="H35" s="2" t="str">
        <f>IF(VLOOKUP(T_Voluntarios[[#This Row],[RUN]],BBDD[],9,FALSE)=0,"Falta",VLOOKUP(T_Voluntarios[[#This Row],[RUN]],BBDD[],9,FALSE))</f>
        <v>+56954600260</v>
      </c>
      <c r="I35" s="2" t="str">
        <f>VLOOKUP(T_Voluntarios[[#This Row],[RUN]],BBDD[],10,FALSE)</f>
        <v>Participante</v>
      </c>
      <c r="J35" s="2" t="str">
        <f>VLOOKUP(T_Voluntarios[[#This Row],[RUN]],BBDD[],11,FALSE)</f>
        <v>La Montaña</v>
      </c>
      <c r="K35" s="2" t="str">
        <f>VLOOKUP(T_Voluntarios[[#This Row],[RUN]],BBDD[],12,FALSE)</f>
        <v>Pioneros</v>
      </c>
      <c r="L35" s="2" t="str">
        <f>VLOOKUP(T_Voluntarios[[#This Row],[RUN]],BBDD[],15,FALSE)</f>
        <v>Zona Ñuble</v>
      </c>
      <c r="M35" s="2" t="str">
        <f>VLOOKUP(T_Voluntarios[[#This Row],[RUN]],BBDD[],20,FALSE)</f>
        <v>Alimentación Tradicional</v>
      </c>
      <c r="N35" s="2" t="str">
        <f>VLOOKUP(T_Voluntarios[[#This Row],[RUN]],BBDD[],21,FALSE)</f>
        <v>Frutos secos</v>
      </c>
      <c r="O35" s="2" t="str">
        <f>VLOOKUP(T_Voluntarios[[#This Row],[RUN]],BBDD[],22,FALSE)</f>
        <v>Ninguna</v>
      </c>
      <c r="P35" s="2" t="str">
        <f>VLOOKUP(T_Voluntarios[[#This Row],[RUN]],BBDD[],23,FALSE)</f>
        <v>Yolanda Navarrete ×
+56988117586</v>
      </c>
      <c r="Q35" s="2" t="str">
        <f>IF(VLOOKUP(T_Voluntarios[[#This Row],[RUN]],BBDD[],27,FALSE)=0,"",VLOOKUP(T_Voluntarios[[#This Row],[RUN]],BBDD[],27,FALSE))</f>
        <v/>
      </c>
      <c r="R35" s="2" t="str">
        <f>VLOOKUP(T_Voluntarios[[#This Row],[RUN]],BBDD[],36,FALSE)</f>
        <v>https://drive.google.com/open?id=1hpG3aCyIMqorFeNF94J9CcexKTiZ8la5</v>
      </c>
      <c r="S35" s="2" t="str">
        <f>VLOOKUP(T_Voluntarios[[#This Row],[RUN]],BBDD[],16,FALSE)</f>
        <v>Medio</v>
      </c>
      <c r="T35" s="2" t="str">
        <f>VLOOKUP(T_Voluntarios[[#This Row],[RUN]],BBDD[],17,FALSE)</f>
        <v>8447</v>
      </c>
      <c r="U35" s="2" t="str">
        <f>VLOOKUP(T_Voluntarios[[#This Row],[RUN]],BBDD[],18,FALSE)</f>
        <v>Golondrinas</v>
      </c>
      <c r="V35" s="2" t="str">
        <f>VLOOKUP(T_Voluntarios[[#This Row],[RUN]],BBDD[],19,FALSE)</f>
        <v>Ninguno</v>
      </c>
      <c r="W35" s="13" t="str">
        <f>IF(OR(T_Voluntarios[[#This Row],[ROL]]="Formador(a)"),"SI","NO")</f>
        <v>NO</v>
      </c>
      <c r="X35" s="13" t="str">
        <f>IF(ISERROR(VLOOKUP(T_Voluntarios[[#This Row],[RUN]],BBDD_Formadores[],15,FALSE)),"NO",VLOOKUP(T_Voluntarios[[#This Row],[RUN]],BBDD_Formadores[],15,FALSE))</f>
        <v>NO</v>
      </c>
      <c r="Y35" s="13" t="str">
        <f>IF(ISERROR(VLOOKUP(T_Voluntarios[[#This Row],[RUN]],BBDD_Formadores[],16,FALSE)),"NO",VLOOKUP(T_Voluntarios[[#This Row],[RUN]],BBDD_Formadores[],16,FALSE))</f>
        <v>NO</v>
      </c>
      <c r="Z35" s="13" t="str">
        <f>IF(ISERROR(VLOOKUP(T_Voluntarios[[#This Row],[RUN]],BBDD_Formadores[],17,FALSE)),"NO",VLOOKUP(T_Voluntarios[[#This Row],[RUN]],BBDD_Formadores[],17,FALSE))</f>
        <v>NO</v>
      </c>
      <c r="AA35" s="13" t="str">
        <f>IF(ISERROR(VLOOKUP(T_Voluntarios[[#This Row],[RUN]],BBDD_Formadores[],18,FALSE)),"NO",VLOOKUP(T_Voluntarios[[#This Row],[RUN]],BBDD_Formadores[],18,FALSE))</f>
        <v>NO</v>
      </c>
      <c r="AB35" s="13">
        <v>1</v>
      </c>
      <c r="AC35" s="13" t="s">
        <v>1597</v>
      </c>
      <c r="AD35" s="13" t="s">
        <v>78</v>
      </c>
      <c r="AF35" s="2" t="str">
        <f>IF(VLOOKUP(T_Voluntarios[[#This Row],[RUN]],BBDD[],25,FALSE)=0,"",VLOOKUP(T_Voluntarios[[#This Row],[RUN]],BBDD[],25,FALSE))</f>
        <v/>
      </c>
      <c r="AG35" s="2" t="str">
        <f>IF(VLOOKUP(T_Voluntarios[[#This Row],[RUN]],BBDD[],26,FALSE)=0,"",VLOOKUP(T_Voluntarios[[#This Row],[RUN]],BBDD[],26,FALSE))</f>
        <v/>
      </c>
      <c r="AH35" s="2" t="str">
        <f>IF(VLOOKUP(T_Voluntarios[[#This Row],[RUN]],BBDD[],24,FALSE)=0,"",VLOOKUP(T_Voluntarios[[#This Row],[RUN]],BBDD[],24,FALSE))</f>
        <v/>
      </c>
      <c r="AI35" s="13" t="str">
        <f>VLOOKUP(T_Voluntarios[[#This Row],[RUN]],BBDD[],28,FALSE)</f>
        <v>SI</v>
      </c>
      <c r="AJ35" s="13" t="str">
        <f>VLOOKUP(T_Voluntarios[[#This Row],[RUN]],BBDD[],28,FALSE)</f>
        <v>SI</v>
      </c>
      <c r="AK35" s="32">
        <f>IF(T_Voluntarios[[#This Row],[ROL]]="Participante",SUMIFS(T_Cuotas[[#All],[Total]],T_Cuotas[[#All],[RUN]],T_Voluntarios[[#This Row],[RUN]]),-1)</f>
        <v>0</v>
      </c>
      <c r="AL35" s="1" t="s">
        <v>78</v>
      </c>
      <c r="AM35" s="13" t="s">
        <v>733</v>
      </c>
      <c r="AP35" s="2" t="str">
        <f>MID(T_Voluntarios[[#This Row],[E_MAIL]],SEARCH("@",T_Voluntarios[[#This Row],[E_MAIL]],1),LEN(T_Voluntarios[[#This Row],[E_MAIL]]))</f>
        <v>@gmail.com</v>
      </c>
      <c r="AQ35" s="13" t="str">
        <f>VLOOKUP(T_Voluntarios[[#This Row],[RUN]],BBDD[],37,FALSE)</f>
        <v>31</v>
      </c>
      <c r="AR35" s="2" t="str">
        <f>VLOOKUP(T_Voluntarios[[#This Row],[RUN]],BBDD[],29,FALSE)</f>
        <v>Kinesiologa</v>
      </c>
      <c r="AS35" s="2" t="str">
        <f>VLOOKUP(T_Voluntarios[[#This Row],[RUN]],BBDD[],30,FALSE)</f>
        <v>3 años</v>
      </c>
      <c r="AT35" s="2" t="str">
        <f>VLOOKUP(T_Voluntarios[[#This Row],[RUN]],BBDD[],31,FALSE)</f>
        <v>13</v>
      </c>
      <c r="AU35" s="2" t="str">
        <f>VLOOKUP(T_Voluntarios[[#This Row],[RUN]],BBDD[],32,FALSE)</f>
        <v>Soltero(a)</v>
      </c>
      <c r="AV35" s="2" t="str">
        <f>VLOOKUP(T_Voluntarios[[#This Row],[RUN]],BBDD[],33,FALSE)</f>
        <v>Ninguna</v>
      </c>
      <c r="AW35" s="2" t="str">
        <f>VLOOKUP(T_Voluntarios[[#This Row],[RUN]],BBDD[],34,FALSE)</f>
        <v>Texias o Te-te</v>
      </c>
      <c r="AX35" s="13" t="s">
        <v>733</v>
      </c>
      <c r="AY35" s="76">
        <f>VLOOKUP(T_Voluntarios[[#This Row],[RUN]],BBDD[],2,FALSE)</f>
        <v>45781.646322608023</v>
      </c>
      <c r="AZ35" s="13" t="s">
        <v>2</v>
      </c>
    </row>
    <row r="36" spans="1:52" ht="14.4" x14ac:dyDescent="0.3">
      <c r="A36" t="s">
        <v>1109</v>
      </c>
      <c r="B36" s="2" t="str">
        <f>VLOOKUP(T_Voluntarios[[#This Row],[RUN]],BBDD[],3,FALSE)</f>
        <v>dsheward05@gmail.com</v>
      </c>
      <c r="C36" s="2" t="str">
        <f>VLOOKUP(T_Voluntarios[[#This Row],[RUN]],BBDD[],4,FALSE)</f>
        <v>Darío Alfonso Sheward Castillo</v>
      </c>
      <c r="D36" s="16">
        <f>VLOOKUP(T_Voluntarios[[#This Row],[RUN]],BBDD[],5,FALSE)</f>
        <v>38359</v>
      </c>
      <c r="E36" s="2" t="str">
        <f>VLOOKUP(T_Voluntarios[[#This Row],[RUN]],BBDD[],6,FALSE)</f>
        <v>Lorenzo Arenas196</v>
      </c>
      <c r="F36" s="2" t="str">
        <f>VLOOKUP(T_Voluntarios[[#This Row],[RUN]],BBDD[],7,FALSE)</f>
        <v>Concepción</v>
      </c>
      <c r="G36" s="2" t="str">
        <f>VLOOKUP(T_Voluntarios[[#This Row],[RUN]],BBDD[],8,FALSE)</f>
        <v>Celular</v>
      </c>
      <c r="H36" s="2" t="str">
        <f>IF(VLOOKUP(T_Voluntarios[[#This Row],[RUN]],BBDD[],9,FALSE)=0,"Falta",VLOOKUP(T_Voluntarios[[#This Row],[RUN]],BBDD[],9,FALSE))</f>
        <v>+56950170657</v>
      </c>
      <c r="I36" s="2" t="str">
        <f>VLOOKUP(T_Voluntarios[[#This Row],[RUN]],BBDD[],10,FALSE)</f>
        <v>Participante</v>
      </c>
      <c r="J36" s="2" t="str">
        <f>VLOOKUP(T_Voluntarios[[#This Row],[RUN]],BBDD[],11,FALSE)</f>
        <v>Rucapeñihue</v>
      </c>
      <c r="K36" s="2" t="str">
        <f>VLOOKUP(T_Voluntarios[[#This Row],[RUN]],BBDD[],12,FALSE)</f>
        <v>Guias</v>
      </c>
      <c r="L36" s="2" t="str">
        <f>VLOOKUP(T_Voluntarios[[#This Row],[RUN]],BBDD[],15,FALSE)</f>
        <v>Concepción</v>
      </c>
      <c r="M36" s="2" t="str">
        <f>VLOOKUP(T_Voluntarios[[#This Row],[RUN]],BBDD[],20,FALSE)</f>
        <v>Sin Almuerzo</v>
      </c>
      <c r="N36" s="2" t="str">
        <f>VLOOKUP(T_Voluntarios[[#This Row],[RUN]],BBDD[],21,FALSE)</f>
        <v>Ninguna</v>
      </c>
      <c r="O36" s="2" t="str">
        <f>VLOOKUP(T_Voluntarios[[#This Row],[RUN]],BBDD[],22,FALSE)</f>
        <v>Ninguna</v>
      </c>
      <c r="P36" s="2" t="str">
        <f>VLOOKUP(T_Voluntarios[[#This Row],[RUN]],BBDD[],23,FALSE)</f>
        <v>Pamela Castillo - +56956093205</v>
      </c>
      <c r="Q36" s="2" t="str">
        <f>IF(VLOOKUP(T_Voluntarios[[#This Row],[RUN]],BBDD[],27,FALSE)=0,"",VLOOKUP(T_Voluntarios[[#This Row],[RUN]],BBDD[],27,FALSE))</f>
        <v/>
      </c>
      <c r="R36" s="2" t="str">
        <f>VLOOKUP(T_Voluntarios[[#This Row],[RUN]],BBDD[],36,FALSE)</f>
        <v>https://drive.google.com/open?id=1bIpWmvLd0QGrmKJyXDRjrZvJth8vx_Ag</v>
      </c>
      <c r="S36" s="2" t="str">
        <f>VLOOKUP(T_Voluntarios[[#This Row],[RUN]],BBDD[],16,FALSE)</f>
        <v>Inicial</v>
      </c>
      <c r="T36" s="2" t="str">
        <f>VLOOKUP(T_Voluntarios[[#This Row],[RUN]],BBDD[],17,FALSE)</f>
        <v>Ninguno</v>
      </c>
      <c r="U36" s="2" t="str">
        <f>VLOOKUP(T_Voluntarios[[#This Row],[RUN]],BBDD[],18,FALSE)</f>
        <v>Ninguno</v>
      </c>
      <c r="V36" s="2" t="str">
        <f>VLOOKUP(T_Voluntarios[[#This Row],[RUN]],BBDD[],19,FALSE)</f>
        <v>Ninguno</v>
      </c>
      <c r="W36" s="13" t="str">
        <f>IF(OR(T_Voluntarios[[#This Row],[ROL]]="Formador(a)"),"SI","NO")</f>
        <v>NO</v>
      </c>
      <c r="X36" s="13" t="str">
        <f>IF(ISERROR(VLOOKUP(T_Voluntarios[[#This Row],[RUN]],BBDD_Formadores[],15,FALSE)),"NO",VLOOKUP(T_Voluntarios[[#This Row],[RUN]],BBDD_Formadores[],15,FALSE))</f>
        <v>NO</v>
      </c>
      <c r="Y36" s="13" t="str">
        <f>IF(ISERROR(VLOOKUP(T_Voluntarios[[#This Row],[RUN]],BBDD_Formadores[],16,FALSE)),"NO",VLOOKUP(T_Voluntarios[[#This Row],[RUN]],BBDD_Formadores[],16,FALSE))</f>
        <v>NO</v>
      </c>
      <c r="Z36" s="13" t="str">
        <f>IF(ISERROR(VLOOKUP(T_Voluntarios[[#This Row],[RUN]],BBDD_Formadores[],17,FALSE)),"NO",VLOOKUP(T_Voluntarios[[#This Row],[RUN]],BBDD_Formadores[],17,FALSE))</f>
        <v>NO</v>
      </c>
      <c r="AA36" s="13" t="str">
        <f>IF(ISERROR(VLOOKUP(T_Voluntarios[[#This Row],[RUN]],BBDD_Formadores[],18,FALSE)),"NO",VLOOKUP(T_Voluntarios[[#This Row],[RUN]],BBDD_Formadores[],18,FALSE))</f>
        <v>NO</v>
      </c>
      <c r="AB36" s="13">
        <v>1</v>
      </c>
      <c r="AC36" s="13" t="s">
        <v>1</v>
      </c>
      <c r="AD36" s="13" t="s">
        <v>77</v>
      </c>
      <c r="AF36" s="2" t="str">
        <f>IF(VLOOKUP(T_Voluntarios[[#This Row],[RUN]],BBDD[],25,FALSE)=0,"",VLOOKUP(T_Voluntarios[[#This Row],[RUN]],BBDD[],25,FALSE))</f>
        <v/>
      </c>
      <c r="AG36" s="2" t="str">
        <f>IF(VLOOKUP(T_Voluntarios[[#This Row],[RUN]],BBDD[],26,FALSE)=0,"",VLOOKUP(T_Voluntarios[[#This Row],[RUN]],BBDD[],26,FALSE))</f>
        <v/>
      </c>
      <c r="AH36" s="2" t="str">
        <f>IF(VLOOKUP(T_Voluntarios[[#This Row],[RUN]],BBDD[],24,FALSE)=0,"",VLOOKUP(T_Voluntarios[[#This Row],[RUN]],BBDD[],24,FALSE))</f>
        <v/>
      </c>
      <c r="AI36" s="13" t="str">
        <f>VLOOKUP(T_Voluntarios[[#This Row],[RUN]],BBDD[],28,FALSE)</f>
        <v>No</v>
      </c>
      <c r="AJ36" s="13" t="str">
        <f>VLOOKUP(T_Voluntarios[[#This Row],[RUN]],BBDD[],28,FALSE)</f>
        <v>No</v>
      </c>
      <c r="AK36" s="32">
        <f>IF(T_Voluntarios[[#This Row],[ROL]]="Participante",SUMIFS(T_Cuotas[[#All],[Total]],T_Cuotas[[#All],[RUN]],T_Voluntarios[[#This Row],[RUN]]),-1)</f>
        <v>36500</v>
      </c>
      <c r="AL36" s="13" t="s">
        <v>1</v>
      </c>
      <c r="AM36" s="13" t="s">
        <v>2029</v>
      </c>
      <c r="AP36" s="2" t="str">
        <f>MID(T_Voluntarios[[#This Row],[E_MAIL]],SEARCH("@",T_Voluntarios[[#This Row],[E_MAIL]],1),LEN(T_Voluntarios[[#This Row],[E_MAIL]]))</f>
        <v>@gmail.com</v>
      </c>
      <c r="AQ36" s="13" t="str">
        <f>VLOOKUP(T_Voluntarios[[#This Row],[RUN]],BBDD[],37,FALSE)</f>
        <v>20</v>
      </c>
      <c r="AR36" s="2" t="str">
        <f>VLOOKUP(T_Voluntarios[[#This Row],[RUN]],BBDD[],29,FALSE)</f>
        <v>Estudiante</v>
      </c>
      <c r="AS36" s="2" t="str">
        <f>VLOOKUP(T_Voluntarios[[#This Row],[RUN]],BBDD[],30,FALSE)</f>
        <v>2 años y medio</v>
      </c>
      <c r="AT36" s="2" t="str">
        <f>VLOOKUP(T_Voluntarios[[#This Row],[RUN]],BBDD[],31,FALSE)</f>
        <v>Desde marzo de 2025- Este semestre</v>
      </c>
      <c r="AU36" s="2" t="str">
        <f>VLOOKUP(T_Voluntarios[[#This Row],[RUN]],BBDD[],32,FALSE)</f>
        <v>Soltero(a)</v>
      </c>
      <c r="AV36" s="2" t="str">
        <f>VLOOKUP(T_Voluntarios[[#This Row],[RUN]],BBDD[],33,FALSE)</f>
        <v>Ninguna</v>
      </c>
      <c r="AW36" s="2" t="str">
        <f>VLOOKUP(T_Voluntarios[[#This Row],[RUN]],BBDD[],34,FALSE)</f>
        <v>Sheward</v>
      </c>
      <c r="AX36" s="13" t="s">
        <v>733</v>
      </c>
      <c r="AY36" s="76">
        <f>VLOOKUP(T_Voluntarios[[#This Row],[RUN]],BBDD[],2,FALSE)</f>
        <v>45781.669059336418</v>
      </c>
      <c r="AZ36" s="13" t="s">
        <v>3403</v>
      </c>
    </row>
    <row r="37" spans="1:52" ht="14.4" x14ac:dyDescent="0.3">
      <c r="A37" t="s">
        <v>1120</v>
      </c>
      <c r="B37" s="2" t="str">
        <f>VLOOKUP(T_Voluntarios[[#This Row],[RUN]],BBDD[],3,FALSE)</f>
        <v>maturana.emilia21@gmail.com</v>
      </c>
      <c r="C37" s="2" t="str">
        <f>VLOOKUP(T_Voluntarios[[#This Row],[RUN]],BBDD[],4,FALSE)</f>
        <v>Emilia Belén Maturana Valverde</v>
      </c>
      <c r="D37" s="16">
        <f>VLOOKUP(T_Voluntarios[[#This Row],[RUN]],BBDD[],5,FALSE)</f>
        <v>37701</v>
      </c>
      <c r="E37" s="2" t="str">
        <f>VLOOKUP(T_Voluntarios[[#This Row],[RUN]],BBDD[],6,FALSE)</f>
        <v>Prat 555, casa 25</v>
      </c>
      <c r="F37" s="2" t="str">
        <f>VLOOKUP(T_Voluntarios[[#This Row],[RUN]],BBDD[],7,FALSE)</f>
        <v>Chiguayante</v>
      </c>
      <c r="G37" s="2" t="str">
        <f>VLOOKUP(T_Voluntarios[[#This Row],[RUN]],BBDD[],8,FALSE)</f>
        <v>Celular</v>
      </c>
      <c r="H37" s="2" t="str">
        <f>IF(VLOOKUP(T_Voluntarios[[#This Row],[RUN]],BBDD[],9,FALSE)=0,"Falta",VLOOKUP(T_Voluntarios[[#This Row],[RUN]],BBDD[],9,FALSE))</f>
        <v>+56978779116</v>
      </c>
      <c r="I37" s="2" t="str">
        <f>VLOOKUP(T_Voluntarios[[#This Row],[RUN]],BBDD[],10,FALSE)</f>
        <v>Participante</v>
      </c>
      <c r="J37" s="2" t="str">
        <f>VLOOKUP(T_Voluntarios[[#This Row],[RUN]],BBDD[],11,FALSE)</f>
        <v>Sagrados Corazones</v>
      </c>
      <c r="K37" s="2" t="str">
        <f>VLOOKUP(T_Voluntarios[[#This Row],[RUN]],BBDD[],12,FALSE)</f>
        <v>Guias</v>
      </c>
      <c r="L37" s="2" t="str">
        <f>VLOOKUP(T_Voluntarios[[#This Row],[RUN]],BBDD[],15,FALSE)</f>
        <v>Concepción</v>
      </c>
      <c r="M37" s="2" t="str">
        <f>VLOOKUP(T_Voluntarios[[#This Row],[RUN]],BBDD[],20,FALSE)</f>
        <v>Alimentación Vegetariana</v>
      </c>
      <c r="N37" s="2" t="str">
        <f>VLOOKUP(T_Voluntarios[[#This Row],[RUN]],BBDD[],21,FALSE)</f>
        <v>Ninguna</v>
      </c>
      <c r="O37" s="2" t="str">
        <f>VLOOKUP(T_Voluntarios[[#This Row],[RUN]],BBDD[],22,FALSE)</f>
        <v>Ninguna</v>
      </c>
      <c r="P37" s="2" t="str">
        <f>VLOOKUP(T_Voluntarios[[#This Row],[RUN]],BBDD[],23,FALSE)</f>
        <v>Mariela Valverde 998798969</v>
      </c>
      <c r="Q37" s="2" t="str">
        <f>IF(VLOOKUP(T_Voluntarios[[#This Row],[RUN]],BBDD[],27,FALSE)=0,"",VLOOKUP(T_Voluntarios[[#This Row],[RUN]],BBDD[],27,FALSE))</f>
        <v/>
      </c>
      <c r="R37" s="2" t="str">
        <f>VLOOKUP(T_Voluntarios[[#This Row],[RUN]],BBDD[],36,FALSE)</f>
        <v>https://drive.google.com/open?id=1VzQHHu5pw-hU2HxpklrEcfs-_s8ITDH2</v>
      </c>
      <c r="S37" s="2" t="str">
        <f>VLOOKUP(T_Voluntarios[[#This Row],[RUN]],BBDD[],16,FALSE)</f>
        <v>Inicial</v>
      </c>
      <c r="T37" s="2" t="str">
        <f>VLOOKUP(T_Voluntarios[[#This Row],[RUN]],BBDD[],17,FALSE)</f>
        <v>Ninguno</v>
      </c>
      <c r="U37" s="2" t="str">
        <f>VLOOKUP(T_Voluntarios[[#This Row],[RUN]],BBDD[],18,FALSE)</f>
        <v>Ninguno</v>
      </c>
      <c r="V37" s="2" t="str">
        <f>VLOOKUP(T_Voluntarios[[#This Row],[RUN]],BBDD[],19,FALSE)</f>
        <v>Ninguno</v>
      </c>
      <c r="W37" s="13" t="str">
        <f>IF(OR(T_Voluntarios[[#This Row],[ROL]]="Formador(a)"),"SI","NO")</f>
        <v>NO</v>
      </c>
      <c r="X37" s="13" t="str">
        <f>IF(ISERROR(VLOOKUP(T_Voluntarios[[#This Row],[RUN]],BBDD_Formadores[],15,FALSE)),"NO",VLOOKUP(T_Voluntarios[[#This Row],[RUN]],BBDD_Formadores[],15,FALSE))</f>
        <v>NO</v>
      </c>
      <c r="Y37" s="13" t="str">
        <f>IF(ISERROR(VLOOKUP(T_Voluntarios[[#This Row],[RUN]],BBDD_Formadores[],16,FALSE)),"NO",VLOOKUP(T_Voluntarios[[#This Row],[RUN]],BBDD_Formadores[],16,FALSE))</f>
        <v>NO</v>
      </c>
      <c r="Z37" s="13" t="str">
        <f>IF(ISERROR(VLOOKUP(T_Voluntarios[[#This Row],[RUN]],BBDD_Formadores[],17,FALSE)),"NO",VLOOKUP(T_Voluntarios[[#This Row],[RUN]],BBDD_Formadores[],17,FALSE))</f>
        <v>NO</v>
      </c>
      <c r="AA37" s="13" t="str">
        <f>IF(ISERROR(VLOOKUP(T_Voluntarios[[#This Row],[RUN]],BBDD_Formadores[],18,FALSE)),"NO",VLOOKUP(T_Voluntarios[[#This Row],[RUN]],BBDD_Formadores[],18,FALSE))</f>
        <v>NO</v>
      </c>
      <c r="AB37" s="13">
        <v>1</v>
      </c>
      <c r="AC37" s="13" t="s">
        <v>1</v>
      </c>
      <c r="AD37" s="13" t="s">
        <v>77</v>
      </c>
      <c r="AF37" s="2" t="str">
        <f>IF(VLOOKUP(T_Voluntarios[[#This Row],[RUN]],BBDD[],25,FALSE)=0,"",VLOOKUP(T_Voluntarios[[#This Row],[RUN]],BBDD[],25,FALSE))</f>
        <v>Subaru</v>
      </c>
      <c r="AG37" s="2" t="str">
        <f>IF(VLOOKUP(T_Voluntarios[[#This Row],[RUN]],BBDD[],26,FALSE)=0,"",VLOOKUP(T_Voluntarios[[#This Row],[RUN]],BBDD[],26,FALSE))</f>
        <v>XV</v>
      </c>
      <c r="AH37" s="2" t="str">
        <f>IF(VLOOKUP(T_Voluntarios[[#This Row],[RUN]],BBDD[],24,FALSE)=0,"",VLOOKUP(T_Voluntarios[[#This Row],[RUN]],BBDD[],24,FALSE))</f>
        <v>PCJK33</v>
      </c>
      <c r="AI37" s="13" t="str">
        <f>VLOOKUP(T_Voluntarios[[#This Row],[RUN]],BBDD[],28,FALSE)</f>
        <v>No</v>
      </c>
      <c r="AJ37" s="13" t="str">
        <f>VLOOKUP(T_Voluntarios[[#This Row],[RUN]],BBDD[],28,FALSE)</f>
        <v>No</v>
      </c>
      <c r="AK37" s="32">
        <f>IF(T_Voluntarios[[#This Row],[ROL]]="Participante",SUMIFS(T_Cuotas[[#All],[Total]],T_Cuotas[[#All],[RUN]],T_Voluntarios[[#This Row],[RUN]]),-1)</f>
        <v>50000</v>
      </c>
      <c r="AL37" s="13" t="s">
        <v>1</v>
      </c>
      <c r="AM37" s="13" t="s">
        <v>2029</v>
      </c>
      <c r="AP37" s="2" t="str">
        <f>MID(T_Voluntarios[[#This Row],[E_MAIL]],SEARCH("@",T_Voluntarios[[#This Row],[E_MAIL]],1),LEN(T_Voluntarios[[#This Row],[E_MAIL]]))</f>
        <v>@gmail.com</v>
      </c>
      <c r="AQ37" s="13" t="str">
        <f>VLOOKUP(T_Voluntarios[[#This Row],[RUN]],BBDD[],37,FALSE)</f>
        <v>22</v>
      </c>
      <c r="AR37" s="2" t="str">
        <f>VLOOKUP(T_Voluntarios[[#This Row],[RUN]],BBDD[],29,FALSE)</f>
        <v>Estudiante</v>
      </c>
      <c r="AS37" s="2" t="str">
        <f>VLOOKUP(T_Voluntarios[[#This Row],[RUN]],BBDD[],30,FALSE)</f>
        <v>5 años</v>
      </c>
      <c r="AT37" s="2" t="str">
        <f>VLOOKUP(T_Voluntarios[[#This Row],[RUN]],BBDD[],31,FALSE)</f>
        <v>2 años</v>
      </c>
      <c r="AU37" s="2" t="str">
        <f>VLOOKUP(T_Voluntarios[[#This Row],[RUN]],BBDD[],32,FALSE)</f>
        <v>Soltero(a)</v>
      </c>
      <c r="AV37" s="2" t="str">
        <f>VLOOKUP(T_Voluntarios[[#This Row],[RUN]],BBDD[],33,FALSE)</f>
        <v>Ninguna</v>
      </c>
      <c r="AW37" s="2" t="str">
        <f>VLOOKUP(T_Voluntarios[[#This Row],[RUN]],BBDD[],34,FALSE)</f>
        <v>Emi</v>
      </c>
      <c r="AX37" s="13" t="s">
        <v>733</v>
      </c>
      <c r="AY37" s="76">
        <f>VLOOKUP(T_Voluntarios[[#This Row],[RUN]],BBDD[],2,FALSE)</f>
        <v>45781.676980131175</v>
      </c>
      <c r="AZ37" s="13" t="s">
        <v>3403</v>
      </c>
    </row>
    <row r="38" spans="1:52" ht="14.4" x14ac:dyDescent="0.3">
      <c r="A38" t="s">
        <v>1132</v>
      </c>
      <c r="B38" s="2" t="str">
        <f>VLOOKUP(T_Voluntarios[[#This Row],[RUN]],BBDD[],3,FALSE)</f>
        <v>sofiaisabelmc@gmail.com</v>
      </c>
      <c r="C38" s="2" t="str">
        <f>VLOOKUP(T_Voluntarios[[#This Row],[RUN]],BBDD[],4,FALSE)</f>
        <v>Sofía Isabel Martínez Clavería</v>
      </c>
      <c r="D38" s="16">
        <f>VLOOKUP(T_Voluntarios[[#This Row],[RUN]],BBDD[],5,FALSE)</f>
        <v>36199</v>
      </c>
      <c r="E38" s="2" t="str">
        <f>VLOOKUP(T_Voluntarios[[#This Row],[RUN]],BBDD[],6,FALSE)</f>
        <v>Los naranjos 112</v>
      </c>
      <c r="F38" s="2" t="str">
        <f>VLOOKUP(T_Voluntarios[[#This Row],[RUN]],BBDD[],7,FALSE)</f>
        <v>Penco</v>
      </c>
      <c r="G38" s="2" t="str">
        <f>VLOOKUP(T_Voluntarios[[#This Row],[RUN]],BBDD[],8,FALSE)</f>
        <v>Celular</v>
      </c>
      <c r="H38" s="2" t="str">
        <f>IF(VLOOKUP(T_Voluntarios[[#This Row],[RUN]],BBDD[],9,FALSE)=0,"Falta",VLOOKUP(T_Voluntarios[[#This Row],[RUN]],BBDD[],9,FALSE))</f>
        <v>+56999225725</v>
      </c>
      <c r="I38" s="2" t="str">
        <f>VLOOKUP(T_Voluntarios[[#This Row],[RUN]],BBDD[],10,FALSE)</f>
        <v>Participante</v>
      </c>
      <c r="J38" s="2" t="str">
        <f>VLOOKUP(T_Voluntarios[[#This Row],[RUN]],BBDD[],11,FALSE)</f>
        <v>Rucapeñihue</v>
      </c>
      <c r="K38" s="2" t="str">
        <f>VLOOKUP(T_Voluntarios[[#This Row],[RUN]],BBDD[],12,FALSE)</f>
        <v>Pioneros</v>
      </c>
      <c r="L38" s="2" t="str">
        <f>VLOOKUP(T_Voluntarios[[#This Row],[RUN]],BBDD[],15,FALSE)</f>
        <v>Concepción</v>
      </c>
      <c r="M38" s="2" t="str">
        <f>VLOOKUP(T_Voluntarios[[#This Row],[RUN]],BBDD[],20,FALSE)</f>
        <v>Sin Almuerzo</v>
      </c>
      <c r="N38" s="2" t="str">
        <f>VLOOKUP(T_Voluntarios[[#This Row],[RUN]],BBDD[],21,FALSE)</f>
        <v>Ninguna</v>
      </c>
      <c r="O38" s="2" t="str">
        <f>VLOOKUP(T_Voluntarios[[#This Row],[RUN]],BBDD[],22,FALSE)</f>
        <v>Ninguna</v>
      </c>
      <c r="P38" s="2" t="str">
        <f>VLOOKUP(T_Voluntarios[[#This Row],[RUN]],BBDD[],23,FALSE)</f>
        <v>Sergio Martínez 994994234</v>
      </c>
      <c r="Q38" s="2" t="str">
        <f>IF(VLOOKUP(T_Voluntarios[[#This Row],[RUN]],BBDD[],27,FALSE)=0,"",VLOOKUP(T_Voluntarios[[#This Row],[RUN]],BBDD[],27,FALSE))</f>
        <v/>
      </c>
      <c r="R38" s="2" t="str">
        <f>VLOOKUP(T_Voluntarios[[#This Row],[RUN]],BBDD[],36,FALSE)</f>
        <v>https://drive.google.com/open?id=1L37tEdGSEETwkiTKF5IePjYpBAXJL_F6</v>
      </c>
      <c r="S38" s="2" t="str">
        <f>VLOOKUP(T_Voluntarios[[#This Row],[RUN]],BBDD[],16,FALSE)</f>
        <v>Inicial</v>
      </c>
      <c r="T38" s="2" t="str">
        <f>VLOOKUP(T_Voluntarios[[#This Row],[RUN]],BBDD[],17,FALSE)</f>
        <v>Ninguno</v>
      </c>
      <c r="U38" s="2" t="str">
        <f>VLOOKUP(T_Voluntarios[[#This Row],[RUN]],BBDD[],18,FALSE)</f>
        <v>Ninguno</v>
      </c>
      <c r="V38" s="2" t="str">
        <f>VLOOKUP(T_Voluntarios[[#This Row],[RUN]],BBDD[],19,FALSE)</f>
        <v>Ninguno</v>
      </c>
      <c r="W38" s="13" t="str">
        <f>IF(OR(T_Voluntarios[[#This Row],[ROL]]="Formador(a)"),"SI","NO")</f>
        <v>NO</v>
      </c>
      <c r="X38" s="13" t="str">
        <f>IF(ISERROR(VLOOKUP(T_Voluntarios[[#This Row],[RUN]],BBDD_Formadores[],15,FALSE)),"NO",VLOOKUP(T_Voluntarios[[#This Row],[RUN]],BBDD_Formadores[],15,FALSE))</f>
        <v>NO</v>
      </c>
      <c r="Y38" s="13" t="str">
        <f>IF(ISERROR(VLOOKUP(T_Voluntarios[[#This Row],[RUN]],BBDD_Formadores[],16,FALSE)),"NO",VLOOKUP(T_Voluntarios[[#This Row],[RUN]],BBDD_Formadores[],16,FALSE))</f>
        <v>NO</v>
      </c>
      <c r="Z38" s="13" t="str">
        <f>IF(ISERROR(VLOOKUP(T_Voluntarios[[#This Row],[RUN]],BBDD_Formadores[],17,FALSE)),"NO",VLOOKUP(T_Voluntarios[[#This Row],[RUN]],BBDD_Formadores[],17,FALSE))</f>
        <v>NO</v>
      </c>
      <c r="AA38" s="13" t="str">
        <f>IF(ISERROR(VLOOKUP(T_Voluntarios[[#This Row],[RUN]],BBDD_Formadores[],18,FALSE)),"NO",VLOOKUP(T_Voluntarios[[#This Row],[RUN]],BBDD_Formadores[],18,FALSE))</f>
        <v>NO</v>
      </c>
      <c r="AB38" s="13">
        <v>1</v>
      </c>
      <c r="AC38" s="13" t="s">
        <v>1</v>
      </c>
      <c r="AD38" s="13" t="s">
        <v>77</v>
      </c>
      <c r="AF38" s="2" t="str">
        <f>IF(VLOOKUP(T_Voluntarios[[#This Row],[RUN]],BBDD[],25,FALSE)=0,"",VLOOKUP(T_Voluntarios[[#This Row],[RUN]],BBDD[],25,FALSE))</f>
        <v/>
      </c>
      <c r="AG38" s="2" t="str">
        <f>IF(VLOOKUP(T_Voluntarios[[#This Row],[RUN]],BBDD[],26,FALSE)=0,"",VLOOKUP(T_Voluntarios[[#This Row],[RUN]],BBDD[],26,FALSE))</f>
        <v/>
      </c>
      <c r="AH38" s="2" t="str">
        <f>IF(VLOOKUP(T_Voluntarios[[#This Row],[RUN]],BBDD[],24,FALSE)=0,"",VLOOKUP(T_Voluntarios[[#This Row],[RUN]],BBDD[],24,FALSE))</f>
        <v/>
      </c>
      <c r="AI38" s="13" t="str">
        <f>VLOOKUP(T_Voluntarios[[#This Row],[RUN]],BBDD[],28,FALSE)</f>
        <v>No</v>
      </c>
      <c r="AJ38" s="13" t="str">
        <f>VLOOKUP(T_Voluntarios[[#This Row],[RUN]],BBDD[],28,FALSE)</f>
        <v>No</v>
      </c>
      <c r="AK38" s="32">
        <f>IF(T_Voluntarios[[#This Row],[ROL]]="Participante",SUMIFS(T_Cuotas[[#All],[Total]],T_Cuotas[[#All],[RUN]],T_Voluntarios[[#This Row],[RUN]]),-1)</f>
        <v>36500</v>
      </c>
      <c r="AL38" s="13" t="s">
        <v>1</v>
      </c>
      <c r="AM38" s="13" t="s">
        <v>2029</v>
      </c>
      <c r="AP38" s="2" t="str">
        <f>MID(T_Voluntarios[[#This Row],[E_MAIL]],SEARCH("@",T_Voluntarios[[#This Row],[E_MAIL]],1),LEN(T_Voluntarios[[#This Row],[E_MAIL]]))</f>
        <v>@gmail.com</v>
      </c>
      <c r="AQ38" s="13" t="str">
        <f>VLOOKUP(T_Voluntarios[[#This Row],[RUN]],BBDD[],37,FALSE)</f>
        <v>26</v>
      </c>
      <c r="AR38" s="2" t="str">
        <f>VLOOKUP(T_Voluntarios[[#This Row],[RUN]],BBDD[],29,FALSE)</f>
        <v>Enfermera</v>
      </c>
      <c r="AS38" s="2" t="str">
        <f>VLOOKUP(T_Voluntarios[[#This Row],[RUN]],BBDD[],30,FALSE)</f>
        <v>11 años</v>
      </c>
      <c r="AT38" s="2" t="str">
        <f>VLOOKUP(T_Voluntarios[[#This Row],[RUN]],BBDD[],31,FALSE)</f>
        <v>2 años y medio</v>
      </c>
      <c r="AU38" s="2" t="str">
        <f>VLOOKUP(T_Voluntarios[[#This Row],[RUN]],BBDD[],32,FALSE)</f>
        <v>Soltero(a)</v>
      </c>
      <c r="AV38" s="2" t="str">
        <f>VLOOKUP(T_Voluntarios[[#This Row],[RUN]],BBDD[],33,FALSE)</f>
        <v>Ninguna</v>
      </c>
      <c r="AW38" s="2" t="str">
        <f>VLOOKUP(T_Voluntarios[[#This Row],[RUN]],BBDD[],34,FALSE)</f>
        <v>Sofi M</v>
      </c>
      <c r="AX38" s="13" t="s">
        <v>733</v>
      </c>
      <c r="AY38" s="76">
        <f>VLOOKUP(T_Voluntarios[[#This Row],[RUN]],BBDD[],2,FALSE)</f>
        <v>45781.768253858027</v>
      </c>
      <c r="AZ38" s="13" t="s">
        <v>3403</v>
      </c>
    </row>
    <row r="39" spans="1:52" ht="14.4" x14ac:dyDescent="0.3">
      <c r="A39" t="s">
        <v>1141</v>
      </c>
      <c r="B39" s="2" t="str">
        <f>VLOOKUP(T_Voluntarios[[#This Row],[RUN]],BBDD[],3,FALSE)</f>
        <v>antomm002@gmail.com</v>
      </c>
      <c r="C39" s="2" t="str">
        <f>VLOOKUP(T_Voluntarios[[#This Row],[RUN]],BBDD[],4,FALSE)</f>
        <v>Antonia Isabel Venegas Larrere</v>
      </c>
      <c r="D39" s="16">
        <f>VLOOKUP(T_Voluntarios[[#This Row],[RUN]],BBDD[],5,FALSE)</f>
        <v>37501</v>
      </c>
      <c r="E39" s="2" t="str">
        <f>VLOOKUP(T_Voluntarios[[#This Row],[RUN]],BBDD[],6,FALSE)</f>
        <v>Cuarta Longitudinal 563</v>
      </c>
      <c r="F39" s="2" t="str">
        <f>VLOOKUP(T_Voluntarios[[#This Row],[RUN]],BBDD[],7,FALSE)</f>
        <v>Concepción</v>
      </c>
      <c r="G39" s="2" t="str">
        <f>VLOOKUP(T_Voluntarios[[#This Row],[RUN]],BBDD[],8,FALSE)</f>
        <v>Celular</v>
      </c>
      <c r="H39" s="2" t="str">
        <f>IF(VLOOKUP(T_Voluntarios[[#This Row],[RUN]],BBDD[],9,FALSE)=0,"Falta",VLOOKUP(T_Voluntarios[[#This Row],[RUN]],BBDD[],9,FALSE))</f>
        <v>+56942538502</v>
      </c>
      <c r="I39" s="2" t="str">
        <f>VLOOKUP(T_Voluntarios[[#This Row],[RUN]],BBDD[],10,FALSE)</f>
        <v>Participante</v>
      </c>
      <c r="J39" s="2" t="str">
        <f>VLOOKUP(T_Voluntarios[[#This Row],[RUN]],BBDD[],11,FALSE)</f>
        <v>Sagrados Corazones</v>
      </c>
      <c r="K39" s="2" t="str">
        <f>VLOOKUP(T_Voluntarios[[#This Row],[RUN]],BBDD[],12,FALSE)</f>
        <v>Guias</v>
      </c>
      <c r="L39" s="2" t="str">
        <f>VLOOKUP(T_Voluntarios[[#This Row],[RUN]],BBDD[],15,FALSE)</f>
        <v>Concepción</v>
      </c>
      <c r="M39" s="2" t="str">
        <f>VLOOKUP(T_Voluntarios[[#This Row],[RUN]],BBDD[],20,FALSE)</f>
        <v>Alimentación Tradicional</v>
      </c>
      <c r="N39" s="2" t="str">
        <f>VLOOKUP(T_Voluntarios[[#This Row],[RUN]],BBDD[],21,FALSE)</f>
        <v>Ninguna</v>
      </c>
      <c r="O39" s="2" t="str">
        <f>VLOOKUP(T_Voluntarios[[#This Row],[RUN]],BBDD[],22,FALSE)</f>
        <v>Ninguna</v>
      </c>
      <c r="P39" s="2" t="str">
        <f>VLOOKUP(T_Voluntarios[[#This Row],[RUN]],BBDD[],23,FALSE)</f>
        <v>Tatiana Larrere +56987593355</v>
      </c>
      <c r="Q39" s="2" t="str">
        <f>IF(VLOOKUP(T_Voluntarios[[#This Row],[RUN]],BBDD[],27,FALSE)=0,"",VLOOKUP(T_Voluntarios[[#This Row],[RUN]],BBDD[],27,FALSE))</f>
        <v/>
      </c>
      <c r="R39" s="2" t="str">
        <f>VLOOKUP(T_Voluntarios[[#This Row],[RUN]],BBDD[],36,FALSE)</f>
        <v>https://drive.google.com/open?id=1mUCdGuVkKlPq-AoM9hAxYmRoslyUpAnf</v>
      </c>
      <c r="S39" s="2" t="str">
        <f>VLOOKUP(T_Voluntarios[[#This Row],[RUN]],BBDD[],16,FALSE)</f>
        <v>Inicial</v>
      </c>
      <c r="T39" s="2" t="str">
        <f>VLOOKUP(T_Voluntarios[[#This Row],[RUN]],BBDD[],17,FALSE)</f>
        <v>Ninguno</v>
      </c>
      <c r="U39" s="2" t="str">
        <f>VLOOKUP(T_Voluntarios[[#This Row],[RUN]],BBDD[],18,FALSE)</f>
        <v>Ninguno</v>
      </c>
      <c r="V39" s="2" t="str">
        <f>VLOOKUP(T_Voluntarios[[#This Row],[RUN]],BBDD[],19,FALSE)</f>
        <v>Ninguno</v>
      </c>
      <c r="W39" s="13" t="str">
        <f>IF(OR(T_Voluntarios[[#This Row],[ROL]]="Formador(a)"),"SI","NO")</f>
        <v>NO</v>
      </c>
      <c r="X39" s="13" t="str">
        <f>IF(ISERROR(VLOOKUP(T_Voluntarios[[#This Row],[RUN]],BBDD_Formadores[],15,FALSE)),"NO",VLOOKUP(T_Voluntarios[[#This Row],[RUN]],BBDD_Formadores[],15,FALSE))</f>
        <v>NO</v>
      </c>
      <c r="Y39" s="13" t="str">
        <f>IF(ISERROR(VLOOKUP(T_Voluntarios[[#This Row],[RUN]],BBDD_Formadores[],16,FALSE)),"NO",VLOOKUP(T_Voluntarios[[#This Row],[RUN]],BBDD_Formadores[],16,FALSE))</f>
        <v>NO</v>
      </c>
      <c r="Z39" s="13" t="str">
        <f>IF(ISERROR(VLOOKUP(T_Voluntarios[[#This Row],[RUN]],BBDD_Formadores[],17,FALSE)),"NO",VLOOKUP(T_Voluntarios[[#This Row],[RUN]],BBDD_Formadores[],17,FALSE))</f>
        <v>NO</v>
      </c>
      <c r="AA39" s="13" t="str">
        <f>IF(ISERROR(VLOOKUP(T_Voluntarios[[#This Row],[RUN]],BBDD_Formadores[],18,FALSE)),"NO",VLOOKUP(T_Voluntarios[[#This Row],[RUN]],BBDD_Formadores[],18,FALSE))</f>
        <v>NO</v>
      </c>
      <c r="AB39" s="13">
        <v>1</v>
      </c>
      <c r="AC39" s="13" t="s">
        <v>1</v>
      </c>
      <c r="AD39" s="13" t="s">
        <v>77</v>
      </c>
      <c r="AF39" s="2" t="str">
        <f>IF(VLOOKUP(T_Voluntarios[[#This Row],[RUN]],BBDD[],25,FALSE)=0,"",VLOOKUP(T_Voluntarios[[#This Row],[RUN]],BBDD[],25,FALSE))</f>
        <v/>
      </c>
      <c r="AG39" s="2" t="str">
        <f>IF(VLOOKUP(T_Voluntarios[[#This Row],[RUN]],BBDD[],26,FALSE)=0,"",VLOOKUP(T_Voluntarios[[#This Row],[RUN]],BBDD[],26,FALSE))</f>
        <v/>
      </c>
      <c r="AH39" s="2" t="str">
        <f>IF(VLOOKUP(T_Voluntarios[[#This Row],[RUN]],BBDD[],24,FALSE)=0,"",VLOOKUP(T_Voluntarios[[#This Row],[RUN]],BBDD[],24,FALSE))</f>
        <v/>
      </c>
      <c r="AI39" s="13" t="str">
        <f>VLOOKUP(T_Voluntarios[[#This Row],[RUN]],BBDD[],28,FALSE)</f>
        <v>No</v>
      </c>
      <c r="AJ39" s="13" t="str">
        <f>VLOOKUP(T_Voluntarios[[#This Row],[RUN]],BBDD[],28,FALSE)</f>
        <v>No</v>
      </c>
      <c r="AK39" s="32">
        <f>IF(T_Voluntarios[[#This Row],[ROL]]="Participante",SUMIFS(T_Cuotas[[#All],[Total]],T_Cuotas[[#All],[RUN]],T_Voluntarios[[#This Row],[RUN]]),-1)</f>
        <v>50000</v>
      </c>
      <c r="AL39" s="13" t="s">
        <v>1</v>
      </c>
      <c r="AM39" s="13" t="s">
        <v>2029</v>
      </c>
      <c r="AP39" s="2" t="str">
        <f>MID(T_Voluntarios[[#This Row],[E_MAIL]],SEARCH("@",T_Voluntarios[[#This Row],[E_MAIL]],1),LEN(T_Voluntarios[[#This Row],[E_MAIL]]))</f>
        <v>@gmail.com</v>
      </c>
      <c r="AQ39" s="13" t="str">
        <f>VLOOKUP(T_Voluntarios[[#This Row],[RUN]],BBDD[],37,FALSE)</f>
        <v>22</v>
      </c>
      <c r="AR39" s="2" t="str">
        <f>VLOOKUP(T_Voluntarios[[#This Row],[RUN]],BBDD[],29,FALSE)</f>
        <v>Estudiante de Trabajo Social</v>
      </c>
      <c r="AS39" s="2" t="str">
        <f>VLOOKUP(T_Voluntarios[[#This Row],[RUN]],BBDD[],30,FALSE)</f>
        <v>13 años</v>
      </c>
      <c r="AT39" s="2" t="str">
        <f>VLOOKUP(T_Voluntarios[[#This Row],[RUN]],BBDD[],31,FALSE)</f>
        <v>2 años</v>
      </c>
      <c r="AU39" s="2" t="str">
        <f>VLOOKUP(T_Voluntarios[[#This Row],[RUN]],BBDD[],32,FALSE)</f>
        <v>Soltero(a)</v>
      </c>
      <c r="AV39" s="2" t="str">
        <f>VLOOKUP(T_Voluntarios[[#This Row],[RUN]],BBDD[],33,FALSE)</f>
        <v>Católica</v>
      </c>
      <c r="AW39" s="2" t="str">
        <f>VLOOKUP(T_Voluntarios[[#This Row],[RUN]],BBDD[],34,FALSE)</f>
        <v>Anto</v>
      </c>
      <c r="AX39" s="13" t="s">
        <v>733</v>
      </c>
      <c r="AY39" s="76">
        <f>VLOOKUP(T_Voluntarios[[#This Row],[RUN]],BBDD[],2,FALSE)</f>
        <v>45781.772679552472</v>
      </c>
      <c r="AZ39" s="13" t="s">
        <v>3402</v>
      </c>
    </row>
    <row r="40" spans="1:52" ht="14.4" x14ac:dyDescent="0.3">
      <c r="A40" t="s">
        <v>1151</v>
      </c>
      <c r="B40" s="2" t="str">
        <f>VLOOKUP(T_Voluntarios[[#This Row],[RUN]],BBDD[],3,FALSE)</f>
        <v>c.silvamolina2@gmail.com</v>
      </c>
      <c r="C40" s="2" t="str">
        <f>VLOOKUP(T_Voluntarios[[#This Row],[RUN]],BBDD[],4,FALSE)</f>
        <v>Carolina Francisca Silva Molina</v>
      </c>
      <c r="D40" s="16">
        <f>VLOOKUP(T_Voluntarios[[#This Row],[RUN]],BBDD[],5,FALSE)</f>
        <v>37408</v>
      </c>
      <c r="E40" s="2" t="str">
        <f>VLOOKUP(T_Voluntarios[[#This Row],[RUN]],BBDD[],6,FALSE)</f>
        <v>Obispo dionisio cimbron #388, villa los cipreces, Camilo Henriquez</v>
      </c>
      <c r="F40" s="2" t="str">
        <f>VLOOKUP(T_Voluntarios[[#This Row],[RUN]],BBDD[],7,FALSE)</f>
        <v>Concepción</v>
      </c>
      <c r="G40" s="2" t="str">
        <f>VLOOKUP(T_Voluntarios[[#This Row],[RUN]],BBDD[],8,FALSE)</f>
        <v>Celular</v>
      </c>
      <c r="H40" s="2" t="str">
        <f>IF(VLOOKUP(T_Voluntarios[[#This Row],[RUN]],BBDD[],9,FALSE)=0,"Falta",VLOOKUP(T_Voluntarios[[#This Row],[RUN]],BBDD[],9,FALSE))</f>
        <v>+56966604575</v>
      </c>
      <c r="I40" s="2" t="str">
        <f>VLOOKUP(T_Voluntarios[[#This Row],[RUN]],BBDD[],10,FALSE)</f>
        <v>Participante</v>
      </c>
      <c r="J40" s="2" t="str">
        <f>VLOOKUP(T_Voluntarios[[#This Row],[RUN]],BBDD[],11,FALSE)</f>
        <v>Rucapeñihue</v>
      </c>
      <c r="K40" s="2" t="str">
        <f>VLOOKUP(T_Voluntarios[[#This Row],[RUN]],BBDD[],12,FALSE)</f>
        <v>Guias</v>
      </c>
      <c r="L40" s="2" t="str">
        <f>VLOOKUP(T_Voluntarios[[#This Row],[RUN]],BBDD[],15,FALSE)</f>
        <v>Concepción</v>
      </c>
      <c r="M40" s="2" t="str">
        <f>VLOOKUP(T_Voluntarios[[#This Row],[RUN]],BBDD[],20,FALSE)</f>
        <v>Sin Almuerzo</v>
      </c>
      <c r="N40" s="2" t="str">
        <f>VLOOKUP(T_Voluntarios[[#This Row],[RUN]],BBDD[],21,FALSE)</f>
        <v>Intolerancia a la lactosa, alergia al cerdo, alergia leche en polvo</v>
      </c>
      <c r="O40" s="2" t="str">
        <f>VLOOKUP(T_Voluntarios[[#This Row],[RUN]],BBDD[],22,FALSE)</f>
        <v>Subluxación patelofemoral ambas rodillas</v>
      </c>
      <c r="P40" s="2" t="str">
        <f>VLOOKUP(T_Voluntarios[[#This Row],[RUN]],BBDD[],23,FALSE)</f>
        <v>Mónica Molina Ulloa/ 986669970</v>
      </c>
      <c r="Q40" s="2" t="str">
        <f>IF(VLOOKUP(T_Voluntarios[[#This Row],[RUN]],BBDD[],27,FALSE)=0,"",VLOOKUP(T_Voluntarios[[#This Row],[RUN]],BBDD[],27,FALSE))</f>
        <v/>
      </c>
      <c r="R40" s="2" t="str">
        <f>VLOOKUP(T_Voluntarios[[#This Row],[RUN]],BBDD[],36,FALSE)</f>
        <v>https://drive.google.com/open?id=1V-TjdGOCxTDcKZwQuHe41pl2SiuaTQ7L</v>
      </c>
      <c r="S40" s="2" t="str">
        <f>VLOOKUP(T_Voluntarios[[#This Row],[RUN]],BBDD[],16,FALSE)</f>
        <v>Inicial</v>
      </c>
      <c r="T40" s="2" t="str">
        <f>VLOOKUP(T_Voluntarios[[#This Row],[RUN]],BBDD[],17,FALSE)</f>
        <v>Ninguno</v>
      </c>
      <c r="U40" s="2" t="str">
        <f>VLOOKUP(T_Voluntarios[[#This Row],[RUN]],BBDD[],18,FALSE)</f>
        <v>Ninguno</v>
      </c>
      <c r="V40" s="2" t="str">
        <f>VLOOKUP(T_Voluntarios[[#This Row],[RUN]],BBDD[],19,FALSE)</f>
        <v>Ninguno</v>
      </c>
      <c r="W40" s="13" t="str">
        <f>IF(OR(T_Voluntarios[[#This Row],[ROL]]="Formador(a)"),"SI","NO")</f>
        <v>NO</v>
      </c>
      <c r="X40" s="13" t="str">
        <f>IF(ISERROR(VLOOKUP(T_Voluntarios[[#This Row],[RUN]],BBDD_Formadores[],15,FALSE)),"NO",VLOOKUP(T_Voluntarios[[#This Row],[RUN]],BBDD_Formadores[],15,FALSE))</f>
        <v>NO</v>
      </c>
      <c r="Y40" s="13" t="str">
        <f>IF(ISERROR(VLOOKUP(T_Voluntarios[[#This Row],[RUN]],BBDD_Formadores[],16,FALSE)),"NO",VLOOKUP(T_Voluntarios[[#This Row],[RUN]],BBDD_Formadores[],16,FALSE))</f>
        <v>NO</v>
      </c>
      <c r="Z40" s="13" t="str">
        <f>IF(ISERROR(VLOOKUP(T_Voluntarios[[#This Row],[RUN]],BBDD_Formadores[],17,FALSE)),"NO",VLOOKUP(T_Voluntarios[[#This Row],[RUN]],BBDD_Formadores[],17,FALSE))</f>
        <v>NO</v>
      </c>
      <c r="AA40" s="13" t="str">
        <f>IF(ISERROR(VLOOKUP(T_Voluntarios[[#This Row],[RUN]],BBDD_Formadores[],18,FALSE)),"NO",VLOOKUP(T_Voluntarios[[#This Row],[RUN]],BBDD_Formadores[],18,FALSE))</f>
        <v>NO</v>
      </c>
      <c r="AB40" s="13">
        <v>1</v>
      </c>
      <c r="AC40" s="13" t="s">
        <v>1</v>
      </c>
      <c r="AD40" s="13" t="s">
        <v>77</v>
      </c>
      <c r="AF40" s="2" t="str">
        <f>IF(VLOOKUP(T_Voluntarios[[#This Row],[RUN]],BBDD[],25,FALSE)=0,"",VLOOKUP(T_Voluntarios[[#This Row],[RUN]],BBDD[],25,FALSE))</f>
        <v/>
      </c>
      <c r="AG40" s="2" t="str">
        <f>IF(VLOOKUP(T_Voluntarios[[#This Row],[RUN]],BBDD[],26,FALSE)=0,"",VLOOKUP(T_Voluntarios[[#This Row],[RUN]],BBDD[],26,FALSE))</f>
        <v/>
      </c>
      <c r="AH40" s="2" t="str">
        <f>IF(VLOOKUP(T_Voluntarios[[#This Row],[RUN]],BBDD[],24,FALSE)=0,"",VLOOKUP(T_Voluntarios[[#This Row],[RUN]],BBDD[],24,FALSE))</f>
        <v/>
      </c>
      <c r="AI40" s="13" t="str">
        <f>VLOOKUP(T_Voluntarios[[#This Row],[RUN]],BBDD[],28,FALSE)</f>
        <v>No</v>
      </c>
      <c r="AJ40" s="13" t="str">
        <f>VLOOKUP(T_Voluntarios[[#This Row],[RUN]],BBDD[],28,FALSE)</f>
        <v>No</v>
      </c>
      <c r="AK40" s="32">
        <f>IF(T_Voluntarios[[#This Row],[ROL]]="Participante",SUMIFS(T_Cuotas[[#All],[Total]],T_Cuotas[[#All],[RUN]],T_Voluntarios[[#This Row],[RUN]]),-1)</f>
        <v>36500</v>
      </c>
      <c r="AL40" s="13" t="s">
        <v>1</v>
      </c>
      <c r="AM40" s="13" t="s">
        <v>2029</v>
      </c>
      <c r="AP40" s="2" t="str">
        <f>MID(T_Voluntarios[[#This Row],[E_MAIL]],SEARCH("@",T_Voluntarios[[#This Row],[E_MAIL]],1),LEN(T_Voluntarios[[#This Row],[E_MAIL]]))</f>
        <v>@gmail.com</v>
      </c>
      <c r="AQ40" s="13" t="str">
        <f>VLOOKUP(T_Voluntarios[[#This Row],[RUN]],BBDD[],37,FALSE)</f>
        <v>23</v>
      </c>
      <c r="AR40" s="2" t="str">
        <f>VLOOKUP(T_Voluntarios[[#This Row],[RUN]],BBDD[],29,FALSE)</f>
        <v>Estudiante</v>
      </c>
      <c r="AS40" s="2" t="str">
        <f>VLOOKUP(T_Voluntarios[[#This Row],[RUN]],BBDD[],30,FALSE)</f>
        <v>15 años</v>
      </c>
      <c r="AT40" s="2" t="str">
        <f>VLOOKUP(T_Voluntarios[[#This Row],[RUN]],BBDD[],31,FALSE)</f>
        <v>1 año y un semestre</v>
      </c>
      <c r="AU40" s="2" t="str">
        <f>VLOOKUP(T_Voluntarios[[#This Row],[RUN]],BBDD[],32,FALSE)</f>
        <v>Soltero(a)</v>
      </c>
      <c r="AV40" s="2" t="str">
        <f>VLOOKUP(T_Voluntarios[[#This Row],[RUN]],BBDD[],33,FALSE)</f>
        <v>Católica</v>
      </c>
      <c r="AW40" s="2" t="str">
        <f>VLOOKUP(T_Voluntarios[[#This Row],[RUN]],BBDD[],34,FALSE)</f>
        <v>Caro</v>
      </c>
      <c r="AX40" s="13" t="s">
        <v>733</v>
      </c>
      <c r="AY40" s="76">
        <f>VLOOKUP(T_Voluntarios[[#This Row],[RUN]],BBDD[],2,FALSE)</f>
        <v>45781.776185802468</v>
      </c>
      <c r="AZ40" s="13" t="s">
        <v>3403</v>
      </c>
    </row>
    <row r="41" spans="1:52" ht="14.4" x14ac:dyDescent="0.3">
      <c r="A41" t="s">
        <v>1163</v>
      </c>
      <c r="B41" s="2" t="str">
        <f>VLOOKUP(T_Voluntarios[[#This Row],[RUN]],BBDD[],3,FALSE)</f>
        <v>fbonfimm@gmail.com</v>
      </c>
      <c r="C41" s="2" t="str">
        <f>VLOOKUP(T_Voluntarios[[#This Row],[RUN]],BBDD[],4,FALSE)</f>
        <v>Fernanda Javiera Pérez Figueroa</v>
      </c>
      <c r="D41" s="16">
        <f>VLOOKUP(T_Voluntarios[[#This Row],[RUN]],BBDD[],5,FALSE)</f>
        <v>37492</v>
      </c>
      <c r="E41" s="2" t="str">
        <f>VLOOKUP(T_Voluntarios[[#This Row],[RUN]],BBDD[],6,FALSE)</f>
        <v>Carlos Varela 56</v>
      </c>
      <c r="F41" s="2" t="str">
        <f>VLOOKUP(T_Voluntarios[[#This Row],[RUN]],BBDD[],7,FALSE)</f>
        <v>Penco</v>
      </c>
      <c r="G41" s="2" t="str">
        <f>VLOOKUP(T_Voluntarios[[#This Row],[RUN]],BBDD[],8,FALSE)</f>
        <v>Celular</v>
      </c>
      <c r="H41" s="2" t="str">
        <f>IF(VLOOKUP(T_Voluntarios[[#This Row],[RUN]],BBDD[],9,FALSE)=0,"Falta",VLOOKUP(T_Voluntarios[[#This Row],[RUN]],BBDD[],9,FALSE))</f>
        <v>+56936336569</v>
      </c>
      <c r="I41" s="2" t="str">
        <f>VLOOKUP(T_Voluntarios[[#This Row],[RUN]],BBDD[],10,FALSE)</f>
        <v>Participante</v>
      </c>
      <c r="J41" s="2" t="str">
        <f>VLOOKUP(T_Voluntarios[[#This Row],[RUN]],BBDD[],11,FALSE)</f>
        <v>Rucapeñihue</v>
      </c>
      <c r="K41" s="2" t="str">
        <f>VLOOKUP(T_Voluntarios[[#This Row],[RUN]],BBDD[],12,FALSE)</f>
        <v>Lobatos</v>
      </c>
      <c r="L41" s="2" t="str">
        <f>VLOOKUP(T_Voluntarios[[#This Row],[RUN]],BBDD[],15,FALSE)</f>
        <v>Concepción</v>
      </c>
      <c r="M41" s="2" t="str">
        <f>VLOOKUP(T_Voluntarios[[#This Row],[RUN]],BBDD[],20,FALSE)</f>
        <v>Sin Almuerzo</v>
      </c>
      <c r="N41" s="2" t="str">
        <f>VLOOKUP(T_Voluntarios[[#This Row],[RUN]],BBDD[],21,FALSE)</f>
        <v>Alimentaria: Intoterancia a la lactosa, apio, coco, nueces. Medicamentos: pseudoefedrina, ranitidina, ciprofloxacino, penicilina, clorfenamina, prednisona.  Otras: yodo.,</v>
      </c>
      <c r="O41" s="2" t="str">
        <f>VLOOKUP(T_Voluntarios[[#This Row],[RUN]],BBDD[],22,FALSE)</f>
        <v>Ninguna</v>
      </c>
      <c r="P41" s="2" t="str">
        <f>VLOOKUP(T_Voluntarios[[#This Row],[RUN]],BBDD[],23,FALSE)</f>
        <v>Valeska Figueroa (madre) +56987206067</v>
      </c>
      <c r="Q41" s="2" t="str">
        <f>IF(VLOOKUP(T_Voluntarios[[#This Row],[RUN]],BBDD[],27,FALSE)=0,"",VLOOKUP(T_Voluntarios[[#This Row],[RUN]],BBDD[],27,FALSE))</f>
        <v/>
      </c>
      <c r="R41" s="2" t="str">
        <f>VLOOKUP(T_Voluntarios[[#This Row],[RUN]],BBDD[],36,FALSE)</f>
        <v>https://drive.google.com/open?id=1xKVkIzmWmRfBMMfuFJ2EKHmzS6EuZjox</v>
      </c>
      <c r="S41" s="2" t="str">
        <f>VLOOKUP(T_Voluntarios[[#This Row],[RUN]],BBDD[],16,FALSE)</f>
        <v>Inicial</v>
      </c>
      <c r="T41" s="2" t="str">
        <f>VLOOKUP(T_Voluntarios[[#This Row],[RUN]],BBDD[],17,FALSE)</f>
        <v>Ninguno</v>
      </c>
      <c r="U41" s="2" t="str">
        <f>VLOOKUP(T_Voluntarios[[#This Row],[RUN]],BBDD[],18,FALSE)</f>
        <v>Ninguno</v>
      </c>
      <c r="V41" s="2" t="str">
        <f>VLOOKUP(T_Voluntarios[[#This Row],[RUN]],BBDD[],19,FALSE)</f>
        <v>Ninguno</v>
      </c>
      <c r="W41" s="13" t="str">
        <f>IF(OR(T_Voluntarios[[#This Row],[ROL]]="Formador(a)"),"SI","NO")</f>
        <v>NO</v>
      </c>
      <c r="X41" s="13" t="str">
        <f>IF(ISERROR(VLOOKUP(T_Voluntarios[[#This Row],[RUN]],BBDD_Formadores[],15,FALSE)),"NO",VLOOKUP(T_Voluntarios[[#This Row],[RUN]],BBDD_Formadores[],15,FALSE))</f>
        <v>NO</v>
      </c>
      <c r="Y41" s="13" t="str">
        <f>IF(ISERROR(VLOOKUP(T_Voluntarios[[#This Row],[RUN]],BBDD_Formadores[],16,FALSE)),"NO",VLOOKUP(T_Voluntarios[[#This Row],[RUN]],BBDD_Formadores[],16,FALSE))</f>
        <v>NO</v>
      </c>
      <c r="Z41" s="13" t="str">
        <f>IF(ISERROR(VLOOKUP(T_Voluntarios[[#This Row],[RUN]],BBDD_Formadores[],17,FALSE)),"NO",VLOOKUP(T_Voluntarios[[#This Row],[RUN]],BBDD_Formadores[],17,FALSE))</f>
        <v>NO</v>
      </c>
      <c r="AA41" s="13" t="str">
        <f>IF(ISERROR(VLOOKUP(T_Voluntarios[[#This Row],[RUN]],BBDD_Formadores[],18,FALSE)),"NO",VLOOKUP(T_Voluntarios[[#This Row],[RUN]],BBDD_Formadores[],18,FALSE))</f>
        <v>NO</v>
      </c>
      <c r="AB41" s="13">
        <v>1</v>
      </c>
      <c r="AC41" s="13" t="s">
        <v>1</v>
      </c>
      <c r="AD41" s="13" t="s">
        <v>77</v>
      </c>
      <c r="AF41" s="2" t="str">
        <f>IF(VLOOKUP(T_Voluntarios[[#This Row],[RUN]],BBDD[],25,FALSE)=0,"",VLOOKUP(T_Voluntarios[[#This Row],[RUN]],BBDD[],25,FALSE))</f>
        <v/>
      </c>
      <c r="AG41" s="2" t="str">
        <f>IF(VLOOKUP(T_Voluntarios[[#This Row],[RUN]],BBDD[],26,FALSE)=0,"",VLOOKUP(T_Voluntarios[[#This Row],[RUN]],BBDD[],26,FALSE))</f>
        <v/>
      </c>
      <c r="AH41" s="2" t="str">
        <f>IF(VLOOKUP(T_Voluntarios[[#This Row],[RUN]],BBDD[],24,FALSE)=0,"",VLOOKUP(T_Voluntarios[[#This Row],[RUN]],BBDD[],24,FALSE))</f>
        <v/>
      </c>
      <c r="AI41" s="13" t="str">
        <f>VLOOKUP(T_Voluntarios[[#This Row],[RUN]],BBDD[],28,FALSE)</f>
        <v>SI</v>
      </c>
      <c r="AJ41" s="13" t="str">
        <f>VLOOKUP(T_Voluntarios[[#This Row],[RUN]],BBDD[],28,FALSE)</f>
        <v>SI</v>
      </c>
      <c r="AK41" s="32">
        <f>IF(T_Voluntarios[[#This Row],[ROL]]="Participante",SUMIFS(T_Cuotas[[#All],[Total]],T_Cuotas[[#All],[RUN]],T_Voluntarios[[#This Row],[RUN]]),-1)</f>
        <v>36500</v>
      </c>
      <c r="AL41" s="13" t="s">
        <v>1</v>
      </c>
      <c r="AM41" s="13" t="s">
        <v>2029</v>
      </c>
      <c r="AP41" s="2" t="str">
        <f>MID(T_Voluntarios[[#This Row],[E_MAIL]],SEARCH("@",T_Voluntarios[[#This Row],[E_MAIL]],1),LEN(T_Voluntarios[[#This Row],[E_MAIL]]))</f>
        <v>@gmail.com</v>
      </c>
      <c r="AQ41" s="13" t="str">
        <f>VLOOKUP(T_Voluntarios[[#This Row],[RUN]],BBDD[],37,FALSE)</f>
        <v>22</v>
      </c>
      <c r="AR41" s="2" t="str">
        <f>VLOOKUP(T_Voluntarios[[#This Row],[RUN]],BBDD[],29,FALSE)</f>
        <v>Estudiante universitaria</v>
      </c>
      <c r="AS41" s="2" t="str">
        <f>VLOOKUP(T_Voluntarios[[#This Row],[RUN]],BBDD[],30,FALSE)</f>
        <v>6 años</v>
      </c>
      <c r="AT41" s="2" t="str">
        <f>VLOOKUP(T_Voluntarios[[#This Row],[RUN]],BBDD[],31,FALSE)</f>
        <v>Casi 2 años</v>
      </c>
      <c r="AU41" s="2" t="str">
        <f>VLOOKUP(T_Voluntarios[[#This Row],[RUN]],BBDD[],32,FALSE)</f>
        <v>Soltero(a)</v>
      </c>
      <c r="AV41" s="2" t="str">
        <f>VLOOKUP(T_Voluntarios[[#This Row],[RUN]],BBDD[],33,FALSE)</f>
        <v>Ninguna</v>
      </c>
      <c r="AW41" s="2" t="str">
        <f>VLOOKUP(T_Voluntarios[[#This Row],[RUN]],BBDD[],34,FALSE)</f>
        <v>Fer</v>
      </c>
      <c r="AX41" s="13" t="s">
        <v>733</v>
      </c>
      <c r="AY41" s="76">
        <f>VLOOKUP(T_Voluntarios[[#This Row],[RUN]],BBDD[],2,FALSE)</f>
        <v>45781.789687962962</v>
      </c>
      <c r="AZ41" s="13" t="s">
        <v>3403</v>
      </c>
    </row>
    <row r="42" spans="1:52" ht="14.4" x14ac:dyDescent="0.3">
      <c r="A42" t="s">
        <v>1176</v>
      </c>
      <c r="B42" s="2" t="str">
        <f>VLOOKUP(T_Voluntarios[[#This Row],[RUN]],BBDD[],3,FALSE)</f>
        <v>angelabelenmc@gmail.com</v>
      </c>
      <c r="C42" s="2" t="str">
        <f>VLOOKUP(T_Voluntarios[[#This Row],[RUN]],BBDD[],4,FALSE)</f>
        <v>Angela Belén Martínez Clavería</v>
      </c>
      <c r="D42" s="16">
        <f>VLOOKUP(T_Voluntarios[[#This Row],[RUN]],BBDD[],5,FALSE)</f>
        <v>37530</v>
      </c>
      <c r="E42" s="2" t="str">
        <f>VLOOKUP(T_Voluntarios[[#This Row],[RUN]],BBDD[],6,FALSE)</f>
        <v>Los naranjos 112, Villa el aromo</v>
      </c>
      <c r="F42" s="2" t="str">
        <f>VLOOKUP(T_Voluntarios[[#This Row],[RUN]],BBDD[],7,FALSE)</f>
        <v>Penco</v>
      </c>
      <c r="G42" s="2" t="str">
        <f>VLOOKUP(T_Voluntarios[[#This Row],[RUN]],BBDD[],8,FALSE)</f>
        <v>Celular</v>
      </c>
      <c r="H42" s="2" t="str">
        <f>IF(VLOOKUP(T_Voluntarios[[#This Row],[RUN]],BBDD[],9,FALSE)=0,"Falta",VLOOKUP(T_Voluntarios[[#This Row],[RUN]],BBDD[],9,FALSE))</f>
        <v>+56950112060</v>
      </c>
      <c r="I42" s="2" t="str">
        <f>VLOOKUP(T_Voluntarios[[#This Row],[RUN]],BBDD[],10,FALSE)</f>
        <v>Participante</v>
      </c>
      <c r="J42" s="2" t="str">
        <f>VLOOKUP(T_Voluntarios[[#This Row],[RUN]],BBDD[],11,FALSE)</f>
        <v>Rucapeñihue</v>
      </c>
      <c r="K42" s="2" t="str">
        <f>VLOOKUP(T_Voluntarios[[#This Row],[RUN]],BBDD[],12,FALSE)</f>
        <v>Pioneros</v>
      </c>
      <c r="L42" s="2" t="str">
        <f>VLOOKUP(T_Voluntarios[[#This Row],[RUN]],BBDD[],15,FALSE)</f>
        <v>Concepción</v>
      </c>
      <c r="M42" s="2" t="str">
        <f>VLOOKUP(T_Voluntarios[[#This Row],[RUN]],BBDD[],20,FALSE)</f>
        <v>Sin Almuerzo</v>
      </c>
      <c r="N42" s="2" t="str">
        <f>VLOOKUP(T_Voluntarios[[#This Row],[RUN]],BBDD[],21,FALSE)</f>
        <v>Ninguna</v>
      </c>
      <c r="O42" s="2" t="str">
        <f>VLOOKUP(T_Voluntarios[[#This Row],[RUN]],BBDD[],22,FALSE)</f>
        <v>Ninguna</v>
      </c>
      <c r="P42" s="2" t="str">
        <f>VLOOKUP(T_Voluntarios[[#This Row],[RUN]],BBDD[],23,FALSE)</f>
        <v>Sergio +56994994234</v>
      </c>
      <c r="Q42" s="2" t="str">
        <f>IF(VLOOKUP(T_Voluntarios[[#This Row],[RUN]],BBDD[],27,FALSE)=0,"",VLOOKUP(T_Voluntarios[[#This Row],[RUN]],BBDD[],27,FALSE))</f>
        <v/>
      </c>
      <c r="R42" s="2" t="str">
        <f>VLOOKUP(T_Voluntarios[[#This Row],[RUN]],BBDD[],36,FALSE)</f>
        <v>https://drive.google.com/open?id=1CSzORn4zsoIUa6jsFKHX0IutQiLscxys</v>
      </c>
      <c r="S42" s="2" t="str">
        <f>VLOOKUP(T_Voluntarios[[#This Row],[RUN]],BBDD[],16,FALSE)</f>
        <v>Inicial</v>
      </c>
      <c r="T42" s="2" t="str">
        <f>VLOOKUP(T_Voluntarios[[#This Row],[RUN]],BBDD[],17,FALSE)</f>
        <v>Ninguno</v>
      </c>
      <c r="U42" s="2" t="str">
        <f>VLOOKUP(T_Voluntarios[[#This Row],[RUN]],BBDD[],18,FALSE)</f>
        <v>Ninguno</v>
      </c>
      <c r="V42" s="2" t="str">
        <f>VLOOKUP(T_Voluntarios[[#This Row],[RUN]],BBDD[],19,FALSE)</f>
        <v>Ninguno</v>
      </c>
      <c r="W42" s="13" t="str">
        <f>IF(OR(T_Voluntarios[[#This Row],[ROL]]="Formador(a)"),"SI","NO")</f>
        <v>NO</v>
      </c>
      <c r="X42" s="13" t="str">
        <f>IF(ISERROR(VLOOKUP(T_Voluntarios[[#This Row],[RUN]],BBDD_Formadores[],15,FALSE)),"NO",VLOOKUP(T_Voluntarios[[#This Row],[RUN]],BBDD_Formadores[],15,FALSE))</f>
        <v>NO</v>
      </c>
      <c r="Y42" s="13" t="str">
        <f>IF(ISERROR(VLOOKUP(T_Voluntarios[[#This Row],[RUN]],BBDD_Formadores[],16,FALSE)),"NO",VLOOKUP(T_Voluntarios[[#This Row],[RUN]],BBDD_Formadores[],16,FALSE))</f>
        <v>NO</v>
      </c>
      <c r="Z42" s="13" t="str">
        <f>IF(ISERROR(VLOOKUP(T_Voluntarios[[#This Row],[RUN]],BBDD_Formadores[],17,FALSE)),"NO",VLOOKUP(T_Voluntarios[[#This Row],[RUN]],BBDD_Formadores[],17,FALSE))</f>
        <v>NO</v>
      </c>
      <c r="AA42" s="13" t="str">
        <f>IF(ISERROR(VLOOKUP(T_Voluntarios[[#This Row],[RUN]],BBDD_Formadores[],18,FALSE)),"NO",VLOOKUP(T_Voluntarios[[#This Row],[RUN]],BBDD_Formadores[],18,FALSE))</f>
        <v>NO</v>
      </c>
      <c r="AB42" s="13">
        <v>1</v>
      </c>
      <c r="AC42" s="13" t="s">
        <v>1</v>
      </c>
      <c r="AD42" s="13" t="s">
        <v>77</v>
      </c>
      <c r="AF42" s="2" t="str">
        <f>IF(VLOOKUP(T_Voluntarios[[#This Row],[RUN]],BBDD[],25,FALSE)=0,"",VLOOKUP(T_Voluntarios[[#This Row],[RUN]],BBDD[],25,FALSE))</f>
        <v/>
      </c>
      <c r="AG42" s="2" t="str">
        <f>IF(VLOOKUP(T_Voluntarios[[#This Row],[RUN]],BBDD[],26,FALSE)=0,"",VLOOKUP(T_Voluntarios[[#This Row],[RUN]],BBDD[],26,FALSE))</f>
        <v/>
      </c>
      <c r="AH42" s="2" t="str">
        <f>IF(VLOOKUP(T_Voluntarios[[#This Row],[RUN]],BBDD[],24,FALSE)=0,"",VLOOKUP(T_Voluntarios[[#This Row],[RUN]],BBDD[],24,FALSE))</f>
        <v/>
      </c>
      <c r="AI42" s="13" t="str">
        <f>VLOOKUP(T_Voluntarios[[#This Row],[RUN]],BBDD[],28,FALSE)</f>
        <v>SI</v>
      </c>
      <c r="AJ42" s="13" t="str">
        <f>VLOOKUP(T_Voluntarios[[#This Row],[RUN]],BBDD[],28,FALSE)</f>
        <v>SI</v>
      </c>
      <c r="AK42" s="32">
        <f>IF(T_Voluntarios[[#This Row],[ROL]]="Participante",SUMIFS(T_Cuotas[[#All],[Total]],T_Cuotas[[#All],[RUN]],T_Voluntarios[[#This Row],[RUN]]),-1)</f>
        <v>36500</v>
      </c>
      <c r="AL42" s="13" t="s">
        <v>1</v>
      </c>
      <c r="AM42" s="13" t="s">
        <v>2029</v>
      </c>
      <c r="AP42" s="2" t="str">
        <f>MID(T_Voluntarios[[#This Row],[E_MAIL]],SEARCH("@",T_Voluntarios[[#This Row],[E_MAIL]],1),LEN(T_Voluntarios[[#This Row],[E_MAIL]]))</f>
        <v>@gmail.com</v>
      </c>
      <c r="AQ42" s="13" t="str">
        <f>VLOOKUP(T_Voluntarios[[#This Row],[RUN]],BBDD[],37,FALSE)</f>
        <v>22</v>
      </c>
      <c r="AR42" s="2" t="str">
        <f>VLOOKUP(T_Voluntarios[[#This Row],[RUN]],BBDD[],29,FALSE)</f>
        <v>Estudiante Medicina Veterinaria</v>
      </c>
      <c r="AS42" s="2" t="str">
        <f>VLOOKUP(T_Voluntarios[[#This Row],[RUN]],BBDD[],30,FALSE)</f>
        <v>13 años</v>
      </c>
      <c r="AT42" s="2" t="str">
        <f>VLOOKUP(T_Voluntarios[[#This Row],[RUN]],BBDD[],31,FALSE)</f>
        <v>2 años (este será mi cuarto semestre)</v>
      </c>
      <c r="AU42" s="2" t="str">
        <f>VLOOKUP(T_Voluntarios[[#This Row],[RUN]],BBDD[],32,FALSE)</f>
        <v>Soltero(a)</v>
      </c>
      <c r="AV42" s="2" t="str">
        <f>VLOOKUP(T_Voluntarios[[#This Row],[RUN]],BBDD[],33,FALSE)</f>
        <v>Ninguna</v>
      </c>
      <c r="AW42" s="2" t="str">
        <f>VLOOKUP(T_Voluntarios[[#This Row],[RUN]],BBDD[],34,FALSE)</f>
        <v>Angela</v>
      </c>
      <c r="AX42" s="13" t="s">
        <v>733</v>
      </c>
      <c r="AY42" s="76">
        <f>VLOOKUP(T_Voluntarios[[#This Row],[RUN]],BBDD[],2,FALSE)</f>
        <v>45781.78982662037</v>
      </c>
      <c r="AZ42" s="13" t="s">
        <v>3403</v>
      </c>
    </row>
    <row r="43" spans="1:52" ht="14.4" x14ac:dyDescent="0.3">
      <c r="A43" t="s">
        <v>1557</v>
      </c>
      <c r="B43" s="2" t="str">
        <f>VLOOKUP(T_Voluntarios[[#This Row],[RUN]],BBDD[],3,FALSE)</f>
        <v>alvarotoleseguel@gmail.com</v>
      </c>
      <c r="C43" s="2" t="str">
        <f>VLOOKUP(T_Voluntarios[[#This Row],[RUN]],BBDD[],4,FALSE)</f>
        <v>Álvaro Andrés Toledo Seguel</v>
      </c>
      <c r="D43" s="16">
        <f>VLOOKUP(T_Voluntarios[[#This Row],[RUN]],BBDD[],5,FALSE)</f>
        <v>35638</v>
      </c>
      <c r="E43" s="2" t="str">
        <f>VLOOKUP(T_Voluntarios[[#This Row],[RUN]],BBDD[],6,FALSE)</f>
        <v>Esmeralda #245, El Carmen</v>
      </c>
      <c r="F43" s="2" t="str">
        <f>VLOOKUP(T_Voluntarios[[#This Row],[RUN]],BBDD[],7,FALSE)</f>
        <v>El Carmen</v>
      </c>
      <c r="G43" s="2" t="str">
        <f>VLOOKUP(T_Voluntarios[[#This Row],[RUN]],BBDD[],8,FALSE)</f>
        <v>Celular</v>
      </c>
      <c r="H43" s="2" t="str">
        <f>IF(VLOOKUP(T_Voluntarios[[#This Row],[RUN]],BBDD[],9,FALSE)=0,"Falta",VLOOKUP(T_Voluntarios[[#This Row],[RUN]],BBDD[],9,FALSE))</f>
        <v>+56978485507</v>
      </c>
      <c r="I43" s="2" t="str">
        <f>VLOOKUP(T_Voluntarios[[#This Row],[RUN]],BBDD[],10,FALSE)</f>
        <v>Participante</v>
      </c>
      <c r="J43" s="2" t="str">
        <f>VLOOKUP(T_Voluntarios[[#This Row],[RUN]],BBDD[],11,FALSE)</f>
        <v>La Montaña</v>
      </c>
      <c r="K43" s="2" t="str">
        <f>VLOOKUP(T_Voluntarios[[#This Row],[RUN]],BBDD[],12,FALSE)</f>
        <v>Caminantes</v>
      </c>
      <c r="L43" s="2" t="str">
        <f>VLOOKUP(T_Voluntarios[[#This Row],[RUN]],BBDD[],15,FALSE)</f>
        <v>Zona Ñuble</v>
      </c>
      <c r="M43" s="2" t="str">
        <f>VLOOKUP(T_Voluntarios[[#This Row],[RUN]],BBDD[],20,FALSE)</f>
        <v>Alimentación Vegetariana</v>
      </c>
      <c r="N43" s="2" t="str">
        <f>VLOOKUP(T_Voluntarios[[#This Row],[RUN]],BBDD[],21,FALSE)</f>
        <v>Ninguna</v>
      </c>
      <c r="O43" s="2" t="str">
        <f>VLOOKUP(T_Voluntarios[[#This Row],[RUN]],BBDD[],22,FALSE)</f>
        <v>Ninguna</v>
      </c>
      <c r="P43" s="2" t="str">
        <f>VLOOKUP(T_Voluntarios[[#This Row],[RUN]],BBDD[],23,FALSE)</f>
        <v>Oriana Seguel +56956330192</v>
      </c>
      <c r="Q43" s="2" t="str">
        <f>IF(VLOOKUP(T_Voluntarios[[#This Row],[RUN]],BBDD[],27,FALSE)=0,"",VLOOKUP(T_Voluntarios[[#This Row],[RUN]],BBDD[],27,FALSE))</f>
        <v/>
      </c>
      <c r="R43" s="2" t="str">
        <f>VLOOKUP(T_Voluntarios[[#This Row],[RUN]],BBDD[],36,FALSE)</f>
        <v>https://drive.google.com/open?id=19Zsq_cOJfzq-SrR8plPTGgr5m6qlA2L0</v>
      </c>
      <c r="S43" s="2" t="str">
        <f>VLOOKUP(T_Voluntarios[[#This Row],[RUN]],BBDD[],16,FALSE)</f>
        <v>Inicial</v>
      </c>
      <c r="T43" s="2" t="str">
        <f>VLOOKUP(T_Voluntarios[[#This Row],[RUN]],BBDD[],17,FALSE)</f>
        <v>Ninguno</v>
      </c>
      <c r="U43" s="2" t="str">
        <f>VLOOKUP(T_Voluntarios[[#This Row],[RUN]],BBDD[],18,FALSE)</f>
        <v>Ninguno</v>
      </c>
      <c r="V43" s="2" t="str">
        <f>VLOOKUP(T_Voluntarios[[#This Row],[RUN]],BBDD[],19,FALSE)</f>
        <v>Ninguno</v>
      </c>
      <c r="W43" s="13" t="str">
        <f>IF(OR(T_Voluntarios[[#This Row],[ROL]]="Formador(a)"),"SI","NO")</f>
        <v>NO</v>
      </c>
      <c r="X43" s="13" t="str">
        <f>IF(ISERROR(VLOOKUP(T_Voluntarios[[#This Row],[RUN]],BBDD_Formadores[],15,FALSE)),"NO",VLOOKUP(T_Voluntarios[[#This Row],[RUN]],BBDD_Formadores[],15,FALSE))</f>
        <v>NO</v>
      </c>
      <c r="Y43" s="13" t="str">
        <f>IF(ISERROR(VLOOKUP(T_Voluntarios[[#This Row],[RUN]],BBDD_Formadores[],16,FALSE)),"NO",VLOOKUP(T_Voluntarios[[#This Row],[RUN]],BBDD_Formadores[],16,FALSE))</f>
        <v>NO</v>
      </c>
      <c r="Z43" s="13" t="str">
        <f>IF(ISERROR(VLOOKUP(T_Voluntarios[[#This Row],[RUN]],BBDD_Formadores[],17,FALSE)),"NO",VLOOKUP(T_Voluntarios[[#This Row],[RUN]],BBDD_Formadores[],17,FALSE))</f>
        <v>NO</v>
      </c>
      <c r="AA43" s="13" t="str">
        <f>IF(ISERROR(VLOOKUP(T_Voluntarios[[#This Row],[RUN]],BBDD_Formadores[],18,FALSE)),"NO",VLOOKUP(T_Voluntarios[[#This Row],[RUN]],BBDD_Formadores[],18,FALSE))</f>
        <v>NO</v>
      </c>
      <c r="AB43" s="13">
        <v>1</v>
      </c>
      <c r="AC43" s="13" t="s">
        <v>1</v>
      </c>
      <c r="AD43" s="13" t="s">
        <v>77</v>
      </c>
      <c r="AF43" s="2" t="str">
        <f>IF(VLOOKUP(T_Voluntarios[[#This Row],[RUN]],BBDD[],25,FALSE)=0,"",VLOOKUP(T_Voluntarios[[#This Row],[RUN]],BBDD[],25,FALSE))</f>
        <v/>
      </c>
      <c r="AG43" s="2" t="str">
        <f>IF(VLOOKUP(T_Voluntarios[[#This Row],[RUN]],BBDD[],26,FALSE)=0,"",VLOOKUP(T_Voluntarios[[#This Row],[RUN]],BBDD[],26,FALSE))</f>
        <v/>
      </c>
      <c r="AH43" s="2" t="str">
        <f>IF(VLOOKUP(T_Voluntarios[[#This Row],[RUN]],BBDD[],24,FALSE)=0,"",VLOOKUP(T_Voluntarios[[#This Row],[RUN]],BBDD[],24,FALSE))</f>
        <v/>
      </c>
      <c r="AI43" s="13" t="str">
        <f>VLOOKUP(T_Voluntarios[[#This Row],[RUN]],BBDD[],28,FALSE)</f>
        <v>SI</v>
      </c>
      <c r="AJ43" s="13" t="str">
        <f>VLOOKUP(T_Voluntarios[[#This Row],[RUN]],BBDD[],28,FALSE)</f>
        <v>SI</v>
      </c>
      <c r="AK43" s="32">
        <f>IF(T_Voluntarios[[#This Row],[ROL]]="Participante",SUMIFS(T_Cuotas[[#All],[Total]],T_Cuotas[[#All],[RUN]],T_Voluntarios[[#This Row],[RUN]]),-1)</f>
        <v>50000</v>
      </c>
      <c r="AL43" s="13" t="s">
        <v>1</v>
      </c>
      <c r="AM43" s="13" t="s">
        <v>2029</v>
      </c>
      <c r="AP43" s="2" t="str">
        <f>MID(T_Voluntarios[[#This Row],[E_MAIL]],SEARCH("@",T_Voluntarios[[#This Row],[E_MAIL]],1),LEN(T_Voluntarios[[#This Row],[E_MAIL]]))</f>
        <v>@gmail.com</v>
      </c>
      <c r="AQ43" s="13" t="str">
        <f>VLOOKUP(T_Voluntarios[[#This Row],[RUN]],BBDD[],37,FALSE)</f>
        <v>27</v>
      </c>
      <c r="AR43" s="2" t="str">
        <f>VLOOKUP(T_Voluntarios[[#This Row],[RUN]],BBDD[],29,FALSE)</f>
        <v>Nutricionista</v>
      </c>
      <c r="AS43" s="2" t="str">
        <f>VLOOKUP(T_Voluntarios[[#This Row],[RUN]],BBDD[],30,FALSE)</f>
        <v>5 años</v>
      </c>
      <c r="AT43" s="2" t="str">
        <f>VLOOKUP(T_Voluntarios[[#This Row],[RUN]],BBDD[],31,FALSE)</f>
        <v>8 años</v>
      </c>
      <c r="AU43" s="2" t="str">
        <f>VLOOKUP(T_Voluntarios[[#This Row],[RUN]],BBDD[],32,FALSE)</f>
        <v>Soltero(a)</v>
      </c>
      <c r="AV43" s="2" t="str">
        <f>VLOOKUP(T_Voluntarios[[#This Row],[RUN]],BBDD[],33,FALSE)</f>
        <v>Ninguna</v>
      </c>
      <c r="AW43" s="2" t="str">
        <f>VLOOKUP(T_Voluntarios[[#This Row],[RUN]],BBDD[],34,FALSE)</f>
        <v>AlvaroTole</v>
      </c>
      <c r="AX43" s="13" t="s">
        <v>733</v>
      </c>
      <c r="AY43" s="76">
        <f>VLOOKUP(T_Voluntarios[[#This Row],[RUN]],BBDD[],2,FALSE)</f>
        <v>45781.809711689813</v>
      </c>
      <c r="AZ43" s="13" t="s">
        <v>3402</v>
      </c>
    </row>
    <row r="44" spans="1:52" ht="14.4" x14ac:dyDescent="0.3">
      <c r="A44" t="s">
        <v>1194</v>
      </c>
      <c r="B44" s="2" t="str">
        <f>VLOOKUP(T_Voluntarios[[#This Row],[RUN]],BBDD[],3,FALSE)</f>
        <v>camilafgt.cg@gmail.com</v>
      </c>
      <c r="C44" s="2" t="str">
        <f>VLOOKUP(T_Voluntarios[[#This Row],[RUN]],BBDD[],4,FALSE)</f>
        <v>Camila Francisca Guala Troncoso</v>
      </c>
      <c r="D44" s="16">
        <f>VLOOKUP(T_Voluntarios[[#This Row],[RUN]],BBDD[],5,FALSE)</f>
        <v>38383</v>
      </c>
      <c r="E44" s="2" t="str">
        <f>VLOOKUP(T_Voluntarios[[#This Row],[RUN]],BBDD[],6,FALSE)</f>
        <v>libertad 149 casa 8</v>
      </c>
      <c r="F44" s="2" t="str">
        <f>VLOOKUP(T_Voluntarios[[#This Row],[RUN]],BBDD[],7,FALSE)</f>
        <v>Chiguayante</v>
      </c>
      <c r="G44" s="2" t="str">
        <f>VLOOKUP(T_Voluntarios[[#This Row],[RUN]],BBDD[],8,FALSE)</f>
        <v>Celular</v>
      </c>
      <c r="H44" s="2" t="str">
        <f>IF(VLOOKUP(T_Voluntarios[[#This Row],[RUN]],BBDD[],9,FALSE)=0,"Falta",VLOOKUP(T_Voluntarios[[#This Row],[RUN]],BBDD[],9,FALSE))</f>
        <v>+56981509663</v>
      </c>
      <c r="I44" s="2" t="str">
        <f>VLOOKUP(T_Voluntarios[[#This Row],[RUN]],BBDD[],10,FALSE)</f>
        <v>Participante</v>
      </c>
      <c r="J44" s="2" t="str">
        <f>VLOOKUP(T_Voluntarios[[#This Row],[RUN]],BBDD[],11,FALSE)</f>
        <v>Rucapeñihue</v>
      </c>
      <c r="K44" s="2" t="str">
        <f>VLOOKUP(T_Voluntarios[[#This Row],[RUN]],BBDD[],12,FALSE)</f>
        <v>Lobatos</v>
      </c>
      <c r="L44" s="2" t="str">
        <f>VLOOKUP(T_Voluntarios[[#This Row],[RUN]],BBDD[],15,FALSE)</f>
        <v>Concepción</v>
      </c>
      <c r="M44" s="2" t="str">
        <f>VLOOKUP(T_Voluntarios[[#This Row],[RUN]],BBDD[],20,FALSE)</f>
        <v>Sin Almuerzo</v>
      </c>
      <c r="N44" s="2" t="str">
        <f>VLOOKUP(T_Voluntarios[[#This Row],[RUN]],BBDD[],21,FALSE)</f>
        <v>Ninguna</v>
      </c>
      <c r="O44" s="2" t="str">
        <f>VLOOKUP(T_Voluntarios[[#This Row],[RUN]],BBDD[],22,FALSE)</f>
        <v>Ninguna</v>
      </c>
      <c r="P44" s="2" t="str">
        <f>VLOOKUP(T_Voluntarios[[#This Row],[RUN]],BBDD[],23,FALSE)</f>
        <v>Ignacio Guala +56 9 5627 7663</v>
      </c>
      <c r="Q44" s="2" t="str">
        <f>IF(VLOOKUP(T_Voluntarios[[#This Row],[RUN]],BBDD[],27,FALSE)=0,"",VLOOKUP(T_Voluntarios[[#This Row],[RUN]],BBDD[],27,FALSE))</f>
        <v/>
      </c>
      <c r="R44" s="2" t="str">
        <f>VLOOKUP(T_Voluntarios[[#This Row],[RUN]],BBDD[],36,FALSE)</f>
        <v>https://drive.google.com/open?id=1xdBbNftznU4glK8grEaeN-67vj68E8_K</v>
      </c>
      <c r="S44" s="2" t="str">
        <f>VLOOKUP(T_Voluntarios[[#This Row],[RUN]],BBDD[],16,FALSE)</f>
        <v>Inicial</v>
      </c>
      <c r="T44" s="2" t="str">
        <f>VLOOKUP(T_Voluntarios[[#This Row],[RUN]],BBDD[],17,FALSE)</f>
        <v>Ninguno</v>
      </c>
      <c r="U44" s="2" t="str">
        <f>VLOOKUP(T_Voluntarios[[#This Row],[RUN]],BBDD[],18,FALSE)</f>
        <v>Ninguno</v>
      </c>
      <c r="V44" s="2" t="str">
        <f>VLOOKUP(T_Voluntarios[[#This Row],[RUN]],BBDD[],19,FALSE)</f>
        <v>Ninguno</v>
      </c>
      <c r="W44" s="13" t="str">
        <f>IF(OR(T_Voluntarios[[#This Row],[ROL]]="Formador(a)"),"SI","NO")</f>
        <v>NO</v>
      </c>
      <c r="X44" s="13" t="str">
        <f>IF(ISERROR(VLOOKUP(T_Voluntarios[[#This Row],[RUN]],BBDD_Formadores[],15,FALSE)),"NO",VLOOKUP(T_Voluntarios[[#This Row],[RUN]],BBDD_Formadores[],15,FALSE))</f>
        <v>NO</v>
      </c>
      <c r="Y44" s="13" t="str">
        <f>IF(ISERROR(VLOOKUP(T_Voluntarios[[#This Row],[RUN]],BBDD_Formadores[],16,FALSE)),"NO",VLOOKUP(T_Voluntarios[[#This Row],[RUN]],BBDD_Formadores[],16,FALSE))</f>
        <v>NO</v>
      </c>
      <c r="Z44" s="13" t="str">
        <f>IF(ISERROR(VLOOKUP(T_Voluntarios[[#This Row],[RUN]],BBDD_Formadores[],17,FALSE)),"NO",VLOOKUP(T_Voluntarios[[#This Row],[RUN]],BBDD_Formadores[],17,FALSE))</f>
        <v>NO</v>
      </c>
      <c r="AA44" s="13" t="str">
        <f>IF(ISERROR(VLOOKUP(T_Voluntarios[[#This Row],[RUN]],BBDD_Formadores[],18,FALSE)),"NO",VLOOKUP(T_Voluntarios[[#This Row],[RUN]],BBDD_Formadores[],18,FALSE))</f>
        <v>NO</v>
      </c>
      <c r="AB44" s="13">
        <v>1</v>
      </c>
      <c r="AC44" s="13" t="s">
        <v>1</v>
      </c>
      <c r="AD44" s="13" t="s">
        <v>77</v>
      </c>
      <c r="AF44" s="2" t="str">
        <f>IF(VLOOKUP(T_Voluntarios[[#This Row],[RUN]],BBDD[],25,FALSE)=0,"",VLOOKUP(T_Voluntarios[[#This Row],[RUN]],BBDD[],25,FALSE))</f>
        <v/>
      </c>
      <c r="AG44" s="2" t="str">
        <f>IF(VLOOKUP(T_Voluntarios[[#This Row],[RUN]],BBDD[],26,FALSE)=0,"",VLOOKUP(T_Voluntarios[[#This Row],[RUN]],BBDD[],26,FALSE))</f>
        <v/>
      </c>
      <c r="AH44" s="2" t="str">
        <f>IF(VLOOKUP(T_Voluntarios[[#This Row],[RUN]],BBDD[],24,FALSE)=0,"",VLOOKUP(T_Voluntarios[[#This Row],[RUN]],BBDD[],24,FALSE))</f>
        <v/>
      </c>
      <c r="AI44" s="13" t="str">
        <f>VLOOKUP(T_Voluntarios[[#This Row],[RUN]],BBDD[],28,FALSE)</f>
        <v>No</v>
      </c>
      <c r="AJ44" s="13" t="str">
        <f>VLOOKUP(T_Voluntarios[[#This Row],[RUN]],BBDD[],28,FALSE)</f>
        <v>No</v>
      </c>
      <c r="AK44" s="32">
        <f>IF(T_Voluntarios[[#This Row],[ROL]]="Participante",SUMIFS(T_Cuotas[[#All],[Total]],T_Cuotas[[#All],[RUN]],T_Voluntarios[[#This Row],[RUN]]),-1)</f>
        <v>36500</v>
      </c>
      <c r="AL44" s="13" t="s">
        <v>1</v>
      </c>
      <c r="AM44" s="13" t="s">
        <v>2029</v>
      </c>
      <c r="AP44" s="2" t="str">
        <f>MID(T_Voluntarios[[#This Row],[E_MAIL]],SEARCH("@",T_Voluntarios[[#This Row],[E_MAIL]],1),LEN(T_Voluntarios[[#This Row],[E_MAIL]]))</f>
        <v>@gmail.com</v>
      </c>
      <c r="AQ44" s="13" t="str">
        <f>VLOOKUP(T_Voluntarios[[#This Row],[RUN]],BBDD[],37,FALSE)</f>
        <v>20</v>
      </c>
      <c r="AR44" s="2" t="str">
        <f>VLOOKUP(T_Voluntarios[[#This Row],[RUN]],BBDD[],29,FALSE)</f>
        <v>Estudiante</v>
      </c>
      <c r="AS44" s="2" t="str">
        <f>VLOOKUP(T_Voluntarios[[#This Row],[RUN]],BBDD[],30,FALSE)</f>
        <v>7 años</v>
      </c>
      <c r="AT44" s="2" t="str">
        <f>VLOOKUP(T_Voluntarios[[#This Row],[RUN]],BBDD[],31,FALSE)</f>
        <v>Trabajo de un año y hasta la fecha en voluntario de psicología</v>
      </c>
      <c r="AU44" s="2" t="str">
        <f>VLOOKUP(T_Voluntarios[[#This Row],[RUN]],BBDD[],32,FALSE)</f>
        <v>Soltero(a)</v>
      </c>
      <c r="AV44" s="2" t="str">
        <f>VLOOKUP(T_Voluntarios[[#This Row],[RUN]],BBDD[],33,FALSE)</f>
        <v>Ninguna</v>
      </c>
      <c r="AW44" s="2" t="str">
        <f>VLOOKUP(T_Voluntarios[[#This Row],[RUN]],BBDD[],34,FALSE)</f>
        <v>Cami Guala</v>
      </c>
      <c r="AX44" s="13" t="s">
        <v>733</v>
      </c>
      <c r="AY44" s="76">
        <f>VLOOKUP(T_Voluntarios[[#This Row],[RUN]],BBDD[],2,FALSE)</f>
        <v>45781.84526057099</v>
      </c>
      <c r="AZ44" s="13" t="s">
        <v>3403</v>
      </c>
    </row>
    <row r="45" spans="1:52" ht="14.4" x14ac:dyDescent="0.3">
      <c r="A45" t="s">
        <v>1204</v>
      </c>
      <c r="B45" s="2" t="str">
        <f>VLOOKUP(T_Voluntarios[[#This Row],[RUN]],BBDD[],3,FALSE)</f>
        <v>c.rodriguezvargas2@uandresbello.edu</v>
      </c>
      <c r="C45" s="2" t="str">
        <f>VLOOKUP(T_Voluntarios[[#This Row],[RUN]],BBDD[],4,FALSE)</f>
        <v>Camila Andrea Rodriguez Vargas</v>
      </c>
      <c r="D45" s="16">
        <f>VLOOKUP(T_Voluntarios[[#This Row],[RUN]],BBDD[],5,FALSE)</f>
        <v>37679</v>
      </c>
      <c r="E45" s="2" t="str">
        <f>VLOOKUP(T_Voluntarios[[#This Row],[RUN]],BBDD[],6,FALSE)</f>
        <v>Marques de aviles 164</v>
      </c>
      <c r="F45" s="2" t="str">
        <f>VLOOKUP(T_Voluntarios[[#This Row],[RUN]],BBDD[],7,FALSE)</f>
        <v>Concepción</v>
      </c>
      <c r="G45" s="2" t="str">
        <f>VLOOKUP(T_Voluntarios[[#This Row],[RUN]],BBDD[],8,FALSE)</f>
        <v>Celular</v>
      </c>
      <c r="H45" s="2" t="str">
        <f>IF(VLOOKUP(T_Voluntarios[[#This Row],[RUN]],BBDD[],9,FALSE)=0,"Falta",VLOOKUP(T_Voluntarios[[#This Row],[RUN]],BBDD[],9,FALSE))</f>
        <v>+56933499983</v>
      </c>
      <c r="I45" s="2" t="str">
        <f>VLOOKUP(T_Voluntarios[[#This Row],[RUN]],BBDD[],10,FALSE)</f>
        <v>Participante</v>
      </c>
      <c r="J45" s="2" t="str">
        <f>VLOOKUP(T_Voluntarios[[#This Row],[RUN]],BBDD[],11,FALSE)</f>
        <v>Rucapeñihue</v>
      </c>
      <c r="K45" s="2" t="str">
        <f>VLOOKUP(T_Voluntarios[[#This Row],[RUN]],BBDD[],12,FALSE)</f>
        <v>Guias</v>
      </c>
      <c r="L45" s="2" t="str">
        <f>VLOOKUP(T_Voluntarios[[#This Row],[RUN]],BBDD[],15,FALSE)</f>
        <v>Concepción</v>
      </c>
      <c r="M45" s="2" t="str">
        <f>VLOOKUP(T_Voluntarios[[#This Row],[RUN]],BBDD[],20,FALSE)</f>
        <v>Sin Almuerzo</v>
      </c>
      <c r="N45" s="2" t="str">
        <f>VLOOKUP(T_Voluntarios[[#This Row],[RUN]],BBDD[],21,FALSE)</f>
        <v>Anemia ferropenica. Hiperlordosis lumbar.</v>
      </c>
      <c r="O45" s="2" t="str">
        <f>VLOOKUP(T_Voluntarios[[#This Row],[RUN]],BBDD[],22,FALSE)</f>
        <v>Ninguna</v>
      </c>
      <c r="P45" s="2" t="str">
        <f>VLOOKUP(T_Voluntarios[[#This Row],[RUN]],BBDD[],23,FALSE)</f>
        <v>Faviana Vargas +56968692036</v>
      </c>
      <c r="Q45" s="2" t="str">
        <f>IF(VLOOKUP(T_Voluntarios[[#This Row],[RUN]],BBDD[],27,FALSE)=0,"",VLOOKUP(T_Voluntarios[[#This Row],[RUN]],BBDD[],27,FALSE))</f>
        <v/>
      </c>
      <c r="R45" s="2" t="str">
        <f>VLOOKUP(T_Voluntarios[[#This Row],[RUN]],BBDD[],36,FALSE)</f>
        <v>https://drive.google.com/open?id=19a1GKki_navatnr-h7qpgH7Tj5jYRVc8</v>
      </c>
      <c r="S45" s="2" t="str">
        <f>VLOOKUP(T_Voluntarios[[#This Row],[RUN]],BBDD[],16,FALSE)</f>
        <v>Inicial</v>
      </c>
      <c r="T45" s="2" t="str">
        <f>VLOOKUP(T_Voluntarios[[#This Row],[RUN]],BBDD[],17,FALSE)</f>
        <v>Ninguno</v>
      </c>
      <c r="U45" s="2" t="str">
        <f>VLOOKUP(T_Voluntarios[[#This Row],[RUN]],BBDD[],18,FALSE)</f>
        <v>Ninguno</v>
      </c>
      <c r="V45" s="2" t="str">
        <f>VLOOKUP(T_Voluntarios[[#This Row],[RUN]],BBDD[],19,FALSE)</f>
        <v>Ninguno</v>
      </c>
      <c r="W45" s="13" t="str">
        <f>IF(OR(T_Voluntarios[[#This Row],[ROL]]="Formador(a)"),"SI","NO")</f>
        <v>NO</v>
      </c>
      <c r="X45" s="13" t="str">
        <f>IF(ISERROR(VLOOKUP(T_Voluntarios[[#This Row],[RUN]],BBDD_Formadores[],15,FALSE)),"NO",VLOOKUP(T_Voluntarios[[#This Row],[RUN]],BBDD_Formadores[],15,FALSE))</f>
        <v>NO</v>
      </c>
      <c r="Y45" s="13" t="str">
        <f>IF(ISERROR(VLOOKUP(T_Voluntarios[[#This Row],[RUN]],BBDD_Formadores[],16,FALSE)),"NO",VLOOKUP(T_Voluntarios[[#This Row],[RUN]],BBDD_Formadores[],16,FALSE))</f>
        <v>NO</v>
      </c>
      <c r="Z45" s="13" t="str">
        <f>IF(ISERROR(VLOOKUP(T_Voluntarios[[#This Row],[RUN]],BBDD_Formadores[],17,FALSE)),"NO",VLOOKUP(T_Voluntarios[[#This Row],[RUN]],BBDD_Formadores[],17,FALSE))</f>
        <v>NO</v>
      </c>
      <c r="AA45" s="13" t="str">
        <f>IF(ISERROR(VLOOKUP(T_Voluntarios[[#This Row],[RUN]],BBDD_Formadores[],18,FALSE)),"NO",VLOOKUP(T_Voluntarios[[#This Row],[RUN]],BBDD_Formadores[],18,FALSE))</f>
        <v>NO</v>
      </c>
      <c r="AB45" s="13">
        <v>1</v>
      </c>
      <c r="AC45" s="13" t="s">
        <v>1</v>
      </c>
      <c r="AD45" s="13" t="s">
        <v>77</v>
      </c>
      <c r="AF45" s="2" t="str">
        <f>IF(VLOOKUP(T_Voluntarios[[#This Row],[RUN]],BBDD[],25,FALSE)=0,"",VLOOKUP(T_Voluntarios[[#This Row],[RUN]],BBDD[],25,FALSE))</f>
        <v/>
      </c>
      <c r="AG45" s="2" t="str">
        <f>IF(VLOOKUP(T_Voluntarios[[#This Row],[RUN]],BBDD[],26,FALSE)=0,"",VLOOKUP(T_Voluntarios[[#This Row],[RUN]],BBDD[],26,FALSE))</f>
        <v/>
      </c>
      <c r="AH45" s="2" t="str">
        <f>IF(VLOOKUP(T_Voluntarios[[#This Row],[RUN]],BBDD[],24,FALSE)=0,"",VLOOKUP(T_Voluntarios[[#This Row],[RUN]],BBDD[],24,FALSE))</f>
        <v/>
      </c>
      <c r="AI45" s="13" t="str">
        <f>VLOOKUP(T_Voluntarios[[#This Row],[RUN]],BBDD[],28,FALSE)</f>
        <v>No</v>
      </c>
      <c r="AJ45" s="13" t="str">
        <f>VLOOKUP(T_Voluntarios[[#This Row],[RUN]],BBDD[],28,FALSE)</f>
        <v>No</v>
      </c>
      <c r="AK45" s="32">
        <f>IF(T_Voluntarios[[#This Row],[ROL]]="Participante",SUMIFS(T_Cuotas[[#All],[Total]],T_Cuotas[[#All],[RUN]],T_Voluntarios[[#This Row],[RUN]]),-1)</f>
        <v>36500</v>
      </c>
      <c r="AL45" s="13" t="s">
        <v>1</v>
      </c>
      <c r="AM45" s="13" t="s">
        <v>2029</v>
      </c>
      <c r="AP45" s="2" t="str">
        <f>MID(T_Voluntarios[[#This Row],[E_MAIL]],SEARCH("@",T_Voluntarios[[#This Row],[E_MAIL]],1),LEN(T_Voluntarios[[#This Row],[E_MAIL]]))</f>
        <v>@uandresbello.edu</v>
      </c>
      <c r="AQ45" s="13" t="str">
        <f>VLOOKUP(T_Voluntarios[[#This Row],[RUN]],BBDD[],37,FALSE)</f>
        <v>22</v>
      </c>
      <c r="AR45" s="2" t="str">
        <f>VLOOKUP(T_Voluntarios[[#This Row],[RUN]],BBDD[],29,FALSE)</f>
        <v>Estudiante</v>
      </c>
      <c r="AS45" s="2" t="str">
        <f>VLOOKUP(T_Voluntarios[[#This Row],[RUN]],BBDD[],30,FALSE)</f>
        <v>8 años aprox</v>
      </c>
      <c r="AT45" s="2" t="str">
        <f>VLOOKUP(T_Voluntarios[[#This Row],[RUN]],BBDD[],31,FALSE)</f>
        <v>1 año y 6 meses</v>
      </c>
      <c r="AU45" s="2" t="str">
        <f>VLOOKUP(T_Voluntarios[[#This Row],[RUN]],BBDD[],32,FALSE)</f>
        <v>Soltero(a)</v>
      </c>
      <c r="AV45" s="2" t="str">
        <f>VLOOKUP(T_Voluntarios[[#This Row],[RUN]],BBDD[],33,FALSE)</f>
        <v>Catolicismo</v>
      </c>
      <c r="AW45" s="2" t="str">
        <f>VLOOKUP(T_Voluntarios[[#This Row],[RUN]],BBDD[],34,FALSE)</f>
        <v>Neta</v>
      </c>
      <c r="AX45" s="13" t="s">
        <v>733</v>
      </c>
      <c r="AY45" s="76">
        <f>VLOOKUP(T_Voluntarios[[#This Row],[RUN]],BBDD[],2,FALSE)</f>
        <v>45781.84727337963</v>
      </c>
      <c r="AZ45" s="13" t="s">
        <v>3403</v>
      </c>
    </row>
    <row r="46" spans="1:52" ht="14.4" x14ac:dyDescent="0.3">
      <c r="A46" t="s">
        <v>1215</v>
      </c>
      <c r="B46" s="2" t="str">
        <f>VLOOKUP(T_Voluntarios[[#This Row],[RUN]],BBDD[],3,FALSE)</f>
        <v>santiagoconstenla2003@gmail.com</v>
      </c>
      <c r="C46" s="2" t="str">
        <f>VLOOKUP(T_Voluntarios[[#This Row],[RUN]],BBDD[],4,FALSE)</f>
        <v>Santiago Khalil Constenla Arias</v>
      </c>
      <c r="D46" s="16">
        <f>VLOOKUP(T_Voluntarios[[#This Row],[RUN]],BBDD[],5,FALSE)</f>
        <v>37893</v>
      </c>
      <c r="E46" s="2" t="str">
        <f>VLOOKUP(T_Voluntarios[[#This Row],[RUN]],BBDD[],6,FALSE)</f>
        <v>Pasaje 1 #1389, Villa Los Magnolios, Concepción</v>
      </c>
      <c r="F46" s="2" t="str">
        <f>VLOOKUP(T_Voluntarios[[#This Row],[RUN]],BBDD[],7,FALSE)</f>
        <v>Concepción</v>
      </c>
      <c r="G46" s="2" t="str">
        <f>VLOOKUP(T_Voluntarios[[#This Row],[RUN]],BBDD[],8,FALSE)</f>
        <v>Celular</v>
      </c>
      <c r="H46" s="2" t="str">
        <f>IF(VLOOKUP(T_Voluntarios[[#This Row],[RUN]],BBDD[],9,FALSE)=0,"Falta",VLOOKUP(T_Voluntarios[[#This Row],[RUN]],BBDD[],9,FALSE))</f>
        <v>+56933855952</v>
      </c>
      <c r="I46" s="2" t="str">
        <f>VLOOKUP(T_Voluntarios[[#This Row],[RUN]],BBDD[],10,FALSE)</f>
        <v>Participante</v>
      </c>
      <c r="J46" s="2" t="str">
        <f>VLOOKUP(T_Voluntarios[[#This Row],[RUN]],BBDD[],11,FALSE)</f>
        <v>Rucapeñihue</v>
      </c>
      <c r="K46" s="2" t="str">
        <f>VLOOKUP(T_Voluntarios[[#This Row],[RUN]],BBDD[],12,FALSE)</f>
        <v>Pioneros</v>
      </c>
      <c r="L46" s="2" t="str">
        <f>VLOOKUP(T_Voluntarios[[#This Row],[RUN]],BBDD[],15,FALSE)</f>
        <v>Concepción</v>
      </c>
      <c r="M46" s="2" t="str">
        <f>VLOOKUP(T_Voluntarios[[#This Row],[RUN]],BBDD[],20,FALSE)</f>
        <v>Sin Almuerzo</v>
      </c>
      <c r="N46" s="2" t="str">
        <f>VLOOKUP(T_Voluntarios[[#This Row],[RUN]],BBDD[],21,FALSE)</f>
        <v>Ninguna</v>
      </c>
      <c r="O46" s="2" t="str">
        <f>VLOOKUP(T_Voluntarios[[#This Row],[RUN]],BBDD[],22,FALSE)</f>
        <v>Ninguna</v>
      </c>
      <c r="P46" s="2" t="str">
        <f>VLOOKUP(T_Voluntarios[[#This Row],[RUN]],BBDD[],23,FALSE)</f>
        <v>Virginia Arias +56979969754</v>
      </c>
      <c r="Q46" s="2" t="str">
        <f>IF(VLOOKUP(T_Voluntarios[[#This Row],[RUN]],BBDD[],27,FALSE)=0,"",VLOOKUP(T_Voluntarios[[#This Row],[RUN]],BBDD[],27,FALSE))</f>
        <v/>
      </c>
      <c r="R46" s="2" t="str">
        <f>VLOOKUP(T_Voluntarios[[#This Row],[RUN]],BBDD[],36,FALSE)</f>
        <v>https://drive.google.com/open?id=1u1kfEgcJU8FdB4wpPPpswZH49bLSaHPA</v>
      </c>
      <c r="S46" s="2" t="str">
        <f>VLOOKUP(T_Voluntarios[[#This Row],[RUN]],BBDD[],16,FALSE)</f>
        <v>Inicial</v>
      </c>
      <c r="T46" s="2" t="str">
        <f>VLOOKUP(T_Voluntarios[[#This Row],[RUN]],BBDD[],17,FALSE)</f>
        <v>Ninguno</v>
      </c>
      <c r="U46" s="2" t="str">
        <f>VLOOKUP(T_Voluntarios[[#This Row],[RUN]],BBDD[],18,FALSE)</f>
        <v>Ninguno</v>
      </c>
      <c r="V46" s="2" t="str">
        <f>VLOOKUP(T_Voluntarios[[#This Row],[RUN]],BBDD[],19,FALSE)</f>
        <v>Ninguno</v>
      </c>
      <c r="W46" s="13" t="str">
        <f>IF(OR(T_Voluntarios[[#This Row],[ROL]]="Formador(a)"),"SI","NO")</f>
        <v>NO</v>
      </c>
      <c r="X46" s="13" t="str">
        <f>IF(ISERROR(VLOOKUP(T_Voluntarios[[#This Row],[RUN]],BBDD_Formadores[],15,FALSE)),"NO",VLOOKUP(T_Voluntarios[[#This Row],[RUN]],BBDD_Formadores[],15,FALSE))</f>
        <v>NO</v>
      </c>
      <c r="Y46" s="13" t="str">
        <f>IF(ISERROR(VLOOKUP(T_Voluntarios[[#This Row],[RUN]],BBDD_Formadores[],16,FALSE)),"NO",VLOOKUP(T_Voluntarios[[#This Row],[RUN]],BBDD_Formadores[],16,FALSE))</f>
        <v>NO</v>
      </c>
      <c r="Z46" s="13" t="str">
        <f>IF(ISERROR(VLOOKUP(T_Voluntarios[[#This Row],[RUN]],BBDD_Formadores[],17,FALSE)),"NO",VLOOKUP(T_Voluntarios[[#This Row],[RUN]],BBDD_Formadores[],17,FALSE))</f>
        <v>NO</v>
      </c>
      <c r="AA46" s="13" t="str">
        <f>IF(ISERROR(VLOOKUP(T_Voluntarios[[#This Row],[RUN]],BBDD_Formadores[],18,FALSE)),"NO",VLOOKUP(T_Voluntarios[[#This Row],[RUN]],BBDD_Formadores[],18,FALSE))</f>
        <v>NO</v>
      </c>
      <c r="AB46" s="13">
        <v>1</v>
      </c>
      <c r="AC46" s="13" t="s">
        <v>1</v>
      </c>
      <c r="AD46" s="13" t="s">
        <v>77</v>
      </c>
      <c r="AF46" s="2" t="str">
        <f>IF(VLOOKUP(T_Voluntarios[[#This Row],[RUN]],BBDD[],25,FALSE)=0,"",VLOOKUP(T_Voluntarios[[#This Row],[RUN]],BBDD[],25,FALSE))</f>
        <v/>
      </c>
      <c r="AG46" s="2" t="str">
        <f>IF(VLOOKUP(T_Voluntarios[[#This Row],[RUN]],BBDD[],26,FALSE)=0,"",VLOOKUP(T_Voluntarios[[#This Row],[RUN]],BBDD[],26,FALSE))</f>
        <v/>
      </c>
      <c r="AH46" s="2" t="str">
        <f>IF(VLOOKUP(T_Voluntarios[[#This Row],[RUN]],BBDD[],24,FALSE)=0,"",VLOOKUP(T_Voluntarios[[#This Row],[RUN]],BBDD[],24,FALSE))</f>
        <v/>
      </c>
      <c r="AI46" s="13" t="str">
        <f>VLOOKUP(T_Voluntarios[[#This Row],[RUN]],BBDD[],28,FALSE)</f>
        <v>SI</v>
      </c>
      <c r="AJ46" s="13" t="str">
        <f>VLOOKUP(T_Voluntarios[[#This Row],[RUN]],BBDD[],28,FALSE)</f>
        <v>SI</v>
      </c>
      <c r="AK46" s="32">
        <f>IF(T_Voluntarios[[#This Row],[ROL]]="Participante",SUMIFS(T_Cuotas[[#All],[Total]],T_Cuotas[[#All],[RUN]],T_Voluntarios[[#This Row],[RUN]]),-1)</f>
        <v>36500</v>
      </c>
      <c r="AL46" s="13" t="s">
        <v>1</v>
      </c>
      <c r="AM46" s="13" t="s">
        <v>2029</v>
      </c>
      <c r="AP46" s="2" t="str">
        <f>MID(T_Voluntarios[[#This Row],[E_MAIL]],SEARCH("@",T_Voluntarios[[#This Row],[E_MAIL]],1),LEN(T_Voluntarios[[#This Row],[E_MAIL]]))</f>
        <v>@gmail.com</v>
      </c>
      <c r="AQ46" s="13" t="str">
        <f>VLOOKUP(T_Voluntarios[[#This Row],[RUN]],BBDD[],37,FALSE)</f>
        <v>21</v>
      </c>
      <c r="AR46" s="2" t="str">
        <f>VLOOKUP(T_Voluntarios[[#This Row],[RUN]],BBDD[],29,FALSE)</f>
        <v>Estudiante</v>
      </c>
      <c r="AS46" s="2" t="str">
        <f>VLOOKUP(T_Voluntarios[[#This Row],[RUN]],BBDD[],30,FALSE)</f>
        <v>10 años</v>
      </c>
      <c r="AT46" s="2" t="str">
        <f>VLOOKUP(T_Voluntarios[[#This Row],[RUN]],BBDD[],31,FALSE)</f>
        <v>1 semestre y medio</v>
      </c>
      <c r="AU46" s="2" t="str">
        <f>VLOOKUP(T_Voluntarios[[#This Row],[RUN]],BBDD[],32,FALSE)</f>
        <v>Soltero(a)</v>
      </c>
      <c r="AV46" s="2" t="str">
        <f>VLOOKUP(T_Voluntarios[[#This Row],[RUN]],BBDD[],33,FALSE)</f>
        <v>Ninguna</v>
      </c>
      <c r="AW46" s="2" t="str">
        <f>VLOOKUP(T_Voluntarios[[#This Row],[RUN]],BBDD[],34,FALSE)</f>
        <v>Santi</v>
      </c>
      <c r="AX46" s="13" t="s">
        <v>733</v>
      </c>
      <c r="AY46" s="76">
        <f>VLOOKUP(T_Voluntarios[[#This Row],[RUN]],BBDD[],2,FALSE)</f>
        <v>45781.855414814818</v>
      </c>
      <c r="AZ46" s="13" t="s">
        <v>3403</v>
      </c>
    </row>
    <row r="47" spans="1:52" ht="14.4" x14ac:dyDescent="0.3">
      <c r="A47" t="s">
        <v>1224</v>
      </c>
      <c r="B47" s="2" t="str">
        <f>VLOOKUP(T_Voluntarios[[#This Row],[RUN]],BBDD[],3,FALSE)</f>
        <v>birlita2425@gmail.com</v>
      </c>
      <c r="C47" s="2" t="str">
        <f>VLOOKUP(T_Voluntarios[[#This Row],[RUN]],BBDD[],4,FALSE)</f>
        <v>Berlangue Carolaine Weisser Caniumil</v>
      </c>
      <c r="D47" s="16">
        <f>VLOOKUP(T_Voluntarios[[#This Row],[RUN]],BBDD[],5,FALSE)</f>
        <v>32563</v>
      </c>
      <c r="E47" s="2" t="str">
        <f>VLOOKUP(T_Voluntarios[[#This Row],[RUN]],BBDD[],6,FALSE)</f>
        <v>Población porvenir pasaje 21 casa 2916 chiguayante</v>
      </c>
      <c r="F47" s="2" t="str">
        <f>VLOOKUP(T_Voluntarios[[#This Row],[RUN]],BBDD[],7,FALSE)</f>
        <v>Chiguayante</v>
      </c>
      <c r="G47" s="2" t="str">
        <f>VLOOKUP(T_Voluntarios[[#This Row],[RUN]],BBDD[],8,FALSE)</f>
        <v>Celular</v>
      </c>
      <c r="H47" s="2" t="str">
        <f>IF(VLOOKUP(T_Voluntarios[[#This Row],[RUN]],BBDD[],9,FALSE)=0,"Falta",VLOOKUP(T_Voluntarios[[#This Row],[RUN]],BBDD[],9,FALSE))</f>
        <v>+56984087831</v>
      </c>
      <c r="I47" s="2" t="str">
        <f>VLOOKUP(T_Voluntarios[[#This Row],[RUN]],BBDD[],10,FALSE)</f>
        <v>Participante</v>
      </c>
      <c r="J47" s="2" t="str">
        <f>VLOOKUP(T_Voluntarios[[#This Row],[RUN]],BBDD[],11,FALSE)</f>
        <v>Rucapeñihue</v>
      </c>
      <c r="K47" s="2" t="str">
        <f>VLOOKUP(T_Voluntarios[[#This Row],[RUN]],BBDD[],12,FALSE)</f>
        <v>Lobatos</v>
      </c>
      <c r="L47" s="2" t="str">
        <f>VLOOKUP(T_Voluntarios[[#This Row],[RUN]],BBDD[],15,FALSE)</f>
        <v>Concepción</v>
      </c>
      <c r="M47" s="2" t="str">
        <f>VLOOKUP(T_Voluntarios[[#This Row],[RUN]],BBDD[],20,FALSE)</f>
        <v>Sin Almuerzo</v>
      </c>
      <c r="N47" s="2" t="str">
        <f>VLOOKUP(T_Voluntarios[[#This Row],[RUN]],BBDD[],21,FALSE)</f>
        <v>Ninguna</v>
      </c>
      <c r="O47" s="2" t="str">
        <f>VLOOKUP(T_Voluntarios[[#This Row],[RUN]],BBDD[],22,FALSE)</f>
        <v>Ninguna</v>
      </c>
      <c r="P47" s="2" t="str">
        <f>VLOOKUP(T_Voluntarios[[#This Row],[RUN]],BBDD[],23,FALSE)</f>
        <v>Ronald , 934324705</v>
      </c>
      <c r="Q47" s="2" t="str">
        <f>IF(VLOOKUP(T_Voluntarios[[#This Row],[RUN]],BBDD[],27,FALSE)=0,"",VLOOKUP(T_Voluntarios[[#This Row],[RUN]],BBDD[],27,FALSE))</f>
        <v/>
      </c>
      <c r="R47" s="2" t="str">
        <f>VLOOKUP(T_Voluntarios[[#This Row],[RUN]],BBDD[],36,FALSE)</f>
        <v>https://drive.google.com/open?id=11aZ-_U-6QnY_YuJfgUS3C2RhGl64XUsJ</v>
      </c>
      <c r="S47" s="2" t="str">
        <f>VLOOKUP(T_Voluntarios[[#This Row],[RUN]],BBDD[],16,FALSE)</f>
        <v>Inicial</v>
      </c>
      <c r="T47" s="2" t="str">
        <f>VLOOKUP(T_Voluntarios[[#This Row],[RUN]],BBDD[],17,FALSE)</f>
        <v>Ninguno</v>
      </c>
      <c r="U47" s="2" t="str">
        <f>VLOOKUP(T_Voluntarios[[#This Row],[RUN]],BBDD[],18,FALSE)</f>
        <v>Ninguno</v>
      </c>
      <c r="V47" s="2" t="str">
        <f>VLOOKUP(T_Voluntarios[[#This Row],[RUN]],BBDD[],19,FALSE)</f>
        <v>Ninguno</v>
      </c>
      <c r="W47" s="13" t="str">
        <f>IF(OR(T_Voluntarios[[#This Row],[ROL]]="Formador(a)"),"SI","NO")</f>
        <v>NO</v>
      </c>
      <c r="X47" s="13" t="str">
        <f>IF(ISERROR(VLOOKUP(T_Voluntarios[[#This Row],[RUN]],BBDD_Formadores[],15,FALSE)),"NO",VLOOKUP(T_Voluntarios[[#This Row],[RUN]],BBDD_Formadores[],15,FALSE))</f>
        <v>NO</v>
      </c>
      <c r="Y47" s="13" t="str">
        <f>IF(ISERROR(VLOOKUP(T_Voluntarios[[#This Row],[RUN]],BBDD_Formadores[],16,FALSE)),"NO",VLOOKUP(T_Voluntarios[[#This Row],[RUN]],BBDD_Formadores[],16,FALSE))</f>
        <v>NO</v>
      </c>
      <c r="Z47" s="13" t="str">
        <f>IF(ISERROR(VLOOKUP(T_Voluntarios[[#This Row],[RUN]],BBDD_Formadores[],17,FALSE)),"NO",VLOOKUP(T_Voluntarios[[#This Row],[RUN]],BBDD_Formadores[],17,FALSE))</f>
        <v>NO</v>
      </c>
      <c r="AA47" s="13" t="str">
        <f>IF(ISERROR(VLOOKUP(T_Voluntarios[[#This Row],[RUN]],BBDD_Formadores[],18,FALSE)),"NO",VLOOKUP(T_Voluntarios[[#This Row],[RUN]],BBDD_Formadores[],18,FALSE))</f>
        <v>NO</v>
      </c>
      <c r="AB47" s="13">
        <v>1</v>
      </c>
      <c r="AC47" s="13" t="s">
        <v>1597</v>
      </c>
      <c r="AD47" s="13" t="s">
        <v>78</v>
      </c>
      <c r="AF47" s="2" t="str">
        <f>IF(VLOOKUP(T_Voluntarios[[#This Row],[RUN]],BBDD[],25,FALSE)=0,"",VLOOKUP(T_Voluntarios[[#This Row],[RUN]],BBDD[],25,FALSE))</f>
        <v>Kia</v>
      </c>
      <c r="AG47" s="2" t="str">
        <f>IF(VLOOKUP(T_Voluntarios[[#This Row],[RUN]],BBDD[],26,FALSE)=0,"",VLOOKUP(T_Voluntarios[[#This Row],[RUN]],BBDD[],26,FALSE))</f>
        <v>Sportage</v>
      </c>
      <c r="AH47" s="2" t="str">
        <f>IF(VLOOKUP(T_Voluntarios[[#This Row],[RUN]],BBDD[],24,FALSE)=0,"",VLOOKUP(T_Voluntarios[[#This Row],[RUN]],BBDD[],24,FALSE))</f>
        <v>Pglr19</v>
      </c>
      <c r="AI47" s="13" t="str">
        <f>VLOOKUP(T_Voluntarios[[#This Row],[RUN]],BBDD[],28,FALSE)</f>
        <v>SI</v>
      </c>
      <c r="AJ47" s="13" t="str">
        <f>VLOOKUP(T_Voluntarios[[#This Row],[RUN]],BBDD[],28,FALSE)</f>
        <v>SI</v>
      </c>
      <c r="AK47" s="32">
        <f>IF(T_Voluntarios[[#This Row],[ROL]]="Participante",SUMIFS(T_Cuotas[[#All],[Total]],T_Cuotas[[#All],[RUN]],T_Voluntarios[[#This Row],[RUN]]),-1)</f>
        <v>0</v>
      </c>
      <c r="AL47" s="1" t="s">
        <v>78</v>
      </c>
      <c r="AM47" s="13" t="s">
        <v>733</v>
      </c>
      <c r="AP47" s="2" t="str">
        <f>MID(T_Voluntarios[[#This Row],[E_MAIL]],SEARCH("@",T_Voluntarios[[#This Row],[E_MAIL]],1),LEN(T_Voluntarios[[#This Row],[E_MAIL]]))</f>
        <v>@gmail.com</v>
      </c>
      <c r="AQ47" s="13" t="str">
        <f>VLOOKUP(T_Voluntarios[[#This Row],[RUN]],BBDD[],37,FALSE)</f>
        <v>36</v>
      </c>
      <c r="AR47" s="2" t="str">
        <f>VLOOKUP(T_Voluntarios[[#This Row],[RUN]],BBDD[],29,FALSE)</f>
        <v>Tecnico parvulo</v>
      </c>
      <c r="AS47" s="2" t="str">
        <f>VLOOKUP(T_Voluntarios[[#This Row],[RUN]],BBDD[],30,FALSE)</f>
        <v>No fui beneficiaria</v>
      </c>
      <c r="AT47" s="2" t="str">
        <f>VLOOKUP(T_Voluntarios[[#This Row],[RUN]],BBDD[],31,FALSE)</f>
        <v>8 años fundacion integra, rucapeñihue lobatos  4 meses</v>
      </c>
      <c r="AU47" s="2" t="str">
        <f>VLOOKUP(T_Voluntarios[[#This Row],[RUN]],BBDD[],32,FALSE)</f>
        <v>Soltero(a)</v>
      </c>
      <c r="AV47" s="2" t="str">
        <f>VLOOKUP(T_Voluntarios[[#This Row],[RUN]],BBDD[],33,FALSE)</f>
        <v>Catolica</v>
      </c>
      <c r="AW47" s="2" t="str">
        <f>VLOOKUP(T_Voluntarios[[#This Row],[RUN]],BBDD[],34,FALSE)</f>
        <v>Berlan</v>
      </c>
      <c r="AX47" s="13" t="s">
        <v>733</v>
      </c>
      <c r="AY47" s="76">
        <f>VLOOKUP(T_Voluntarios[[#This Row],[RUN]],BBDD[],2,FALSE)</f>
        <v>45781.85869957562</v>
      </c>
      <c r="AZ47" s="13" t="s">
        <v>2</v>
      </c>
    </row>
    <row r="48" spans="1:52" ht="14.4" x14ac:dyDescent="0.3">
      <c r="A48" t="s">
        <v>1558</v>
      </c>
      <c r="B48" s="2" t="str">
        <f>VLOOKUP(T_Voluntarios[[#This Row],[RUN]],BBDD[],3,FALSE)</f>
        <v>diego.henriquez.valenzuela@gmail.com</v>
      </c>
      <c r="C48" s="2" t="str">
        <f>VLOOKUP(T_Voluntarios[[#This Row],[RUN]],BBDD[],4,FALSE)</f>
        <v>Diego Henríquez Valenzuela</v>
      </c>
      <c r="D48" s="16">
        <f>VLOOKUP(T_Voluntarios[[#This Row],[RUN]],BBDD[],5,FALSE)</f>
        <v>36078</v>
      </c>
      <c r="E48" s="2" t="str">
        <f>VLOOKUP(T_Voluntarios[[#This Row],[RUN]],BBDD[],6,FALSE)</f>
        <v>Chacabuco 882</v>
      </c>
      <c r="F48" s="2" t="str">
        <f>VLOOKUP(T_Voluntarios[[#This Row],[RUN]],BBDD[],7,FALSE)</f>
        <v>Concepción</v>
      </c>
      <c r="G48" s="2" t="str">
        <f>VLOOKUP(T_Voluntarios[[#This Row],[RUN]],BBDD[],8,FALSE)</f>
        <v>Celular</v>
      </c>
      <c r="H48" s="2" t="str">
        <f>IF(VLOOKUP(T_Voluntarios[[#This Row],[RUN]],BBDD[],9,FALSE)=0,"Falta",VLOOKUP(T_Voluntarios[[#This Row],[RUN]],BBDD[],9,FALSE))</f>
        <v>+56978893177</v>
      </c>
      <c r="I48" s="2" t="str">
        <f>VLOOKUP(T_Voluntarios[[#This Row],[RUN]],BBDD[],10,FALSE)</f>
        <v>Participante</v>
      </c>
      <c r="J48" s="2" t="str">
        <f>VLOOKUP(T_Voluntarios[[#This Row],[RUN]],BBDD[],11,FALSE)</f>
        <v>Rucapeñihue</v>
      </c>
      <c r="K48" s="2" t="str">
        <f>VLOOKUP(T_Voluntarios[[#This Row],[RUN]],BBDD[],12,FALSE)</f>
        <v>Caminantes</v>
      </c>
      <c r="L48" s="2" t="str">
        <f>VLOOKUP(T_Voluntarios[[#This Row],[RUN]],BBDD[],15,FALSE)</f>
        <v>Concepción</v>
      </c>
      <c r="M48" s="2" t="str">
        <f>VLOOKUP(T_Voluntarios[[#This Row],[RUN]],BBDD[],20,FALSE)</f>
        <v>Sin Almuerzo</v>
      </c>
      <c r="N48" s="2" t="str">
        <f>VLOOKUP(T_Voluntarios[[#This Row],[RUN]],BBDD[],21,FALSE)</f>
        <v>Alergia a las nueces</v>
      </c>
      <c r="O48" s="2" t="str">
        <f>VLOOKUP(T_Voluntarios[[#This Row],[RUN]],BBDD[],22,FALSE)</f>
        <v>Ninguna</v>
      </c>
      <c r="P48" s="2" t="str">
        <f>VLOOKUP(T_Voluntarios[[#This Row],[RUN]],BBDD[],23,FALSE)</f>
        <v>Marcela Valenzuela, +56982348332</v>
      </c>
      <c r="Q48" s="2" t="str">
        <f>IF(VLOOKUP(T_Voluntarios[[#This Row],[RUN]],BBDD[],27,FALSE)=0,"",VLOOKUP(T_Voluntarios[[#This Row],[RUN]],BBDD[],27,FALSE))</f>
        <v/>
      </c>
      <c r="R48" s="2" t="str">
        <f>VLOOKUP(T_Voluntarios[[#This Row],[RUN]],BBDD[],36,FALSE)</f>
        <v>https://drive.google.com/open?id=1vKksIdNliZPULlya4FmfDh6fmlsyOAZ3</v>
      </c>
      <c r="S48" s="2" t="str">
        <f>VLOOKUP(T_Voluntarios[[#This Row],[RUN]],BBDD[],16,FALSE)</f>
        <v>Inicial</v>
      </c>
      <c r="T48" s="2" t="str">
        <f>VLOOKUP(T_Voluntarios[[#This Row],[RUN]],BBDD[],17,FALSE)</f>
        <v>Ninguno</v>
      </c>
      <c r="U48" s="2" t="str">
        <f>VLOOKUP(T_Voluntarios[[#This Row],[RUN]],BBDD[],18,FALSE)</f>
        <v>Ninguno</v>
      </c>
      <c r="V48" s="2" t="str">
        <f>VLOOKUP(T_Voluntarios[[#This Row],[RUN]],BBDD[],19,FALSE)</f>
        <v>Ninguno</v>
      </c>
      <c r="W48" s="13" t="str">
        <f>IF(OR(T_Voluntarios[[#This Row],[ROL]]="Formador(a)"),"SI","NO")</f>
        <v>NO</v>
      </c>
      <c r="X48" s="13" t="str">
        <f>IF(ISERROR(VLOOKUP(T_Voluntarios[[#This Row],[RUN]],BBDD_Formadores[],15,FALSE)),"NO",VLOOKUP(T_Voluntarios[[#This Row],[RUN]],BBDD_Formadores[],15,FALSE))</f>
        <v>NO</v>
      </c>
      <c r="Y48" s="13" t="str">
        <f>IF(ISERROR(VLOOKUP(T_Voluntarios[[#This Row],[RUN]],BBDD_Formadores[],16,FALSE)),"NO",VLOOKUP(T_Voluntarios[[#This Row],[RUN]],BBDD_Formadores[],16,FALSE))</f>
        <v>NO</v>
      </c>
      <c r="Z48" s="13" t="str">
        <f>IF(ISERROR(VLOOKUP(T_Voluntarios[[#This Row],[RUN]],BBDD_Formadores[],17,FALSE)),"NO",VLOOKUP(T_Voluntarios[[#This Row],[RUN]],BBDD_Formadores[],17,FALSE))</f>
        <v>NO</v>
      </c>
      <c r="AA48" s="13" t="str">
        <f>IF(ISERROR(VLOOKUP(T_Voluntarios[[#This Row],[RUN]],BBDD_Formadores[],18,FALSE)),"NO",VLOOKUP(T_Voluntarios[[#This Row],[RUN]],BBDD_Formadores[],18,FALSE))</f>
        <v>NO</v>
      </c>
      <c r="AB48" s="13">
        <v>1</v>
      </c>
      <c r="AC48" s="13" t="s">
        <v>1</v>
      </c>
      <c r="AD48" s="13" t="s">
        <v>77</v>
      </c>
      <c r="AF48" s="2" t="str">
        <f>IF(VLOOKUP(T_Voluntarios[[#This Row],[RUN]],BBDD[],25,FALSE)=0,"",VLOOKUP(T_Voluntarios[[#This Row],[RUN]],BBDD[],25,FALSE))</f>
        <v/>
      </c>
      <c r="AG48" s="2" t="str">
        <f>IF(VLOOKUP(T_Voluntarios[[#This Row],[RUN]],BBDD[],26,FALSE)=0,"",VLOOKUP(T_Voluntarios[[#This Row],[RUN]],BBDD[],26,FALSE))</f>
        <v/>
      </c>
      <c r="AH48" s="2" t="str">
        <f>IF(VLOOKUP(T_Voluntarios[[#This Row],[RUN]],BBDD[],24,FALSE)=0,"",VLOOKUP(T_Voluntarios[[#This Row],[RUN]],BBDD[],24,FALSE))</f>
        <v/>
      </c>
      <c r="AI48" s="13" t="str">
        <f>VLOOKUP(T_Voluntarios[[#This Row],[RUN]],BBDD[],28,FALSE)</f>
        <v>SI</v>
      </c>
      <c r="AJ48" s="13" t="str">
        <f>VLOOKUP(T_Voluntarios[[#This Row],[RUN]],BBDD[],28,FALSE)</f>
        <v>SI</v>
      </c>
      <c r="AK48" s="32">
        <f>IF(T_Voluntarios[[#This Row],[ROL]]="Participante",SUMIFS(T_Cuotas[[#All],[Total]],T_Cuotas[[#All],[RUN]],T_Voluntarios[[#This Row],[RUN]]),-1)</f>
        <v>36500</v>
      </c>
      <c r="AL48" s="13" t="s">
        <v>1</v>
      </c>
      <c r="AM48" s="13" t="s">
        <v>2029</v>
      </c>
      <c r="AP48" s="2" t="str">
        <f>MID(T_Voluntarios[[#This Row],[E_MAIL]],SEARCH("@",T_Voluntarios[[#This Row],[E_MAIL]],1),LEN(T_Voluntarios[[#This Row],[E_MAIL]]))</f>
        <v>@gmail.com</v>
      </c>
      <c r="AQ48" s="13" t="str">
        <f>VLOOKUP(T_Voluntarios[[#This Row],[RUN]],BBDD[],37,FALSE)</f>
        <v>26</v>
      </c>
      <c r="AR48" s="2" t="str">
        <f>VLOOKUP(T_Voluntarios[[#This Row],[RUN]],BBDD[],29,FALSE)</f>
        <v>Ingeniería civil informática</v>
      </c>
      <c r="AS48" s="2" t="str">
        <f>VLOOKUP(T_Voluntarios[[#This Row],[RUN]],BBDD[],30,FALSE)</f>
        <v>5 años y medio</v>
      </c>
      <c r="AT48" s="2" t="str">
        <f>VLOOKUP(T_Voluntarios[[#This Row],[RUN]],BBDD[],31,FALSE)</f>
        <v>1 año y medio</v>
      </c>
      <c r="AU48" s="2" t="str">
        <f>VLOOKUP(T_Voluntarios[[#This Row],[RUN]],BBDD[],32,FALSE)</f>
        <v>Soltero(a)</v>
      </c>
      <c r="AV48" s="2" t="str">
        <f>VLOOKUP(T_Voluntarios[[#This Row],[RUN]],BBDD[],33,FALSE)</f>
        <v>Ninguna</v>
      </c>
      <c r="AW48" s="2" t="str">
        <f>VLOOKUP(T_Voluntarios[[#This Row],[RUN]],BBDD[],34,FALSE)</f>
        <v>Diego</v>
      </c>
      <c r="AX48" s="13" t="s">
        <v>733</v>
      </c>
      <c r="AY48" s="76">
        <f>VLOOKUP(T_Voluntarios[[#This Row],[RUN]],BBDD[],2,FALSE)</f>
        <v>45781.911242631169</v>
      </c>
      <c r="AZ48" s="13" t="s">
        <v>3403</v>
      </c>
    </row>
    <row r="49" spans="1:52" ht="14.4" x14ac:dyDescent="0.3">
      <c r="A49" t="s">
        <v>1248</v>
      </c>
      <c r="B49" s="2" t="str">
        <f>VLOOKUP(T_Voluntarios[[#This Row],[RUN]],BBDD[],3,FALSE)</f>
        <v>kathyaf2004@gmail.com</v>
      </c>
      <c r="C49" s="2" t="str">
        <f>VLOOKUP(T_Voluntarios[[#This Row],[RUN]],BBDD[],4,FALSE)</f>
        <v>Katherine Jahel Acuña Farias</v>
      </c>
      <c r="D49" s="16">
        <f>VLOOKUP(T_Voluntarios[[#This Row],[RUN]],BBDD[],5,FALSE)</f>
        <v>38288</v>
      </c>
      <c r="E49" s="2" t="str">
        <f>VLOOKUP(T_Voluntarios[[#This Row],[RUN]],BBDD[],6,FALSE)</f>
        <v>Calle 6 4408</v>
      </c>
      <c r="F49" s="2" t="str">
        <f>VLOOKUP(T_Voluntarios[[#This Row],[RUN]],BBDD[],7,FALSE)</f>
        <v>Hualpén</v>
      </c>
      <c r="G49" s="2" t="str">
        <f>VLOOKUP(T_Voluntarios[[#This Row],[RUN]],BBDD[],8,FALSE)</f>
        <v>Celular</v>
      </c>
      <c r="H49" s="2" t="str">
        <f>IF(VLOOKUP(T_Voluntarios[[#This Row],[RUN]],BBDD[],9,FALSE)=0,"Falta",VLOOKUP(T_Voluntarios[[#This Row],[RUN]],BBDD[],9,FALSE))</f>
        <v>+56920403606</v>
      </c>
      <c r="I49" s="2" t="str">
        <f>VLOOKUP(T_Voluntarios[[#This Row],[RUN]],BBDD[],10,FALSE)</f>
        <v>Participante</v>
      </c>
      <c r="J49" s="2" t="str">
        <f>VLOOKUP(T_Voluntarios[[#This Row],[RUN]],BBDD[],11,FALSE)</f>
        <v>Santa Bárbara</v>
      </c>
      <c r="K49" s="2" t="str">
        <f>VLOOKUP(T_Voluntarios[[#This Row],[RUN]],BBDD[],12,FALSE)</f>
        <v>Scouts</v>
      </c>
      <c r="L49" s="2" t="str">
        <f>VLOOKUP(T_Voluntarios[[#This Row],[RUN]],BBDD[],15,FALSE)</f>
        <v>Rio Andalién</v>
      </c>
      <c r="M49" s="2" t="str">
        <f>VLOOKUP(T_Voluntarios[[#This Row],[RUN]],BBDD[],20,FALSE)</f>
        <v>Alimentación Tradicional</v>
      </c>
      <c r="N49" s="2" t="str">
        <f>VLOOKUP(T_Voluntarios[[#This Row],[RUN]],BBDD[],21,FALSE)</f>
        <v>Ninguna</v>
      </c>
      <c r="O49" s="2" t="str">
        <f>VLOOKUP(T_Voluntarios[[#This Row],[RUN]],BBDD[],22,FALSE)</f>
        <v>Movilidad poco limitada</v>
      </c>
      <c r="P49" s="2" t="str">
        <f>VLOOKUP(T_Voluntarios[[#This Row],[RUN]],BBDD[],23,FALSE)</f>
        <v>Exequiel Acuña +56953974086</v>
      </c>
      <c r="Q49" s="2" t="str">
        <f>IF(VLOOKUP(T_Voluntarios[[#This Row],[RUN]],BBDD[],27,FALSE)=0,"",VLOOKUP(T_Voluntarios[[#This Row],[RUN]],BBDD[],27,FALSE))</f>
        <v/>
      </c>
      <c r="R49" s="2" t="str">
        <f>VLOOKUP(T_Voluntarios[[#This Row],[RUN]],BBDD[],36,FALSE)</f>
        <v>https://drive.google.com/open?id=1KjtWP-_ZNkJvCu0KSie9hU6VRP7ETTaO</v>
      </c>
      <c r="S49" s="2" t="str">
        <f>VLOOKUP(T_Voluntarios[[#This Row],[RUN]],BBDD[],16,FALSE)</f>
        <v>Inicial</v>
      </c>
      <c r="T49" s="2" t="str">
        <f>VLOOKUP(T_Voluntarios[[#This Row],[RUN]],BBDD[],17,FALSE)</f>
        <v>Ninguno</v>
      </c>
      <c r="U49" s="2" t="str">
        <f>VLOOKUP(T_Voluntarios[[#This Row],[RUN]],BBDD[],18,FALSE)</f>
        <v>Ninguno</v>
      </c>
      <c r="V49" s="2" t="str">
        <f>VLOOKUP(T_Voluntarios[[#This Row],[RUN]],BBDD[],19,FALSE)</f>
        <v>Ninguno</v>
      </c>
      <c r="W49" s="13" t="str">
        <f>IF(OR(T_Voluntarios[[#This Row],[ROL]]="Formador(a)"),"SI","NO")</f>
        <v>NO</v>
      </c>
      <c r="X49" s="13" t="str">
        <f>IF(ISERROR(VLOOKUP(T_Voluntarios[[#This Row],[RUN]],BBDD_Formadores[],15,FALSE)),"NO",VLOOKUP(T_Voluntarios[[#This Row],[RUN]],BBDD_Formadores[],15,FALSE))</f>
        <v>NO</v>
      </c>
      <c r="Y49" s="13" t="str">
        <f>IF(ISERROR(VLOOKUP(T_Voluntarios[[#This Row],[RUN]],BBDD_Formadores[],16,FALSE)),"NO",VLOOKUP(T_Voluntarios[[#This Row],[RUN]],BBDD_Formadores[],16,FALSE))</f>
        <v>NO</v>
      </c>
      <c r="Z49" s="13" t="str">
        <f>IF(ISERROR(VLOOKUP(T_Voluntarios[[#This Row],[RUN]],BBDD_Formadores[],17,FALSE)),"NO",VLOOKUP(T_Voluntarios[[#This Row],[RUN]],BBDD_Formadores[],17,FALSE))</f>
        <v>NO</v>
      </c>
      <c r="AA49" s="13" t="str">
        <f>IF(ISERROR(VLOOKUP(T_Voluntarios[[#This Row],[RUN]],BBDD_Formadores[],18,FALSE)),"NO",VLOOKUP(T_Voluntarios[[#This Row],[RUN]],BBDD_Formadores[],18,FALSE))</f>
        <v>NO</v>
      </c>
      <c r="AB49" s="13">
        <v>1</v>
      </c>
      <c r="AC49" s="13" t="s">
        <v>1</v>
      </c>
      <c r="AD49" s="13" t="s">
        <v>77</v>
      </c>
      <c r="AF49" s="2" t="str">
        <f>IF(VLOOKUP(T_Voluntarios[[#This Row],[RUN]],BBDD[],25,FALSE)=0,"",VLOOKUP(T_Voluntarios[[#This Row],[RUN]],BBDD[],25,FALSE))</f>
        <v/>
      </c>
      <c r="AG49" s="2" t="str">
        <f>IF(VLOOKUP(T_Voluntarios[[#This Row],[RUN]],BBDD[],26,FALSE)=0,"",VLOOKUP(T_Voluntarios[[#This Row],[RUN]],BBDD[],26,FALSE))</f>
        <v/>
      </c>
      <c r="AH49" s="2" t="str">
        <f>IF(VLOOKUP(T_Voluntarios[[#This Row],[RUN]],BBDD[],24,FALSE)=0,"",VLOOKUP(T_Voluntarios[[#This Row],[RUN]],BBDD[],24,FALSE))</f>
        <v/>
      </c>
      <c r="AI49" s="13" t="str">
        <f>VLOOKUP(T_Voluntarios[[#This Row],[RUN]],BBDD[],28,FALSE)</f>
        <v>SI</v>
      </c>
      <c r="AJ49" s="13" t="str">
        <f>VLOOKUP(T_Voluntarios[[#This Row],[RUN]],BBDD[],28,FALSE)</f>
        <v>SI</v>
      </c>
      <c r="AK49" s="32">
        <f>IF(T_Voluntarios[[#This Row],[ROL]]="Participante",SUMIFS(T_Cuotas[[#All],[Total]],T_Cuotas[[#All],[RUN]],T_Voluntarios[[#This Row],[RUN]]),-1)</f>
        <v>50000</v>
      </c>
      <c r="AL49" s="13" t="s">
        <v>2</v>
      </c>
      <c r="AM49" s="13" t="s">
        <v>2029</v>
      </c>
      <c r="AP49" s="2" t="str">
        <f>MID(T_Voluntarios[[#This Row],[E_MAIL]],SEARCH("@",T_Voluntarios[[#This Row],[E_MAIL]],1),LEN(T_Voluntarios[[#This Row],[E_MAIL]]))</f>
        <v>@gmail.com</v>
      </c>
      <c r="AQ49" s="13" t="str">
        <f>VLOOKUP(T_Voluntarios[[#This Row],[RUN]],BBDD[],37,FALSE)</f>
        <v>20</v>
      </c>
      <c r="AR49" s="2" t="str">
        <f>VLOOKUP(T_Voluntarios[[#This Row],[RUN]],BBDD[],29,FALSE)</f>
        <v>Estudiante</v>
      </c>
      <c r="AS49" s="2" t="str">
        <f>VLOOKUP(T_Voluntarios[[#This Row],[RUN]],BBDD[],30,FALSE)</f>
        <v>10 años</v>
      </c>
      <c r="AT49" s="2" t="str">
        <f>VLOOKUP(T_Voluntarios[[#This Row],[RUN]],BBDD[],31,FALSE)</f>
        <v>1 mes</v>
      </c>
      <c r="AU49" s="2" t="str">
        <f>VLOOKUP(T_Voluntarios[[#This Row],[RUN]],BBDD[],32,FALSE)</f>
        <v>Soltero(a)</v>
      </c>
      <c r="AV49" s="2" t="str">
        <f>VLOOKUP(T_Voluntarios[[#This Row],[RUN]],BBDD[],33,FALSE)</f>
        <v>Ninguna</v>
      </c>
      <c r="AW49" s="2" t="str">
        <f>VLOOKUP(T_Voluntarios[[#This Row],[RUN]],BBDD[],34,FALSE)</f>
        <v>Kathy</v>
      </c>
      <c r="AX49" s="13" t="s">
        <v>733</v>
      </c>
      <c r="AY49" s="76">
        <f>VLOOKUP(T_Voluntarios[[#This Row],[RUN]],BBDD[],2,FALSE)</f>
        <v>45782.523056481485</v>
      </c>
      <c r="AZ49" s="13" t="s">
        <v>3403</v>
      </c>
    </row>
    <row r="50" spans="1:52" ht="14.4" x14ac:dyDescent="0.3">
      <c r="A50" t="s">
        <v>1257</v>
      </c>
      <c r="B50" s="2" t="str">
        <f>VLOOKUP(T_Voluntarios[[#This Row],[RUN]],BBDD[],3,FALSE)</f>
        <v>catalinatorresmunoz@gmail.com</v>
      </c>
      <c r="C50" s="2" t="str">
        <f>VLOOKUP(T_Voluntarios[[#This Row],[RUN]],BBDD[],4,FALSE)</f>
        <v>Catalina Torres Muñoz</v>
      </c>
      <c r="D50" s="16">
        <f>VLOOKUP(T_Voluntarios[[#This Row],[RUN]],BBDD[],5,FALSE)</f>
        <v>37372</v>
      </c>
      <c r="E50" s="2" t="str">
        <f>VLOOKUP(T_Voluntarios[[#This Row],[RUN]],BBDD[],6,FALSE)</f>
        <v>Los castaños 356, chiguayante</v>
      </c>
      <c r="F50" s="2" t="str">
        <f>VLOOKUP(T_Voluntarios[[#This Row],[RUN]],BBDD[],7,FALSE)</f>
        <v>Chiguayante</v>
      </c>
      <c r="G50" s="2" t="str">
        <f>VLOOKUP(T_Voluntarios[[#This Row],[RUN]],BBDD[],8,FALSE)</f>
        <v>Celular</v>
      </c>
      <c r="H50" s="2" t="str">
        <f>IF(VLOOKUP(T_Voluntarios[[#This Row],[RUN]],BBDD[],9,FALSE)=0,"Falta",VLOOKUP(T_Voluntarios[[#This Row],[RUN]],BBDD[],9,FALSE))</f>
        <v>+56990901635</v>
      </c>
      <c r="I50" s="2" t="str">
        <f>VLOOKUP(T_Voluntarios[[#This Row],[RUN]],BBDD[],10,FALSE)</f>
        <v>Participante</v>
      </c>
      <c r="J50" s="2" t="str">
        <f>VLOOKUP(T_Voluntarios[[#This Row],[RUN]],BBDD[],11,FALSE)</f>
        <v>Santa Bárbara</v>
      </c>
      <c r="K50" s="2" t="str">
        <f>VLOOKUP(T_Voluntarios[[#This Row],[RUN]],BBDD[],12,FALSE)</f>
        <v>Guias</v>
      </c>
      <c r="L50" s="2" t="str">
        <f>VLOOKUP(T_Voluntarios[[#This Row],[RUN]],BBDD[],15,FALSE)</f>
        <v>Rio Andalién</v>
      </c>
      <c r="M50" s="2" t="str">
        <f>VLOOKUP(T_Voluntarios[[#This Row],[RUN]],BBDD[],20,FALSE)</f>
        <v>Sin Almuerzo</v>
      </c>
      <c r="N50" s="2" t="str">
        <f>VLOOKUP(T_Voluntarios[[#This Row],[RUN]],BBDD[],21,FALSE)</f>
        <v>Ninguna</v>
      </c>
      <c r="O50" s="2" t="str">
        <f>VLOOKUP(T_Voluntarios[[#This Row],[RUN]],BBDD[],22,FALSE)</f>
        <v>Ninguna</v>
      </c>
      <c r="P50" s="2" t="str">
        <f>VLOOKUP(T_Voluntarios[[#This Row],[RUN]],BBDD[],23,FALSE)</f>
        <v>Damián torres +56952242094</v>
      </c>
      <c r="Q50" s="2" t="str">
        <f>IF(VLOOKUP(T_Voluntarios[[#This Row],[RUN]],BBDD[],27,FALSE)=0,"",VLOOKUP(T_Voluntarios[[#This Row],[RUN]],BBDD[],27,FALSE))</f>
        <v/>
      </c>
      <c r="R50" s="2" t="str">
        <f>VLOOKUP(T_Voluntarios[[#This Row],[RUN]],BBDD[],36,FALSE)</f>
        <v>https://drive.google.com/open?id=1G7vMmbBdZ6jm6xvHIDPV_e7XinGrK_1X</v>
      </c>
      <c r="S50" s="2" t="str">
        <f>VLOOKUP(T_Voluntarios[[#This Row],[RUN]],BBDD[],16,FALSE)</f>
        <v>Ninguno</v>
      </c>
      <c r="T50" s="2" t="str">
        <f>VLOOKUP(T_Voluntarios[[#This Row],[RUN]],BBDD[],17,FALSE)</f>
        <v>Ninguno</v>
      </c>
      <c r="U50" s="2" t="str">
        <f>VLOOKUP(T_Voluntarios[[#This Row],[RUN]],BBDD[],18,FALSE)</f>
        <v>Ninguno</v>
      </c>
      <c r="V50" s="2" t="str">
        <f>VLOOKUP(T_Voluntarios[[#This Row],[RUN]],BBDD[],19,FALSE)</f>
        <v>Ninguno</v>
      </c>
      <c r="W50" s="13" t="str">
        <f>IF(OR(T_Voluntarios[[#This Row],[ROL]]="Formador(a)"),"SI","NO")</f>
        <v>NO</v>
      </c>
      <c r="X50" s="13" t="str">
        <f>IF(ISERROR(VLOOKUP(T_Voluntarios[[#This Row],[RUN]],BBDD_Formadores[],15,FALSE)),"NO",VLOOKUP(T_Voluntarios[[#This Row],[RUN]],BBDD_Formadores[],15,FALSE))</f>
        <v>NO</v>
      </c>
      <c r="Y50" s="13" t="str">
        <f>IF(ISERROR(VLOOKUP(T_Voluntarios[[#This Row],[RUN]],BBDD_Formadores[],16,FALSE)),"NO",VLOOKUP(T_Voluntarios[[#This Row],[RUN]],BBDD_Formadores[],16,FALSE))</f>
        <v>NO</v>
      </c>
      <c r="Z50" s="13" t="str">
        <f>IF(ISERROR(VLOOKUP(T_Voluntarios[[#This Row],[RUN]],BBDD_Formadores[],17,FALSE)),"NO",VLOOKUP(T_Voluntarios[[#This Row],[RUN]],BBDD_Formadores[],17,FALSE))</f>
        <v>NO</v>
      </c>
      <c r="AA50" s="13" t="str">
        <f>IF(ISERROR(VLOOKUP(T_Voluntarios[[#This Row],[RUN]],BBDD_Formadores[],18,FALSE)),"NO",VLOOKUP(T_Voluntarios[[#This Row],[RUN]],BBDD_Formadores[],18,FALSE))</f>
        <v>NO</v>
      </c>
      <c r="AB50" s="13">
        <v>1</v>
      </c>
      <c r="AC50" s="13" t="s">
        <v>1</v>
      </c>
      <c r="AD50" s="13" t="s">
        <v>77</v>
      </c>
      <c r="AF50" s="2" t="str">
        <f>IF(VLOOKUP(T_Voluntarios[[#This Row],[RUN]],BBDD[],25,FALSE)=0,"",VLOOKUP(T_Voluntarios[[#This Row],[RUN]],BBDD[],25,FALSE))</f>
        <v/>
      </c>
      <c r="AG50" s="2" t="str">
        <f>IF(VLOOKUP(T_Voluntarios[[#This Row],[RUN]],BBDD[],26,FALSE)=0,"",VLOOKUP(T_Voluntarios[[#This Row],[RUN]],BBDD[],26,FALSE))</f>
        <v/>
      </c>
      <c r="AH50" s="2" t="str">
        <f>IF(VLOOKUP(T_Voluntarios[[#This Row],[RUN]],BBDD[],24,FALSE)=0,"",VLOOKUP(T_Voluntarios[[#This Row],[RUN]],BBDD[],24,FALSE))</f>
        <v/>
      </c>
      <c r="AI50" s="13" t="str">
        <f>VLOOKUP(T_Voluntarios[[#This Row],[RUN]],BBDD[],28,FALSE)</f>
        <v>SI</v>
      </c>
      <c r="AJ50" s="13" t="str">
        <f>VLOOKUP(T_Voluntarios[[#This Row],[RUN]],BBDD[],28,FALSE)</f>
        <v>SI</v>
      </c>
      <c r="AK50" s="32">
        <f>IF(T_Voluntarios[[#This Row],[ROL]]="Participante",SUMIFS(T_Cuotas[[#All],[Total]],T_Cuotas[[#All],[RUN]],T_Voluntarios[[#This Row],[RUN]]),-1)</f>
        <v>36500</v>
      </c>
      <c r="AL50" s="13" t="s">
        <v>1</v>
      </c>
      <c r="AM50" s="13" t="s">
        <v>2029</v>
      </c>
      <c r="AP50" s="2" t="str">
        <f>MID(T_Voluntarios[[#This Row],[E_MAIL]],SEARCH("@",T_Voluntarios[[#This Row],[E_MAIL]],1),LEN(T_Voluntarios[[#This Row],[E_MAIL]]))</f>
        <v>@gmail.com</v>
      </c>
      <c r="AQ50" s="13" t="str">
        <f>VLOOKUP(T_Voluntarios[[#This Row],[RUN]],BBDD[],37,FALSE)</f>
        <v>23</v>
      </c>
      <c r="AR50" s="2" t="str">
        <f>VLOOKUP(T_Voluntarios[[#This Row],[RUN]],BBDD[],29,FALSE)</f>
        <v>Estudiante</v>
      </c>
      <c r="AS50" s="2" t="str">
        <f>VLOOKUP(T_Voluntarios[[#This Row],[RUN]],BBDD[],30,FALSE)</f>
        <v>7 años</v>
      </c>
      <c r="AT50" s="2" t="str">
        <f>VLOOKUP(T_Voluntarios[[#This Row],[RUN]],BBDD[],31,FALSE)</f>
        <v>3 años</v>
      </c>
      <c r="AU50" s="2" t="str">
        <f>VLOOKUP(T_Voluntarios[[#This Row],[RUN]],BBDD[],32,FALSE)</f>
        <v>Soltero(a)</v>
      </c>
      <c r="AV50" s="2" t="str">
        <f>VLOOKUP(T_Voluntarios[[#This Row],[RUN]],BBDD[],33,FALSE)</f>
        <v>Ninguna</v>
      </c>
      <c r="AW50" s="2" t="str">
        <f>VLOOKUP(T_Voluntarios[[#This Row],[RUN]],BBDD[],34,FALSE)</f>
        <v>Cata</v>
      </c>
      <c r="AX50" s="13" t="s">
        <v>733</v>
      </c>
      <c r="AY50" s="76">
        <f>VLOOKUP(T_Voluntarios[[#This Row],[RUN]],BBDD[],2,FALSE)</f>
        <v>45782.538603317902</v>
      </c>
      <c r="AZ50" s="13" t="s">
        <v>3403</v>
      </c>
    </row>
    <row r="51" spans="1:52" ht="14.4" x14ac:dyDescent="0.3">
      <c r="A51" t="s">
        <v>1264</v>
      </c>
      <c r="B51" s="2" t="str">
        <f>VLOOKUP(T_Voluntarios[[#This Row],[RUN]],BBDD[],3,FALSE)</f>
        <v>paulina86.fuentealba@gmail.com</v>
      </c>
      <c r="C51" s="2" t="str">
        <f>VLOOKUP(T_Voluntarios[[#This Row],[RUN]],BBDD[],4,FALSE)</f>
        <v>Paulina Andrea Fuentealba Gutiérrez</v>
      </c>
      <c r="D51" s="16">
        <f>VLOOKUP(T_Voluntarios[[#This Row],[RUN]],BBDD[],5,FALSE)</f>
        <v>31453</v>
      </c>
      <c r="E51" s="2" t="str">
        <f>VLOOKUP(T_Voluntarios[[#This Row],[RUN]],BBDD[],6,FALSE)</f>
        <v>Felipe cubillos #737 villa el rosario 2</v>
      </c>
      <c r="F51" s="2" t="str">
        <f>VLOOKUP(T_Voluntarios[[#This Row],[RUN]],BBDD[],7,FALSE)</f>
        <v>San Pedro De La Paz</v>
      </c>
      <c r="G51" s="2" t="str">
        <f>VLOOKUP(T_Voluntarios[[#This Row],[RUN]],BBDD[],8,FALSE)</f>
        <v>Celular</v>
      </c>
      <c r="H51" s="2" t="str">
        <f>IF(VLOOKUP(T_Voluntarios[[#This Row],[RUN]],BBDD[],9,FALSE)=0,"Falta",VLOOKUP(T_Voluntarios[[#This Row],[RUN]],BBDD[],9,FALSE))</f>
        <v>+56977088145</v>
      </c>
      <c r="I51" s="2" t="str">
        <f>VLOOKUP(T_Voluntarios[[#This Row],[RUN]],BBDD[],10,FALSE)</f>
        <v>Participante</v>
      </c>
      <c r="J51" s="2" t="str">
        <f>VLOOKUP(T_Voluntarios[[#This Row],[RUN]],BBDD[],11,FALSE)</f>
        <v>Huilliche</v>
      </c>
      <c r="K51" s="2" t="str">
        <f>VLOOKUP(T_Voluntarios[[#This Row],[RUN]],BBDD[],12,FALSE)</f>
        <v>Pioneros</v>
      </c>
      <c r="L51" s="2" t="str">
        <f>VLOOKUP(T_Voluntarios[[#This Row],[RUN]],BBDD[],15,FALSE)</f>
        <v>Nahuelbuta</v>
      </c>
      <c r="M51" s="2" t="str">
        <f>VLOOKUP(T_Voluntarios[[#This Row],[RUN]],BBDD[],20,FALSE)</f>
        <v>Alimentación Tradicional</v>
      </c>
      <c r="N51" s="2" t="str">
        <f>VLOOKUP(T_Voluntarios[[#This Row],[RUN]],BBDD[],21,FALSE)</f>
        <v>Ninguna</v>
      </c>
      <c r="O51" s="2" t="str">
        <f>VLOOKUP(T_Voluntarios[[#This Row],[RUN]],BBDD[],22,FALSE)</f>
        <v>Ninguna</v>
      </c>
      <c r="P51" s="2" t="str">
        <f>VLOOKUP(T_Voluntarios[[#This Row],[RUN]],BBDD[],23,FALSE)</f>
        <v>Patricio Garrido Contreras</v>
      </c>
      <c r="Q51" s="2" t="str">
        <f>IF(VLOOKUP(T_Voluntarios[[#This Row],[RUN]],BBDD[],27,FALSE)=0,"",VLOOKUP(T_Voluntarios[[#This Row],[RUN]],BBDD[],27,FALSE))</f>
        <v/>
      </c>
      <c r="R51" s="2" t="str">
        <f>VLOOKUP(T_Voluntarios[[#This Row],[RUN]],BBDD[],36,FALSE)</f>
        <v>https://drive.google.com/open?id=1iP9IVreAmK8UTr8MNcLx5BAGxuOVLTlM</v>
      </c>
      <c r="S51" s="2" t="str">
        <f>VLOOKUP(T_Voluntarios[[#This Row],[RUN]],BBDD[],16,FALSE)</f>
        <v>Inicial</v>
      </c>
      <c r="T51" s="2" t="str">
        <f>VLOOKUP(T_Voluntarios[[#This Row],[RUN]],BBDD[],17,FALSE)</f>
        <v>Ninguno</v>
      </c>
      <c r="U51" s="2" t="str">
        <f>VLOOKUP(T_Voluntarios[[#This Row],[RUN]],BBDD[],18,FALSE)</f>
        <v>Ninguno</v>
      </c>
      <c r="V51" s="2" t="str">
        <f>VLOOKUP(T_Voluntarios[[#This Row],[RUN]],BBDD[],19,FALSE)</f>
        <v>Ninguno</v>
      </c>
      <c r="W51" s="13" t="str">
        <f>IF(OR(T_Voluntarios[[#This Row],[ROL]]="Formador(a)"),"SI","NO")</f>
        <v>NO</v>
      </c>
      <c r="X51" s="13" t="str">
        <f>IF(ISERROR(VLOOKUP(T_Voluntarios[[#This Row],[RUN]],BBDD_Formadores[],15,FALSE)),"NO",VLOOKUP(T_Voluntarios[[#This Row],[RUN]],BBDD_Formadores[],15,FALSE))</f>
        <v>NO</v>
      </c>
      <c r="Y51" s="13" t="str">
        <f>IF(ISERROR(VLOOKUP(T_Voluntarios[[#This Row],[RUN]],BBDD_Formadores[],16,FALSE)),"NO",VLOOKUP(T_Voluntarios[[#This Row],[RUN]],BBDD_Formadores[],16,FALSE))</f>
        <v>NO</v>
      </c>
      <c r="Z51" s="13" t="str">
        <f>IF(ISERROR(VLOOKUP(T_Voluntarios[[#This Row],[RUN]],BBDD_Formadores[],17,FALSE)),"NO",VLOOKUP(T_Voluntarios[[#This Row],[RUN]],BBDD_Formadores[],17,FALSE))</f>
        <v>NO</v>
      </c>
      <c r="AA51" s="13" t="str">
        <f>IF(ISERROR(VLOOKUP(T_Voluntarios[[#This Row],[RUN]],BBDD_Formadores[],18,FALSE)),"NO",VLOOKUP(T_Voluntarios[[#This Row],[RUN]],BBDD_Formadores[],18,FALSE))</f>
        <v>NO</v>
      </c>
      <c r="AB51" s="13">
        <v>1</v>
      </c>
      <c r="AC51" s="13" t="s">
        <v>1</v>
      </c>
      <c r="AD51" s="13" t="s">
        <v>77</v>
      </c>
      <c r="AF51" s="2" t="str">
        <f>IF(VLOOKUP(T_Voluntarios[[#This Row],[RUN]],BBDD[],25,FALSE)=0,"",VLOOKUP(T_Voluntarios[[#This Row],[RUN]],BBDD[],25,FALSE))</f>
        <v>Chevrolet</v>
      </c>
      <c r="AG51" s="2" t="str">
        <f>IF(VLOOKUP(T_Voluntarios[[#This Row],[RUN]],BBDD[],26,FALSE)=0,"",VLOOKUP(T_Voluntarios[[#This Row],[RUN]],BBDD[],26,FALSE))</f>
        <v>CAMIONETA D MAX</v>
      </c>
      <c r="AH51" s="2" t="str">
        <f>IF(VLOOKUP(T_Voluntarios[[#This Row],[RUN]],BBDD[],24,FALSE)=0,"",VLOOKUP(T_Voluntarios[[#This Row],[RUN]],BBDD[],24,FALSE))</f>
        <v>FYHH98</v>
      </c>
      <c r="AI51" s="13" t="str">
        <f>VLOOKUP(T_Voluntarios[[#This Row],[RUN]],BBDD[],28,FALSE)</f>
        <v>No</v>
      </c>
      <c r="AJ51" s="13" t="str">
        <f>VLOOKUP(T_Voluntarios[[#This Row],[RUN]],BBDD[],28,FALSE)</f>
        <v>No</v>
      </c>
      <c r="AK51" s="32">
        <f>IF(T_Voluntarios[[#This Row],[ROL]]="Participante",SUMIFS(T_Cuotas[[#All],[Total]],T_Cuotas[[#All],[RUN]],T_Voluntarios[[#This Row],[RUN]]),-1)</f>
        <v>50000</v>
      </c>
      <c r="AL51" s="13" t="s">
        <v>1</v>
      </c>
      <c r="AM51" s="13" t="s">
        <v>2029</v>
      </c>
      <c r="AP51" s="2" t="str">
        <f>MID(T_Voluntarios[[#This Row],[E_MAIL]],SEARCH("@",T_Voluntarios[[#This Row],[E_MAIL]],1),LEN(T_Voluntarios[[#This Row],[E_MAIL]]))</f>
        <v>@gmail.com</v>
      </c>
      <c r="AQ51" s="13" t="str">
        <f>VLOOKUP(T_Voluntarios[[#This Row],[RUN]],BBDD[],37,FALSE)</f>
        <v>39</v>
      </c>
      <c r="AR51" s="2" t="str">
        <f>VLOOKUP(T_Voluntarios[[#This Row],[RUN]],BBDD[],29,FALSE)</f>
        <v>profesora</v>
      </c>
      <c r="AS51" s="2" t="str">
        <f>VLOOKUP(T_Voluntarios[[#This Row],[RUN]],BBDD[],30,FALSE)</f>
        <v>6 años</v>
      </c>
      <c r="AT51" s="2" t="str">
        <f>VLOOKUP(T_Voluntarios[[#This Row],[RUN]],BBDD[],31,FALSE)</f>
        <v>13 años</v>
      </c>
      <c r="AU51" s="2" t="str">
        <f>VLOOKUP(T_Voluntarios[[#This Row],[RUN]],BBDD[],32,FALSE)</f>
        <v>Casado(a)</v>
      </c>
      <c r="AV51" s="2" t="str">
        <f>VLOOKUP(T_Voluntarios[[#This Row],[RUN]],BBDD[],33,FALSE)</f>
        <v>Evangelica</v>
      </c>
      <c r="AW51" s="2" t="str">
        <f>VLOOKUP(T_Voluntarios[[#This Row],[RUN]],BBDD[],34,FALSE)</f>
        <v>Pauly</v>
      </c>
      <c r="AX51" s="13" t="s">
        <v>733</v>
      </c>
      <c r="AY51" s="76">
        <f>VLOOKUP(T_Voluntarios[[#This Row],[RUN]],BBDD[],2,FALSE)</f>
        <v>45782.644694405863</v>
      </c>
      <c r="AZ51" s="13" t="s">
        <v>3403</v>
      </c>
    </row>
    <row r="52" spans="1:52" ht="14.4" x14ac:dyDescent="0.3">
      <c r="A52" t="s">
        <v>1276</v>
      </c>
      <c r="B52" s="2" t="str">
        <f>VLOOKUP(T_Voluntarios[[#This Row],[RUN]],BBDD[],3,FALSE)</f>
        <v>tio0kta721@gmail.com</v>
      </c>
      <c r="C52" s="2" t="str">
        <f>VLOOKUP(T_Voluntarios[[#This Row],[RUN]],BBDD[],4,FALSE)</f>
        <v>Octavio Antonio Cortés Lara</v>
      </c>
      <c r="D52" s="16">
        <f>VLOOKUP(T_Voluntarios[[#This Row],[RUN]],BBDD[],5,FALSE)</f>
        <v>36422</v>
      </c>
      <c r="E52" s="2" t="str">
        <f>VLOOKUP(T_Voluntarios[[#This Row],[RUN]],BBDD[],6,FALSE)</f>
        <v>Pasaje Veintiuno casa 163 Villa cap</v>
      </c>
      <c r="F52" s="2" t="str">
        <f>VLOOKUP(T_Voluntarios[[#This Row],[RUN]],BBDD[],7,FALSE)</f>
        <v>Concepción</v>
      </c>
      <c r="G52" s="2" t="str">
        <f>VLOOKUP(T_Voluntarios[[#This Row],[RUN]],BBDD[],8,FALSE)</f>
        <v>Celular</v>
      </c>
      <c r="H52" s="2" t="str">
        <f>IF(VLOOKUP(T_Voluntarios[[#This Row],[RUN]],BBDD[],9,FALSE)=0,"Falta",VLOOKUP(T_Voluntarios[[#This Row],[RUN]],BBDD[],9,FALSE))</f>
        <v>+56944222693</v>
      </c>
      <c r="I52" s="2" t="str">
        <f>VLOOKUP(T_Voluntarios[[#This Row],[RUN]],BBDD[],10,FALSE)</f>
        <v>Participante</v>
      </c>
      <c r="J52" s="2" t="str">
        <f>VLOOKUP(T_Voluntarios[[#This Row],[RUN]],BBDD[],11,FALSE)</f>
        <v>San Ignacio de Loyola</v>
      </c>
      <c r="K52" s="2" t="str">
        <f>VLOOKUP(T_Voluntarios[[#This Row],[RUN]],BBDD[],12,FALSE)</f>
        <v>Pioneros</v>
      </c>
      <c r="L52" s="2" t="str">
        <f>VLOOKUP(T_Voluntarios[[#This Row],[RUN]],BBDD[],15,FALSE)</f>
        <v>Concepción</v>
      </c>
      <c r="M52" s="2" t="str">
        <f>VLOOKUP(T_Voluntarios[[#This Row],[RUN]],BBDD[],20,FALSE)</f>
        <v>Alimentación Tradicional</v>
      </c>
      <c r="N52" s="2" t="str">
        <f>VLOOKUP(T_Voluntarios[[#This Row],[RUN]],BBDD[],21,FALSE)</f>
        <v>Ninguna</v>
      </c>
      <c r="O52" s="2" t="str">
        <f>VLOOKUP(T_Voluntarios[[#This Row],[RUN]],BBDD[],22,FALSE)</f>
        <v>Ninguna</v>
      </c>
      <c r="P52" s="2" t="str">
        <f>VLOOKUP(T_Voluntarios[[#This Row],[RUN]],BBDD[],23,FALSE)</f>
        <v>Carolina Lara +56965964389</v>
      </c>
      <c r="Q52" s="2" t="str">
        <f>IF(VLOOKUP(T_Voluntarios[[#This Row],[RUN]],BBDD[],27,FALSE)=0,"",VLOOKUP(T_Voluntarios[[#This Row],[RUN]],BBDD[],27,FALSE))</f>
        <v/>
      </c>
      <c r="R52" s="2" t="str">
        <f>VLOOKUP(T_Voluntarios[[#This Row],[RUN]],BBDD[],36,FALSE)</f>
        <v>https://drive.google.com/open?id=1pndqZazLC8srjSK2jIOvEbpo-zr6zqzK</v>
      </c>
      <c r="S52" s="2" t="str">
        <f>VLOOKUP(T_Voluntarios[[#This Row],[RUN]],BBDD[],16,FALSE)</f>
        <v>Inicial</v>
      </c>
      <c r="T52" s="2" t="str">
        <f>VLOOKUP(T_Voluntarios[[#This Row],[RUN]],BBDD[],17,FALSE)</f>
        <v>Ninguno</v>
      </c>
      <c r="U52" s="2" t="str">
        <f>VLOOKUP(T_Voluntarios[[#This Row],[RUN]],BBDD[],18,FALSE)</f>
        <v>Ninguno</v>
      </c>
      <c r="V52" s="2" t="str">
        <f>VLOOKUP(T_Voluntarios[[#This Row],[RUN]],BBDD[],19,FALSE)</f>
        <v>Ninguno</v>
      </c>
      <c r="W52" s="13" t="str">
        <f>IF(OR(T_Voluntarios[[#This Row],[ROL]]="Formador(a)"),"SI","NO")</f>
        <v>NO</v>
      </c>
      <c r="X52" s="13" t="str">
        <f>IF(ISERROR(VLOOKUP(T_Voluntarios[[#This Row],[RUN]],BBDD_Formadores[],15,FALSE)),"NO",VLOOKUP(T_Voluntarios[[#This Row],[RUN]],BBDD_Formadores[],15,FALSE))</f>
        <v>NO</v>
      </c>
      <c r="Y52" s="13" t="str">
        <f>IF(ISERROR(VLOOKUP(T_Voluntarios[[#This Row],[RUN]],BBDD_Formadores[],16,FALSE)),"NO",VLOOKUP(T_Voluntarios[[#This Row],[RUN]],BBDD_Formadores[],16,FALSE))</f>
        <v>NO</v>
      </c>
      <c r="Z52" s="13" t="str">
        <f>IF(ISERROR(VLOOKUP(T_Voluntarios[[#This Row],[RUN]],BBDD_Formadores[],17,FALSE)),"NO",VLOOKUP(T_Voluntarios[[#This Row],[RUN]],BBDD_Formadores[],17,FALSE))</f>
        <v>NO</v>
      </c>
      <c r="AA52" s="13" t="str">
        <f>IF(ISERROR(VLOOKUP(T_Voluntarios[[#This Row],[RUN]],BBDD_Formadores[],18,FALSE)),"NO",VLOOKUP(T_Voluntarios[[#This Row],[RUN]],BBDD_Formadores[],18,FALSE))</f>
        <v>NO</v>
      </c>
      <c r="AB52" s="13">
        <v>1</v>
      </c>
      <c r="AC52" s="13" t="s">
        <v>1</v>
      </c>
      <c r="AD52" s="13" t="s">
        <v>77</v>
      </c>
      <c r="AF52" s="2" t="str">
        <f>IF(VLOOKUP(T_Voluntarios[[#This Row],[RUN]],BBDD[],25,FALSE)=0,"",VLOOKUP(T_Voluntarios[[#This Row],[RUN]],BBDD[],25,FALSE))</f>
        <v/>
      </c>
      <c r="AG52" s="2" t="str">
        <f>IF(VLOOKUP(T_Voluntarios[[#This Row],[RUN]],BBDD[],26,FALSE)=0,"",VLOOKUP(T_Voluntarios[[#This Row],[RUN]],BBDD[],26,FALSE))</f>
        <v/>
      </c>
      <c r="AH52" s="2" t="str">
        <f>IF(VLOOKUP(T_Voluntarios[[#This Row],[RUN]],BBDD[],24,FALSE)=0,"",VLOOKUP(T_Voluntarios[[#This Row],[RUN]],BBDD[],24,FALSE))</f>
        <v/>
      </c>
      <c r="AI52" s="13" t="str">
        <f>VLOOKUP(T_Voluntarios[[#This Row],[RUN]],BBDD[],28,FALSE)</f>
        <v>SI</v>
      </c>
      <c r="AJ52" s="13" t="str">
        <f>VLOOKUP(T_Voluntarios[[#This Row],[RUN]],BBDD[],28,FALSE)</f>
        <v>SI</v>
      </c>
      <c r="AK52" s="32">
        <f>IF(T_Voluntarios[[#This Row],[ROL]]="Participante",SUMIFS(T_Cuotas[[#All],[Total]],T_Cuotas[[#All],[RUN]],T_Voluntarios[[#This Row],[RUN]]),-1)</f>
        <v>50000</v>
      </c>
      <c r="AL52" s="13" t="s">
        <v>1</v>
      </c>
      <c r="AM52" s="13" t="s">
        <v>2029</v>
      </c>
      <c r="AP52" s="2" t="str">
        <f>MID(T_Voluntarios[[#This Row],[E_MAIL]],SEARCH("@",T_Voluntarios[[#This Row],[E_MAIL]],1),LEN(T_Voluntarios[[#This Row],[E_MAIL]]))</f>
        <v>@gmail.com</v>
      </c>
      <c r="AQ52" s="13" t="str">
        <f>VLOOKUP(T_Voluntarios[[#This Row],[RUN]],BBDD[],37,FALSE)</f>
        <v>25</v>
      </c>
      <c r="AR52" s="2" t="str">
        <f>VLOOKUP(T_Voluntarios[[#This Row],[RUN]],BBDD[],29,FALSE)</f>
        <v>Estudiante universitario</v>
      </c>
      <c r="AS52" s="2" t="str">
        <f>VLOOKUP(T_Voluntarios[[#This Row],[RUN]],BBDD[],30,FALSE)</f>
        <v>+10 años</v>
      </c>
      <c r="AT52" s="2" t="str">
        <f>VLOOKUP(T_Voluntarios[[#This Row],[RUN]],BBDD[],31,FALSE)</f>
        <v>+ 1 año</v>
      </c>
      <c r="AU52" s="2" t="str">
        <f>VLOOKUP(T_Voluntarios[[#This Row],[RUN]],BBDD[],32,FALSE)</f>
        <v>Soltero(a)</v>
      </c>
      <c r="AV52" s="2" t="str">
        <f>VLOOKUP(T_Voluntarios[[#This Row],[RUN]],BBDD[],33,FALSE)</f>
        <v>Ninguna</v>
      </c>
      <c r="AW52" s="2" t="str">
        <f>VLOOKUP(T_Voluntarios[[#This Row],[RUN]],BBDD[],34,FALSE)</f>
        <v>Okta</v>
      </c>
      <c r="AX52" s="13" t="s">
        <v>733</v>
      </c>
      <c r="AY52" s="76">
        <f>VLOOKUP(T_Voluntarios[[#This Row],[RUN]],BBDD[],2,FALSE)</f>
        <v>45782.879357445985</v>
      </c>
      <c r="AZ52" s="13" t="s">
        <v>3403</v>
      </c>
    </row>
    <row r="53" spans="1:52" ht="14.4" x14ac:dyDescent="0.3">
      <c r="A53" t="s">
        <v>1288</v>
      </c>
      <c r="B53" s="2" t="str">
        <f>VLOOKUP(T_Voluntarios[[#This Row],[RUN]],BBDD[],3,FALSE)</f>
        <v>antu06rodriguez@gmail.com</v>
      </c>
      <c r="C53" s="2" t="str">
        <f>VLOOKUP(T_Voluntarios[[#This Row],[RUN]],BBDD[],4,FALSE)</f>
        <v>Antonia Belén Rodriguez Garay</v>
      </c>
      <c r="D53" s="16">
        <f>VLOOKUP(T_Voluntarios[[#This Row],[RUN]],BBDD[],5,FALSE)</f>
        <v>37231</v>
      </c>
      <c r="E53" s="2" t="str">
        <f>VLOOKUP(T_Voluntarios[[#This Row],[RUN]],BBDD[],6,FALSE)</f>
        <v>yerbas buenas 035 El Carmen</v>
      </c>
      <c r="F53" s="2" t="str">
        <f>VLOOKUP(T_Voluntarios[[#This Row],[RUN]],BBDD[],7,FALSE)</f>
        <v>El Carmen</v>
      </c>
      <c r="G53" s="2" t="str">
        <f>VLOOKUP(T_Voluntarios[[#This Row],[RUN]],BBDD[],8,FALSE)</f>
        <v>Celular</v>
      </c>
      <c r="H53" s="2" t="str">
        <f>IF(VLOOKUP(T_Voluntarios[[#This Row],[RUN]],BBDD[],9,FALSE)=0,"Falta",VLOOKUP(T_Voluntarios[[#This Row],[RUN]],BBDD[],9,FALSE))</f>
        <v>+56991291269</v>
      </c>
      <c r="I53" s="2" t="str">
        <f>VLOOKUP(T_Voluntarios[[#This Row],[RUN]],BBDD[],10,FALSE)</f>
        <v>Participante</v>
      </c>
      <c r="J53" s="2" t="str">
        <f>VLOOKUP(T_Voluntarios[[#This Row],[RUN]],BBDD[],11,FALSE)</f>
        <v>La Montaña</v>
      </c>
      <c r="K53" s="2" t="str">
        <f>VLOOKUP(T_Voluntarios[[#This Row],[RUN]],BBDD[],12,FALSE)</f>
        <v>Lobatos</v>
      </c>
      <c r="L53" s="2" t="str">
        <f>VLOOKUP(T_Voluntarios[[#This Row],[RUN]],BBDD[],15,FALSE)</f>
        <v>Zona Ñuble</v>
      </c>
      <c r="M53" s="2" t="str">
        <f>VLOOKUP(T_Voluntarios[[#This Row],[RUN]],BBDD[],20,FALSE)</f>
        <v>Alimentación Tradicional</v>
      </c>
      <c r="N53" s="2" t="str">
        <f>VLOOKUP(T_Voluntarios[[#This Row],[RUN]],BBDD[],21,FALSE)</f>
        <v>Ninguna</v>
      </c>
      <c r="O53" s="2" t="str">
        <f>VLOOKUP(T_Voluntarios[[#This Row],[RUN]],BBDD[],22,FALSE)</f>
        <v>Ninguna</v>
      </c>
      <c r="P53" s="2" t="str">
        <f>VLOOKUP(T_Voluntarios[[#This Row],[RUN]],BBDD[],23,FALSE)</f>
        <v>karen garay +56954645944</v>
      </c>
      <c r="Q53" s="2" t="str">
        <f>IF(VLOOKUP(T_Voluntarios[[#This Row],[RUN]],BBDD[],27,FALSE)=0,"",VLOOKUP(T_Voluntarios[[#This Row],[RUN]],BBDD[],27,FALSE))</f>
        <v/>
      </c>
      <c r="R53" s="2" t="str">
        <f>VLOOKUP(T_Voluntarios[[#This Row],[RUN]],BBDD[],36,FALSE)</f>
        <v>https://drive.google.com/open?id=1tifaEyk-gUg3jVhLW3_cTX2y4s-YAaA-</v>
      </c>
      <c r="S53" s="2" t="str">
        <f>VLOOKUP(T_Voluntarios[[#This Row],[RUN]],BBDD[],16,FALSE)</f>
        <v>Inicial</v>
      </c>
      <c r="T53" s="2" t="str">
        <f>VLOOKUP(T_Voluntarios[[#This Row],[RUN]],BBDD[],17,FALSE)</f>
        <v>Ninguno</v>
      </c>
      <c r="U53" s="2" t="str">
        <f>VLOOKUP(T_Voluntarios[[#This Row],[RUN]],BBDD[],18,FALSE)</f>
        <v>Ninguno</v>
      </c>
      <c r="V53" s="2" t="str">
        <f>VLOOKUP(T_Voluntarios[[#This Row],[RUN]],BBDD[],19,FALSE)</f>
        <v>Ninguno</v>
      </c>
      <c r="W53" s="13" t="str">
        <f>IF(OR(T_Voluntarios[[#This Row],[ROL]]="Formador(a)"),"SI","NO")</f>
        <v>NO</v>
      </c>
      <c r="X53" s="13" t="str">
        <f>IF(ISERROR(VLOOKUP(T_Voluntarios[[#This Row],[RUN]],BBDD_Formadores[],15,FALSE)),"NO",VLOOKUP(T_Voluntarios[[#This Row],[RUN]],BBDD_Formadores[],15,FALSE))</f>
        <v>NO</v>
      </c>
      <c r="Y53" s="13" t="str">
        <f>IF(ISERROR(VLOOKUP(T_Voluntarios[[#This Row],[RUN]],BBDD_Formadores[],16,FALSE)),"NO",VLOOKUP(T_Voluntarios[[#This Row],[RUN]],BBDD_Formadores[],16,FALSE))</f>
        <v>NO</v>
      </c>
      <c r="Z53" s="13" t="str">
        <f>IF(ISERROR(VLOOKUP(T_Voluntarios[[#This Row],[RUN]],BBDD_Formadores[],17,FALSE)),"NO",VLOOKUP(T_Voluntarios[[#This Row],[RUN]],BBDD_Formadores[],17,FALSE))</f>
        <v>NO</v>
      </c>
      <c r="AA53" s="13" t="str">
        <f>IF(ISERROR(VLOOKUP(T_Voluntarios[[#This Row],[RUN]],BBDD_Formadores[],18,FALSE)),"NO",VLOOKUP(T_Voluntarios[[#This Row],[RUN]],BBDD_Formadores[],18,FALSE))</f>
        <v>NO</v>
      </c>
      <c r="AB53" s="13">
        <v>1</v>
      </c>
      <c r="AC53" s="13" t="s">
        <v>1</v>
      </c>
      <c r="AD53" s="13" t="s">
        <v>77</v>
      </c>
      <c r="AF53" s="2" t="str">
        <f>IF(VLOOKUP(T_Voluntarios[[#This Row],[RUN]],BBDD[],25,FALSE)=0,"",VLOOKUP(T_Voluntarios[[#This Row],[RUN]],BBDD[],25,FALSE))</f>
        <v/>
      </c>
      <c r="AG53" s="2" t="str">
        <f>IF(VLOOKUP(T_Voluntarios[[#This Row],[RUN]],BBDD[],26,FALSE)=0,"",VLOOKUP(T_Voluntarios[[#This Row],[RUN]],BBDD[],26,FALSE))</f>
        <v/>
      </c>
      <c r="AH53" s="2" t="str">
        <f>IF(VLOOKUP(T_Voluntarios[[#This Row],[RUN]],BBDD[],24,FALSE)=0,"",VLOOKUP(T_Voluntarios[[#This Row],[RUN]],BBDD[],24,FALSE))</f>
        <v/>
      </c>
      <c r="AI53" s="13" t="str">
        <f>VLOOKUP(T_Voluntarios[[#This Row],[RUN]],BBDD[],28,FALSE)</f>
        <v>SI</v>
      </c>
      <c r="AJ53" s="13" t="str">
        <f>VLOOKUP(T_Voluntarios[[#This Row],[RUN]],BBDD[],28,FALSE)</f>
        <v>SI</v>
      </c>
      <c r="AK53" s="32">
        <f>IF(T_Voluntarios[[#This Row],[ROL]]="Participante",SUMIFS(T_Cuotas[[#All],[Total]],T_Cuotas[[#All],[RUN]],T_Voluntarios[[#This Row],[RUN]]),-1)</f>
        <v>50000</v>
      </c>
      <c r="AL53" s="13" t="s">
        <v>1</v>
      </c>
      <c r="AM53" s="13" t="s">
        <v>2029</v>
      </c>
      <c r="AP53" s="2" t="str">
        <f>MID(T_Voluntarios[[#This Row],[E_MAIL]],SEARCH("@",T_Voluntarios[[#This Row],[E_MAIL]],1),LEN(T_Voluntarios[[#This Row],[E_MAIL]]))</f>
        <v>@gmail.com</v>
      </c>
      <c r="AQ53" s="13" t="str">
        <f>VLOOKUP(T_Voluntarios[[#This Row],[RUN]],BBDD[],37,FALSE)</f>
        <v>23</v>
      </c>
      <c r="AR53" s="2" t="str">
        <f>VLOOKUP(T_Voluntarios[[#This Row],[RUN]],BBDD[],29,FALSE)</f>
        <v>Estudiante</v>
      </c>
      <c r="AS53" s="2" t="str">
        <f>VLOOKUP(T_Voluntarios[[#This Row],[RUN]],BBDD[],30,FALSE)</f>
        <v>9 años</v>
      </c>
      <c r="AT53" s="2" t="str">
        <f>VLOOKUP(T_Voluntarios[[#This Row],[RUN]],BBDD[],31,FALSE)</f>
        <v>3 años</v>
      </c>
      <c r="AU53" s="2" t="str">
        <f>VLOOKUP(T_Voluntarios[[#This Row],[RUN]],BBDD[],32,FALSE)</f>
        <v>Soltero(a)</v>
      </c>
      <c r="AV53" s="2" t="str">
        <f>VLOOKUP(T_Voluntarios[[#This Row],[RUN]],BBDD[],33,FALSE)</f>
        <v>Ninguna</v>
      </c>
      <c r="AW53" s="2" t="str">
        <f>VLOOKUP(T_Voluntarios[[#This Row],[RUN]],BBDD[],34,FALSE)</f>
        <v>Anto</v>
      </c>
      <c r="AX53" s="13" t="s">
        <v>733</v>
      </c>
      <c r="AY53" s="76">
        <f>VLOOKUP(T_Voluntarios[[#This Row],[RUN]],BBDD[],2,FALSE)</f>
        <v>45782.879791782405</v>
      </c>
      <c r="AZ53" s="13" t="s">
        <v>3402</v>
      </c>
    </row>
    <row r="54" spans="1:52" ht="14.4" x14ac:dyDescent="0.3">
      <c r="A54" t="s">
        <v>1295</v>
      </c>
      <c r="B54" s="2" t="str">
        <f>VLOOKUP(T_Voluntarios[[#This Row],[RUN]],BBDD[],3,FALSE)</f>
        <v>ferni.2102@gmail.com</v>
      </c>
      <c r="C54" s="2" t="str">
        <f>VLOOKUP(T_Voluntarios[[#This Row],[RUN]],BBDD[],4,FALSE)</f>
        <v>Fernanda Nicol Lagos González</v>
      </c>
      <c r="D54" s="16">
        <f>VLOOKUP(T_Voluntarios[[#This Row],[RUN]],BBDD[],5,FALSE)</f>
        <v>35264</v>
      </c>
      <c r="E54" s="2" t="str">
        <f>VLOOKUP(T_Voluntarios[[#This Row],[RUN]],BBDD[],6,FALSE)</f>
        <v>Carrera pinto 54</v>
      </c>
      <c r="F54" s="2" t="str">
        <f>VLOOKUP(T_Voluntarios[[#This Row],[RUN]],BBDD[],7,FALSE)</f>
        <v>Talcahuano</v>
      </c>
      <c r="G54" s="2" t="str">
        <f>VLOOKUP(T_Voluntarios[[#This Row],[RUN]],BBDD[],8,FALSE)</f>
        <v>Celular</v>
      </c>
      <c r="H54" s="2" t="str">
        <f>IF(VLOOKUP(T_Voluntarios[[#This Row],[RUN]],BBDD[],9,FALSE)=0,"Falta",VLOOKUP(T_Voluntarios[[#This Row],[RUN]],BBDD[],9,FALSE))</f>
        <v>+56958015932</v>
      </c>
      <c r="I54" s="2" t="str">
        <f>VLOOKUP(T_Voluntarios[[#This Row],[RUN]],BBDD[],10,FALSE)</f>
        <v>Participante</v>
      </c>
      <c r="J54" s="2" t="str">
        <f>VLOOKUP(T_Voluntarios[[#This Row],[RUN]],BBDD[],11,FALSE)</f>
        <v>Espíritu Santo</v>
      </c>
      <c r="K54" s="2" t="str">
        <f>VLOOKUP(T_Voluntarios[[#This Row],[RUN]],BBDD[],12,FALSE)</f>
        <v>Lobatos</v>
      </c>
      <c r="L54" s="2" t="str">
        <f>VLOOKUP(T_Voluntarios[[#This Row],[RUN]],BBDD[],15,FALSE)</f>
        <v>Talcahuano - Hualpén</v>
      </c>
      <c r="M54" s="2" t="str">
        <f>VLOOKUP(T_Voluntarios[[#This Row],[RUN]],BBDD[],20,FALSE)</f>
        <v>Alimentación Tradicional</v>
      </c>
      <c r="N54" s="2" t="str">
        <f>VLOOKUP(T_Voluntarios[[#This Row],[RUN]],BBDD[],21,FALSE)</f>
        <v>Ninguna</v>
      </c>
      <c r="O54" s="2" t="str">
        <f>VLOOKUP(T_Voluntarios[[#This Row],[RUN]],BBDD[],22,FALSE)</f>
        <v>Asma</v>
      </c>
      <c r="P54" s="2" t="str">
        <f>VLOOKUP(T_Voluntarios[[#This Row],[RUN]],BBDD[],23,FALSE)</f>
        <v>Patricia González 989911386</v>
      </c>
      <c r="Q54" s="2" t="str">
        <f>IF(VLOOKUP(T_Voluntarios[[#This Row],[RUN]],BBDD[],27,FALSE)=0,"",VLOOKUP(T_Voluntarios[[#This Row],[RUN]],BBDD[],27,FALSE))</f>
        <v/>
      </c>
      <c r="R54" s="2" t="str">
        <f>VLOOKUP(T_Voluntarios[[#This Row],[RUN]],BBDD[],36,FALSE)</f>
        <v>https://drive.google.com/open?id=1Wx8VJlghjLPyg3p2N-XFGzHp9QIqfNS_</v>
      </c>
      <c r="S54" s="2" t="str">
        <f>VLOOKUP(T_Voluntarios[[#This Row],[RUN]],BBDD[],16,FALSE)</f>
        <v>Inicial</v>
      </c>
      <c r="T54" s="2" t="str">
        <f>VLOOKUP(T_Voluntarios[[#This Row],[RUN]],BBDD[],17,FALSE)</f>
        <v>Ninguno</v>
      </c>
      <c r="U54" s="2" t="str">
        <f>VLOOKUP(T_Voluntarios[[#This Row],[RUN]],BBDD[],18,FALSE)</f>
        <v>Ninguno</v>
      </c>
      <c r="V54" s="2" t="str">
        <f>VLOOKUP(T_Voluntarios[[#This Row],[RUN]],BBDD[],19,FALSE)</f>
        <v>Ninguno</v>
      </c>
      <c r="W54" s="13" t="str">
        <f>IF(OR(T_Voluntarios[[#This Row],[ROL]]="Formador(a)"),"SI","NO")</f>
        <v>NO</v>
      </c>
      <c r="X54" s="13" t="str">
        <f>IF(ISERROR(VLOOKUP(T_Voluntarios[[#This Row],[RUN]],BBDD_Formadores[],15,FALSE)),"NO",VLOOKUP(T_Voluntarios[[#This Row],[RUN]],BBDD_Formadores[],15,FALSE))</f>
        <v>NO</v>
      </c>
      <c r="Y54" s="13" t="str">
        <f>IF(ISERROR(VLOOKUP(T_Voluntarios[[#This Row],[RUN]],BBDD_Formadores[],16,FALSE)),"NO",VLOOKUP(T_Voluntarios[[#This Row],[RUN]],BBDD_Formadores[],16,FALSE))</f>
        <v>NO</v>
      </c>
      <c r="Z54" s="13" t="str">
        <f>IF(ISERROR(VLOOKUP(T_Voluntarios[[#This Row],[RUN]],BBDD_Formadores[],17,FALSE)),"NO",VLOOKUP(T_Voluntarios[[#This Row],[RUN]],BBDD_Formadores[],17,FALSE))</f>
        <v>NO</v>
      </c>
      <c r="AA54" s="13" t="str">
        <f>IF(ISERROR(VLOOKUP(T_Voluntarios[[#This Row],[RUN]],BBDD_Formadores[],18,FALSE)),"NO",VLOOKUP(T_Voluntarios[[#This Row],[RUN]],BBDD_Formadores[],18,FALSE))</f>
        <v>NO</v>
      </c>
      <c r="AB54" s="13">
        <v>1</v>
      </c>
      <c r="AC54" s="13" t="s">
        <v>1</v>
      </c>
      <c r="AD54" s="13" t="s">
        <v>77</v>
      </c>
      <c r="AF54" s="2" t="str">
        <f>IF(VLOOKUP(T_Voluntarios[[#This Row],[RUN]],BBDD[],25,FALSE)=0,"",VLOOKUP(T_Voluntarios[[#This Row],[RUN]],BBDD[],25,FALSE))</f>
        <v/>
      </c>
      <c r="AG54" s="2" t="str">
        <f>IF(VLOOKUP(T_Voluntarios[[#This Row],[RUN]],BBDD[],26,FALSE)=0,"",VLOOKUP(T_Voluntarios[[#This Row],[RUN]],BBDD[],26,FALSE))</f>
        <v/>
      </c>
      <c r="AH54" s="2" t="str">
        <f>IF(VLOOKUP(T_Voluntarios[[#This Row],[RUN]],BBDD[],24,FALSE)=0,"",VLOOKUP(T_Voluntarios[[#This Row],[RUN]],BBDD[],24,FALSE))</f>
        <v/>
      </c>
      <c r="AI54" s="13" t="str">
        <f>VLOOKUP(T_Voluntarios[[#This Row],[RUN]],BBDD[],28,FALSE)</f>
        <v>SI</v>
      </c>
      <c r="AJ54" s="13" t="str">
        <f>VLOOKUP(T_Voluntarios[[#This Row],[RUN]],BBDD[],28,FALSE)</f>
        <v>SI</v>
      </c>
      <c r="AK54" s="32">
        <f>IF(T_Voluntarios[[#This Row],[ROL]]="Participante",SUMIFS(T_Cuotas[[#All],[Total]],T_Cuotas[[#All],[RUN]],T_Voluntarios[[#This Row],[RUN]]),-1)</f>
        <v>50000</v>
      </c>
      <c r="AL54" s="13" t="s">
        <v>1</v>
      </c>
      <c r="AM54" s="13" t="s">
        <v>2029</v>
      </c>
      <c r="AP54" s="2" t="str">
        <f>MID(T_Voluntarios[[#This Row],[E_MAIL]],SEARCH("@",T_Voluntarios[[#This Row],[E_MAIL]],1),LEN(T_Voluntarios[[#This Row],[E_MAIL]]))</f>
        <v>@gmail.com</v>
      </c>
      <c r="AQ54" s="13" t="str">
        <f>VLOOKUP(T_Voluntarios[[#This Row],[RUN]],BBDD[],37,FALSE)</f>
        <v>28</v>
      </c>
      <c r="AR54" s="2" t="str">
        <f>VLOOKUP(T_Voluntarios[[#This Row],[RUN]],BBDD[],29,FALSE)</f>
        <v>Técnico en enfermería y estudiando ingeniería en administración de empresas</v>
      </c>
      <c r="AS54" s="2" t="str">
        <f>VLOOKUP(T_Voluntarios[[#This Row],[RUN]],BBDD[],30,FALSE)</f>
        <v>7 años</v>
      </c>
      <c r="AT54" s="2" t="str">
        <f>VLOOKUP(T_Voluntarios[[#This Row],[RUN]],BBDD[],31,FALSE)</f>
        <v>0</v>
      </c>
      <c r="AU54" s="2" t="str">
        <f>VLOOKUP(T_Voluntarios[[#This Row],[RUN]],BBDD[],32,FALSE)</f>
        <v>Soltero(a)</v>
      </c>
      <c r="AV54" s="2" t="str">
        <f>VLOOKUP(T_Voluntarios[[#This Row],[RUN]],BBDD[],33,FALSE)</f>
        <v>Católica</v>
      </c>
      <c r="AW54" s="2" t="str">
        <f>VLOOKUP(T_Voluntarios[[#This Row],[RUN]],BBDD[],34,FALSE)</f>
        <v>Feña</v>
      </c>
      <c r="AX54" s="13" t="s">
        <v>733</v>
      </c>
      <c r="AY54" s="76">
        <f>VLOOKUP(T_Voluntarios[[#This Row],[RUN]],BBDD[],2,FALSE)</f>
        <v>45782.9383441358</v>
      </c>
      <c r="AZ54" s="13" t="s">
        <v>3403</v>
      </c>
    </row>
    <row r="55" spans="1:52" ht="14.4" x14ac:dyDescent="0.3">
      <c r="A55" t="s">
        <v>1306</v>
      </c>
      <c r="B55" s="2" t="str">
        <f>VLOOKUP(T_Voluntarios[[#This Row],[RUN]],BBDD[],3,FALSE)</f>
        <v>nleivavillalobos@gmail.com</v>
      </c>
      <c r="C55" s="2" t="str">
        <f>VLOOKUP(T_Voluntarios[[#This Row],[RUN]],BBDD[],4,FALSE)</f>
        <v>Nicole Belén Leiva Villalobos</v>
      </c>
      <c r="D55" s="16">
        <f>VLOOKUP(T_Voluntarios[[#This Row],[RUN]],BBDD[],5,FALSE)</f>
        <v>35676</v>
      </c>
      <c r="E55" s="2" t="str">
        <f>VLOOKUP(T_Voluntarios[[#This Row],[RUN]],BBDD[],6,FALSE)</f>
        <v>Los Mayas 1857</v>
      </c>
      <c r="F55" s="2" t="str">
        <f>VLOOKUP(T_Voluntarios[[#This Row],[RUN]],BBDD[],7,FALSE)</f>
        <v>Los Ángeles</v>
      </c>
      <c r="G55" s="2" t="str">
        <f>VLOOKUP(T_Voluntarios[[#This Row],[RUN]],BBDD[],8,FALSE)</f>
        <v>Celular</v>
      </c>
      <c r="H55" s="2" t="str">
        <f>IF(VLOOKUP(T_Voluntarios[[#This Row],[RUN]],BBDD[],9,FALSE)=0,"Falta",VLOOKUP(T_Voluntarios[[#This Row],[RUN]],BBDD[],9,FALSE))</f>
        <v>+56975867205</v>
      </c>
      <c r="I55" s="2" t="str">
        <f>VLOOKUP(T_Voluntarios[[#This Row],[RUN]],BBDD[],10,FALSE)</f>
        <v>Participante</v>
      </c>
      <c r="J55" s="2" t="str">
        <f>VLOOKUP(T_Voluntarios[[#This Row],[RUN]],BBDD[],11,FALSE)</f>
        <v>Sagrada Familia</v>
      </c>
      <c r="K55" s="2" t="str">
        <f>VLOOKUP(T_Voluntarios[[#This Row],[RUN]],BBDD[],12,FALSE)</f>
        <v>Golondrinas</v>
      </c>
      <c r="L55" s="2" t="str">
        <f>VLOOKUP(T_Voluntarios[[#This Row],[RUN]],BBDD[],15,FALSE)</f>
        <v>Biobío</v>
      </c>
      <c r="M55" s="2" t="str">
        <f>VLOOKUP(T_Voluntarios[[#This Row],[RUN]],BBDD[],20,FALSE)</f>
        <v>Sin Almuerzo</v>
      </c>
      <c r="N55" s="2" t="str">
        <f>VLOOKUP(T_Voluntarios[[#This Row],[RUN]],BBDD[],21,FALSE)</f>
        <v>Ninguna</v>
      </c>
      <c r="O55" s="2" t="str">
        <f>VLOOKUP(T_Voluntarios[[#This Row],[RUN]],BBDD[],22,FALSE)</f>
        <v>Ninguna</v>
      </c>
      <c r="P55" s="2" t="str">
        <f>VLOOKUP(T_Voluntarios[[#This Row],[RUN]],BBDD[],23,FALSE)</f>
        <v>Sergio Leiva Pacheco +5678652504</v>
      </c>
      <c r="Q55" s="2" t="str">
        <f>IF(VLOOKUP(T_Voluntarios[[#This Row],[RUN]],BBDD[],27,FALSE)=0,"",VLOOKUP(T_Voluntarios[[#This Row],[RUN]],BBDD[],27,FALSE))</f>
        <v/>
      </c>
      <c r="R55" s="2" t="str">
        <f>VLOOKUP(T_Voluntarios[[#This Row],[RUN]],BBDD[],36,FALSE)</f>
        <v>https://drive.google.com/open?id=1MPxm8cbEzeoiWJuOIQ41y-_B0igdJyAa</v>
      </c>
      <c r="S55" s="2" t="str">
        <f>VLOOKUP(T_Voluntarios[[#This Row],[RUN]],BBDD[],16,FALSE)</f>
        <v>Inicial</v>
      </c>
      <c r="T55" s="2" t="str">
        <f>VLOOKUP(T_Voluntarios[[#This Row],[RUN]],BBDD[],17,FALSE)</f>
        <v>Ninguno</v>
      </c>
      <c r="U55" s="2" t="str">
        <f>VLOOKUP(T_Voluntarios[[#This Row],[RUN]],BBDD[],18,FALSE)</f>
        <v>Ninguno</v>
      </c>
      <c r="V55" s="2" t="str">
        <f>VLOOKUP(T_Voluntarios[[#This Row],[RUN]],BBDD[],19,FALSE)</f>
        <v>Ninguno</v>
      </c>
      <c r="W55" s="13" t="str">
        <f>IF(OR(T_Voluntarios[[#This Row],[ROL]]="Formador(a)"),"SI","NO")</f>
        <v>NO</v>
      </c>
      <c r="X55" s="13" t="str">
        <f>IF(ISERROR(VLOOKUP(T_Voluntarios[[#This Row],[RUN]],BBDD_Formadores[],15,FALSE)),"NO",VLOOKUP(T_Voluntarios[[#This Row],[RUN]],BBDD_Formadores[],15,FALSE))</f>
        <v>NO</v>
      </c>
      <c r="Y55" s="13" t="str">
        <f>IF(ISERROR(VLOOKUP(T_Voluntarios[[#This Row],[RUN]],BBDD_Formadores[],16,FALSE)),"NO",VLOOKUP(T_Voluntarios[[#This Row],[RUN]],BBDD_Formadores[],16,FALSE))</f>
        <v>NO</v>
      </c>
      <c r="Z55" s="13" t="str">
        <f>IF(ISERROR(VLOOKUP(T_Voluntarios[[#This Row],[RUN]],BBDD_Formadores[],17,FALSE)),"NO",VLOOKUP(T_Voluntarios[[#This Row],[RUN]],BBDD_Formadores[],17,FALSE))</f>
        <v>NO</v>
      </c>
      <c r="AA55" s="13" t="str">
        <f>IF(ISERROR(VLOOKUP(T_Voluntarios[[#This Row],[RUN]],BBDD_Formadores[],18,FALSE)),"NO",VLOOKUP(T_Voluntarios[[#This Row],[RUN]],BBDD_Formadores[],18,FALSE))</f>
        <v>NO</v>
      </c>
      <c r="AB55" s="13">
        <v>1</v>
      </c>
      <c r="AC55" s="13" t="s">
        <v>1</v>
      </c>
      <c r="AD55" s="13" t="s">
        <v>77</v>
      </c>
      <c r="AF55" s="2" t="str">
        <f>IF(VLOOKUP(T_Voluntarios[[#This Row],[RUN]],BBDD[],25,FALSE)=0,"",VLOOKUP(T_Voluntarios[[#This Row],[RUN]],BBDD[],25,FALSE))</f>
        <v/>
      </c>
      <c r="AG55" s="2" t="str">
        <f>IF(VLOOKUP(T_Voluntarios[[#This Row],[RUN]],BBDD[],26,FALSE)=0,"",VLOOKUP(T_Voluntarios[[#This Row],[RUN]],BBDD[],26,FALSE))</f>
        <v/>
      </c>
      <c r="AH55" s="2" t="str">
        <f>IF(VLOOKUP(T_Voluntarios[[#This Row],[RUN]],BBDD[],24,FALSE)=0,"",VLOOKUP(T_Voluntarios[[#This Row],[RUN]],BBDD[],24,FALSE))</f>
        <v/>
      </c>
      <c r="AI55" s="13" t="str">
        <f>VLOOKUP(T_Voluntarios[[#This Row],[RUN]],BBDD[],28,FALSE)</f>
        <v>No</v>
      </c>
      <c r="AJ55" s="13" t="str">
        <f>VLOOKUP(T_Voluntarios[[#This Row],[RUN]],BBDD[],28,FALSE)</f>
        <v>No</v>
      </c>
      <c r="AK55" s="32">
        <f>IF(T_Voluntarios[[#This Row],[ROL]]="Participante",SUMIFS(T_Cuotas[[#All],[Total]],T_Cuotas[[#All],[RUN]],T_Voluntarios[[#This Row],[RUN]]),-1)</f>
        <v>36500</v>
      </c>
      <c r="AL55" s="13" t="s">
        <v>1</v>
      </c>
      <c r="AM55" s="13" t="s">
        <v>2029</v>
      </c>
      <c r="AP55" s="2" t="str">
        <f>MID(T_Voluntarios[[#This Row],[E_MAIL]],SEARCH("@",T_Voluntarios[[#This Row],[E_MAIL]],1),LEN(T_Voluntarios[[#This Row],[E_MAIL]]))</f>
        <v>@gmail.com</v>
      </c>
      <c r="AQ55" s="13" t="str">
        <f>VLOOKUP(T_Voluntarios[[#This Row],[RUN]],BBDD[],37,FALSE)</f>
        <v>27</v>
      </c>
      <c r="AR55" s="2" t="str">
        <f>VLOOKUP(T_Voluntarios[[#This Row],[RUN]],BBDD[],29,FALSE)</f>
        <v>Profesora de Educación Diferencial</v>
      </c>
      <c r="AS55" s="2" t="str">
        <f>VLOOKUP(T_Voluntarios[[#This Row],[RUN]],BBDD[],30,FALSE)</f>
        <v>8 años</v>
      </c>
      <c r="AT55" s="2" t="str">
        <f>VLOOKUP(T_Voluntarios[[#This Row],[RUN]],BBDD[],31,FALSE)</f>
        <v>10 años</v>
      </c>
      <c r="AU55" s="2" t="str">
        <f>VLOOKUP(T_Voluntarios[[#This Row],[RUN]],BBDD[],32,FALSE)</f>
        <v>Soltero(a)</v>
      </c>
      <c r="AV55" s="2" t="str">
        <f>VLOOKUP(T_Voluntarios[[#This Row],[RUN]],BBDD[],33,FALSE)</f>
        <v>Católica</v>
      </c>
      <c r="AW55" s="2" t="str">
        <f>VLOOKUP(T_Voluntarios[[#This Row],[RUN]],BBDD[],34,FALSE)</f>
        <v>Nicole</v>
      </c>
      <c r="AX55" s="13" t="s">
        <v>733</v>
      </c>
      <c r="AY55" s="76">
        <f>VLOOKUP(T_Voluntarios[[#This Row],[RUN]],BBDD[],2,FALSE)</f>
        <v>45783.668223919754</v>
      </c>
      <c r="AZ55" s="13" t="s">
        <v>3403</v>
      </c>
    </row>
    <row r="56" spans="1:52" ht="14.4" x14ac:dyDescent="0.3">
      <c r="A56" t="s">
        <v>1316</v>
      </c>
      <c r="B56" s="2" t="str">
        <f>VLOOKUP(T_Voluntarios[[#This Row],[RUN]],BBDD[],3,FALSE)</f>
        <v>ignaciabelmar.m@gmail.com</v>
      </c>
      <c r="C56" s="2" t="str">
        <f>VLOOKUP(T_Voluntarios[[#This Row],[RUN]],BBDD[],4,FALSE)</f>
        <v>Mariaignacia Paulina Belmar Manríquez</v>
      </c>
      <c r="D56" s="16">
        <f>VLOOKUP(T_Voluntarios[[#This Row],[RUN]],BBDD[],5,FALSE)</f>
        <v>38532</v>
      </c>
      <c r="E56" s="2" t="str">
        <f>VLOOKUP(T_Voluntarios[[#This Row],[RUN]],BBDD[],6,FALSE)</f>
        <v>camino a navidad km 3</v>
      </c>
      <c r="F56" s="2" t="str">
        <f>VLOOKUP(T_Voluntarios[[#This Row],[RUN]],BBDD[],7,FALSE)</f>
        <v>El Carmen</v>
      </c>
      <c r="G56" s="2" t="str">
        <f>VLOOKUP(T_Voluntarios[[#This Row],[RUN]],BBDD[],8,FALSE)</f>
        <v>Celular</v>
      </c>
      <c r="H56" s="2" t="str">
        <f>IF(VLOOKUP(T_Voluntarios[[#This Row],[RUN]],BBDD[],9,FALSE)=0,"Falta",VLOOKUP(T_Voluntarios[[#This Row],[RUN]],BBDD[],9,FALSE))</f>
        <v>+56972887651</v>
      </c>
      <c r="I56" s="2" t="str">
        <f>VLOOKUP(T_Voluntarios[[#This Row],[RUN]],BBDD[],10,FALSE)</f>
        <v>Participante</v>
      </c>
      <c r="J56" s="2" t="str">
        <f>VLOOKUP(T_Voluntarios[[#This Row],[RUN]],BBDD[],11,FALSE)</f>
        <v>La Montaña</v>
      </c>
      <c r="K56" s="2" t="str">
        <f>VLOOKUP(T_Voluntarios[[#This Row],[RUN]],BBDD[],12,FALSE)</f>
        <v>Scouts</v>
      </c>
      <c r="L56" s="2" t="str">
        <f>VLOOKUP(T_Voluntarios[[#This Row],[RUN]],BBDD[],15,FALSE)</f>
        <v>Zona Ñuble</v>
      </c>
      <c r="M56" s="2" t="str">
        <f>VLOOKUP(T_Voluntarios[[#This Row],[RUN]],BBDD[],20,FALSE)</f>
        <v>Alimentación Tradicional</v>
      </c>
      <c r="N56" s="2" t="str">
        <f>VLOOKUP(T_Voluntarios[[#This Row],[RUN]],BBDD[],21,FALSE)</f>
        <v>Ninguna</v>
      </c>
      <c r="O56" s="2" t="str">
        <f>VLOOKUP(T_Voluntarios[[#This Row],[RUN]],BBDD[],22,FALSE)</f>
        <v>Ninguna</v>
      </c>
      <c r="P56" s="2" t="str">
        <f>VLOOKUP(T_Voluntarios[[#This Row],[RUN]],BBDD[],23,FALSE)</f>
        <v>Paulina Manríquez  +56972153495</v>
      </c>
      <c r="Q56" s="2" t="str">
        <f>IF(VLOOKUP(T_Voluntarios[[#This Row],[RUN]],BBDD[],27,FALSE)=0,"",VLOOKUP(T_Voluntarios[[#This Row],[RUN]],BBDD[],27,FALSE))</f>
        <v/>
      </c>
      <c r="R56" s="2" t="str">
        <f>VLOOKUP(T_Voluntarios[[#This Row],[RUN]],BBDD[],36,FALSE)</f>
        <v>https://drive.google.com/open?id=1NObHQUR0muo6Gs62B2J1szH90FR_BSrI</v>
      </c>
      <c r="S56" s="2" t="str">
        <f>VLOOKUP(T_Voluntarios[[#This Row],[RUN]],BBDD[],16,FALSE)</f>
        <v>Inicial</v>
      </c>
      <c r="T56" s="2" t="str">
        <f>VLOOKUP(T_Voluntarios[[#This Row],[RUN]],BBDD[],17,FALSE)</f>
        <v>Ninguno</v>
      </c>
      <c r="U56" s="2" t="str">
        <f>VLOOKUP(T_Voluntarios[[#This Row],[RUN]],BBDD[],18,FALSE)</f>
        <v>Ninguno</v>
      </c>
      <c r="V56" s="2" t="str">
        <f>VLOOKUP(T_Voluntarios[[#This Row],[RUN]],BBDD[],19,FALSE)</f>
        <v>Ninguno</v>
      </c>
      <c r="W56" s="13" t="str">
        <f>IF(OR(T_Voluntarios[[#This Row],[ROL]]="Formador(a)"),"SI","NO")</f>
        <v>NO</v>
      </c>
      <c r="X56" s="13" t="str">
        <f>IF(ISERROR(VLOOKUP(T_Voluntarios[[#This Row],[RUN]],BBDD_Formadores[],15,FALSE)),"NO",VLOOKUP(T_Voluntarios[[#This Row],[RUN]],BBDD_Formadores[],15,FALSE))</f>
        <v>NO</v>
      </c>
      <c r="Y56" s="13" t="str">
        <f>IF(ISERROR(VLOOKUP(T_Voluntarios[[#This Row],[RUN]],BBDD_Formadores[],16,FALSE)),"NO",VLOOKUP(T_Voluntarios[[#This Row],[RUN]],BBDD_Formadores[],16,FALSE))</f>
        <v>NO</v>
      </c>
      <c r="Z56" s="13" t="str">
        <f>IF(ISERROR(VLOOKUP(T_Voluntarios[[#This Row],[RUN]],BBDD_Formadores[],17,FALSE)),"NO",VLOOKUP(T_Voluntarios[[#This Row],[RUN]],BBDD_Formadores[],17,FALSE))</f>
        <v>NO</v>
      </c>
      <c r="AA56" s="13" t="str">
        <f>IF(ISERROR(VLOOKUP(T_Voluntarios[[#This Row],[RUN]],BBDD_Formadores[],18,FALSE)),"NO",VLOOKUP(T_Voluntarios[[#This Row],[RUN]],BBDD_Formadores[],18,FALSE))</f>
        <v>NO</v>
      </c>
      <c r="AB56" s="13">
        <v>1</v>
      </c>
      <c r="AC56" s="13" t="s">
        <v>1</v>
      </c>
      <c r="AD56" s="13" t="s">
        <v>77</v>
      </c>
      <c r="AF56" s="2" t="str">
        <f>IF(VLOOKUP(T_Voluntarios[[#This Row],[RUN]],BBDD[],25,FALSE)=0,"",VLOOKUP(T_Voluntarios[[#This Row],[RUN]],BBDD[],25,FALSE))</f>
        <v/>
      </c>
      <c r="AG56" s="2" t="str">
        <f>IF(VLOOKUP(T_Voluntarios[[#This Row],[RUN]],BBDD[],26,FALSE)=0,"",VLOOKUP(T_Voluntarios[[#This Row],[RUN]],BBDD[],26,FALSE))</f>
        <v/>
      </c>
      <c r="AH56" s="2" t="str">
        <f>IF(VLOOKUP(T_Voluntarios[[#This Row],[RUN]],BBDD[],24,FALSE)=0,"",VLOOKUP(T_Voluntarios[[#This Row],[RUN]],BBDD[],24,FALSE))</f>
        <v/>
      </c>
      <c r="AI56" s="13" t="str">
        <f>VLOOKUP(T_Voluntarios[[#This Row],[RUN]],BBDD[],28,FALSE)</f>
        <v>SI</v>
      </c>
      <c r="AJ56" s="13" t="str">
        <f>VLOOKUP(T_Voluntarios[[#This Row],[RUN]],BBDD[],28,FALSE)</f>
        <v>SI</v>
      </c>
      <c r="AK56" s="32">
        <f>IF(T_Voluntarios[[#This Row],[ROL]]="Participante",SUMIFS(T_Cuotas[[#All],[Total]],T_Cuotas[[#All],[RUN]],T_Voluntarios[[#This Row],[RUN]]),-1)</f>
        <v>50000</v>
      </c>
      <c r="AL56" s="13" t="s">
        <v>1</v>
      </c>
      <c r="AM56" s="13" t="s">
        <v>2029</v>
      </c>
      <c r="AP56" s="2" t="str">
        <f>MID(T_Voluntarios[[#This Row],[E_MAIL]],SEARCH("@",T_Voluntarios[[#This Row],[E_MAIL]],1),LEN(T_Voluntarios[[#This Row],[E_MAIL]]))</f>
        <v>@gmail.com</v>
      </c>
      <c r="AQ56" s="13" t="str">
        <f>VLOOKUP(T_Voluntarios[[#This Row],[RUN]],BBDD[],37,FALSE)</f>
        <v>20</v>
      </c>
      <c r="AR56" s="2" t="str">
        <f>VLOOKUP(T_Voluntarios[[#This Row],[RUN]],BBDD[],29,FALSE)</f>
        <v>Estudiante</v>
      </c>
      <c r="AS56" s="2" t="str">
        <f>VLOOKUP(T_Voluntarios[[#This Row],[RUN]],BBDD[],30,FALSE)</f>
        <v>5 años</v>
      </c>
      <c r="AT56" s="2" t="str">
        <f>VLOOKUP(T_Voluntarios[[#This Row],[RUN]],BBDD[],31,FALSE)</f>
        <v>1 año</v>
      </c>
      <c r="AU56" s="2" t="str">
        <f>VLOOKUP(T_Voluntarios[[#This Row],[RUN]],BBDD[],32,FALSE)</f>
        <v>Soltero(a)</v>
      </c>
      <c r="AV56" s="2" t="str">
        <f>VLOOKUP(T_Voluntarios[[#This Row],[RUN]],BBDD[],33,FALSE)</f>
        <v>Ninguna</v>
      </c>
      <c r="AW56" s="2" t="str">
        <f>VLOOKUP(T_Voluntarios[[#This Row],[RUN]],BBDD[],34,FALSE)</f>
        <v>Nachita</v>
      </c>
      <c r="AX56" s="13" t="s">
        <v>733</v>
      </c>
      <c r="AY56" s="76">
        <f>VLOOKUP(T_Voluntarios[[#This Row],[RUN]],BBDD[],2,FALSE)</f>
        <v>45783.879361612657</v>
      </c>
      <c r="AZ56" s="13" t="s">
        <v>3402</v>
      </c>
    </row>
    <row r="57" spans="1:52" ht="14.4" x14ac:dyDescent="0.3">
      <c r="A57" t="s">
        <v>1325</v>
      </c>
      <c r="B57" s="2" t="str">
        <f>VLOOKUP(T_Voluntarios[[#This Row],[RUN]],BBDD[],3,FALSE)</f>
        <v>utreras.rocio@gmail.com</v>
      </c>
      <c r="C57" s="2" t="str">
        <f>VLOOKUP(T_Voluntarios[[#This Row],[RUN]],BBDD[],4,FALSE)</f>
        <v>Rocío Andrea Utreras Troncoso</v>
      </c>
      <c r="D57" s="16">
        <f>VLOOKUP(T_Voluntarios[[#This Row],[RUN]],BBDD[],5,FALSE)</f>
        <v>37675</v>
      </c>
      <c r="E57" s="2" t="str">
        <f>VLOOKUP(T_Voluntarios[[#This Row],[RUN]],BBDD[],6,FALSE)</f>
        <v>Pasaje Guillermo Cox Lira 31f Lorenzo Arenas</v>
      </c>
      <c r="F57" s="2" t="str">
        <f>VLOOKUP(T_Voluntarios[[#This Row],[RUN]],BBDD[],7,FALSE)</f>
        <v>Concepción</v>
      </c>
      <c r="G57" s="2" t="str">
        <f>VLOOKUP(T_Voluntarios[[#This Row],[RUN]],BBDD[],8,FALSE)</f>
        <v>Celular</v>
      </c>
      <c r="H57" s="2" t="str">
        <f>IF(VLOOKUP(T_Voluntarios[[#This Row],[RUN]],BBDD[],9,FALSE)=0,"Falta",VLOOKUP(T_Voluntarios[[#This Row],[RUN]],BBDD[],9,FALSE))</f>
        <v>+56944373252</v>
      </c>
      <c r="I57" s="2" t="str">
        <f>VLOOKUP(T_Voluntarios[[#This Row],[RUN]],BBDD[],10,FALSE)</f>
        <v>Participante</v>
      </c>
      <c r="J57" s="2" t="str">
        <f>VLOOKUP(T_Voluntarios[[#This Row],[RUN]],BBDD[],11,FALSE)</f>
        <v>Rucapeñihue</v>
      </c>
      <c r="K57" s="2" t="str">
        <f>VLOOKUP(T_Voluntarios[[#This Row],[RUN]],BBDD[],12,FALSE)</f>
        <v>Golondrinas</v>
      </c>
      <c r="L57" s="2" t="str">
        <f>VLOOKUP(T_Voluntarios[[#This Row],[RUN]],BBDD[],15,FALSE)</f>
        <v>Concepción</v>
      </c>
      <c r="M57" s="2" t="str">
        <f>VLOOKUP(T_Voluntarios[[#This Row],[RUN]],BBDD[],20,FALSE)</f>
        <v>Sin Almuerzo</v>
      </c>
      <c r="N57" s="2" t="str">
        <f>VLOOKUP(T_Voluntarios[[#This Row],[RUN]],BBDD[],21,FALSE)</f>
        <v>Ninguna</v>
      </c>
      <c r="O57" s="2" t="str">
        <f>VLOOKUP(T_Voluntarios[[#This Row],[RUN]],BBDD[],22,FALSE)</f>
        <v>Ninguna</v>
      </c>
      <c r="P57" s="2" t="str">
        <f>VLOOKUP(T_Voluntarios[[#This Row],[RUN]],BBDD[],23,FALSE)</f>
        <v>Claudia Troncoso (mamá) 9 9396 1301</v>
      </c>
      <c r="Q57" s="2" t="str">
        <f>IF(VLOOKUP(T_Voluntarios[[#This Row],[RUN]],BBDD[],27,FALSE)=0,"",VLOOKUP(T_Voluntarios[[#This Row],[RUN]],BBDD[],27,FALSE))</f>
        <v/>
      </c>
      <c r="R57" s="2" t="str">
        <f>VLOOKUP(T_Voluntarios[[#This Row],[RUN]],BBDD[],36,FALSE)</f>
        <v>https://drive.google.com/open?id=1Bozge3s3bh2UnlxVaMNR8W_bi_FhwVkbSZ1WD-CGtS0</v>
      </c>
      <c r="S57" s="2" t="str">
        <f>VLOOKUP(T_Voluntarios[[#This Row],[RUN]],BBDD[],16,FALSE)</f>
        <v>Inicial</v>
      </c>
      <c r="T57" s="2" t="str">
        <f>VLOOKUP(T_Voluntarios[[#This Row],[RUN]],BBDD[],17,FALSE)</f>
        <v>Ninguno</v>
      </c>
      <c r="U57" s="2" t="str">
        <f>VLOOKUP(T_Voluntarios[[#This Row],[RUN]],BBDD[],18,FALSE)</f>
        <v>Ninguno</v>
      </c>
      <c r="V57" s="2" t="str">
        <f>VLOOKUP(T_Voluntarios[[#This Row],[RUN]],BBDD[],19,FALSE)</f>
        <v>Ninguno</v>
      </c>
      <c r="W57" s="13" t="str">
        <f>IF(OR(T_Voluntarios[[#This Row],[ROL]]="Formador(a)"),"SI","NO")</f>
        <v>NO</v>
      </c>
      <c r="X57" s="13" t="str">
        <f>IF(ISERROR(VLOOKUP(T_Voluntarios[[#This Row],[RUN]],BBDD_Formadores[],15,FALSE)),"NO",VLOOKUP(T_Voluntarios[[#This Row],[RUN]],BBDD_Formadores[],15,FALSE))</f>
        <v>NO</v>
      </c>
      <c r="Y57" s="13" t="str">
        <f>IF(ISERROR(VLOOKUP(T_Voluntarios[[#This Row],[RUN]],BBDD_Formadores[],16,FALSE)),"NO",VLOOKUP(T_Voluntarios[[#This Row],[RUN]],BBDD_Formadores[],16,FALSE))</f>
        <v>NO</v>
      </c>
      <c r="Z57" s="13" t="str">
        <f>IF(ISERROR(VLOOKUP(T_Voluntarios[[#This Row],[RUN]],BBDD_Formadores[],17,FALSE)),"NO",VLOOKUP(T_Voluntarios[[#This Row],[RUN]],BBDD_Formadores[],17,FALSE))</f>
        <v>NO</v>
      </c>
      <c r="AA57" s="13" t="str">
        <f>IF(ISERROR(VLOOKUP(T_Voluntarios[[#This Row],[RUN]],BBDD_Formadores[],18,FALSE)),"NO",VLOOKUP(T_Voluntarios[[#This Row],[RUN]],BBDD_Formadores[],18,FALSE))</f>
        <v>NO</v>
      </c>
      <c r="AB57" s="13">
        <v>1</v>
      </c>
      <c r="AC57" s="13" t="s">
        <v>1</v>
      </c>
      <c r="AD57" s="13" t="s">
        <v>77</v>
      </c>
      <c r="AF57" s="2" t="str">
        <f>IF(VLOOKUP(T_Voluntarios[[#This Row],[RUN]],BBDD[],25,FALSE)=0,"",VLOOKUP(T_Voluntarios[[#This Row],[RUN]],BBDD[],25,FALSE))</f>
        <v>Nissan</v>
      </c>
      <c r="AG57" s="2" t="str">
        <f>IF(VLOOKUP(T_Voluntarios[[#This Row],[RUN]],BBDD[],26,FALSE)=0,"",VLOOKUP(T_Voluntarios[[#This Row],[RUN]],BBDD[],26,FALSE))</f>
        <v>March</v>
      </c>
      <c r="AH57" s="2" t="str">
        <f>IF(VLOOKUP(T_Voluntarios[[#This Row],[RUN]],BBDD[],24,FALSE)=0,"",VLOOKUP(T_Voluntarios[[#This Row],[RUN]],BBDD[],24,FALSE))</f>
        <v>FR GW 41</v>
      </c>
      <c r="AI57" s="13" t="str">
        <f>VLOOKUP(T_Voluntarios[[#This Row],[RUN]],BBDD[],28,FALSE)</f>
        <v>SI</v>
      </c>
      <c r="AJ57" s="13" t="str">
        <f>VLOOKUP(T_Voluntarios[[#This Row],[RUN]],BBDD[],28,FALSE)</f>
        <v>SI</v>
      </c>
      <c r="AK57" s="32">
        <f>IF(T_Voluntarios[[#This Row],[ROL]]="Participante",SUMIFS(T_Cuotas[[#All],[Total]],T_Cuotas[[#All],[RUN]],T_Voluntarios[[#This Row],[RUN]]),-1)</f>
        <v>36500</v>
      </c>
      <c r="AL57" s="13" t="s">
        <v>1</v>
      </c>
      <c r="AM57" s="13" t="s">
        <v>2029</v>
      </c>
      <c r="AP57" s="2" t="str">
        <f>MID(T_Voluntarios[[#This Row],[E_MAIL]],SEARCH("@",T_Voluntarios[[#This Row],[E_MAIL]],1),LEN(T_Voluntarios[[#This Row],[E_MAIL]]))</f>
        <v>@gmail.com</v>
      </c>
      <c r="AQ57" s="13" t="str">
        <f>VLOOKUP(T_Voluntarios[[#This Row],[RUN]],BBDD[],37,FALSE)</f>
        <v>22</v>
      </c>
      <c r="AR57" s="2" t="str">
        <f>VLOOKUP(T_Voluntarios[[#This Row],[RUN]],BBDD[],29,FALSE)</f>
        <v>Estudiante universitario</v>
      </c>
      <c r="AS57" s="2" t="str">
        <f>VLOOKUP(T_Voluntarios[[#This Row],[RUN]],BBDD[],30,FALSE)</f>
        <v>Marzo 2011 a enero 2024</v>
      </c>
      <c r="AT57" s="2" t="str">
        <f>VLOOKUP(T_Voluntarios[[#This Row],[RUN]],BBDD[],31,FALSE)</f>
        <v>1 año 2 meses</v>
      </c>
      <c r="AU57" s="2" t="str">
        <f>VLOOKUP(T_Voluntarios[[#This Row],[RUN]],BBDD[],32,FALSE)</f>
        <v>Soltero(a)</v>
      </c>
      <c r="AV57" s="2" t="str">
        <f>VLOOKUP(T_Voluntarios[[#This Row],[RUN]],BBDD[],33,FALSE)</f>
        <v>Ninguna</v>
      </c>
      <c r="AW57" s="2" t="str">
        <f>VLOOKUP(T_Voluntarios[[#This Row],[RUN]],BBDD[],34,FALSE)</f>
        <v>CHIO ♪(๑ᴖ◡ᴖ๑)♪</v>
      </c>
      <c r="AX57" s="13" t="s">
        <v>733</v>
      </c>
      <c r="AY57" s="76">
        <f>VLOOKUP(T_Voluntarios[[#This Row],[RUN]],BBDD[],2,FALSE)</f>
        <v>45784.367475385799</v>
      </c>
      <c r="AZ57" s="13" t="s">
        <v>3403</v>
      </c>
    </row>
    <row r="58" spans="1:52" ht="14.4" x14ac:dyDescent="0.3">
      <c r="A58" t="s">
        <v>1340</v>
      </c>
      <c r="B58" s="2" t="str">
        <f>VLOOKUP(T_Voluntarios[[#This Row],[RUN]],BBDD[],3,FALSE)</f>
        <v>carlandreacn@gmail.com</v>
      </c>
      <c r="C58" s="2" t="str">
        <f>VLOOKUP(T_Voluntarios[[#This Row],[RUN]],BBDD[],4,FALSE)</f>
        <v>Carla Andrea Contreras Novoa</v>
      </c>
      <c r="D58" s="16">
        <f>VLOOKUP(T_Voluntarios[[#This Row],[RUN]],BBDD[],5,FALSE)</f>
        <v>38144</v>
      </c>
      <c r="E58" s="2" t="str">
        <f>VLOOKUP(T_Voluntarios[[#This Row],[RUN]],BBDD[],6,FALSE)</f>
        <v>colo colo 210</v>
      </c>
      <c r="F58" s="2" t="str">
        <f>VLOOKUP(T_Voluntarios[[#This Row],[RUN]],BBDD[],7,FALSE)</f>
        <v>Chillán</v>
      </c>
      <c r="G58" s="2" t="str">
        <f>VLOOKUP(T_Voluntarios[[#This Row],[RUN]],BBDD[],8,FALSE)</f>
        <v>Celular</v>
      </c>
      <c r="H58" s="2" t="str">
        <f>IF(VLOOKUP(T_Voluntarios[[#This Row],[RUN]],BBDD[],9,FALSE)=0,"Falta",VLOOKUP(T_Voluntarios[[#This Row],[RUN]],BBDD[],9,FALSE))</f>
        <v>+56964778314</v>
      </c>
      <c r="I58" s="2" t="str">
        <f>VLOOKUP(T_Voluntarios[[#This Row],[RUN]],BBDD[],10,FALSE)</f>
        <v>Participante</v>
      </c>
      <c r="J58" s="2" t="str">
        <f>VLOOKUP(T_Voluntarios[[#This Row],[RUN]],BBDD[],11,FALSE)</f>
        <v>San Bartolomé</v>
      </c>
      <c r="K58" s="2" t="str">
        <f>VLOOKUP(T_Voluntarios[[#This Row],[RUN]],BBDD[],12,FALSE)</f>
        <v>Guias</v>
      </c>
      <c r="L58" s="2" t="str">
        <f>VLOOKUP(T_Voluntarios[[#This Row],[RUN]],BBDD[],15,FALSE)</f>
        <v>Zona Ñuble</v>
      </c>
      <c r="M58" s="2" t="str">
        <f>VLOOKUP(T_Voluntarios[[#This Row],[RUN]],BBDD[],20,FALSE)</f>
        <v>Sin Almuerzo</v>
      </c>
      <c r="N58" s="2" t="str">
        <f>VLOOKUP(T_Voluntarios[[#This Row],[RUN]],BBDD[],21,FALSE)</f>
        <v>Ninguna</v>
      </c>
      <c r="O58" s="2" t="str">
        <f>VLOOKUP(T_Voluntarios[[#This Row],[RUN]],BBDD[],22,FALSE)</f>
        <v>Ninguna</v>
      </c>
      <c r="P58" s="2" t="str">
        <f>VLOOKUP(T_Voluntarios[[#This Row],[RUN]],BBDD[],23,FALSE)</f>
        <v>Soledad Novoa +56949258108</v>
      </c>
      <c r="Q58" s="2" t="str">
        <f>IF(VLOOKUP(T_Voluntarios[[#This Row],[RUN]],BBDD[],27,FALSE)=0,"",VLOOKUP(T_Voluntarios[[#This Row],[RUN]],BBDD[],27,FALSE))</f>
        <v/>
      </c>
      <c r="R58" s="2" t="str">
        <f>VLOOKUP(T_Voluntarios[[#This Row],[RUN]],BBDD[],36,FALSE)</f>
        <v>https://drive.google.com/open?id=1BDGYlJ9PUp8C25K1917W2GafP6QLKgAG</v>
      </c>
      <c r="S58" s="2" t="str">
        <f>VLOOKUP(T_Voluntarios[[#This Row],[RUN]],BBDD[],16,FALSE)</f>
        <v>Inicial</v>
      </c>
      <c r="T58" s="2" t="str">
        <f>VLOOKUP(T_Voluntarios[[#This Row],[RUN]],BBDD[],17,FALSE)</f>
        <v>Ninguno</v>
      </c>
      <c r="U58" s="2" t="str">
        <f>VLOOKUP(T_Voluntarios[[#This Row],[RUN]],BBDD[],18,FALSE)</f>
        <v>Ninguno</v>
      </c>
      <c r="V58" s="2" t="str">
        <f>VLOOKUP(T_Voluntarios[[#This Row],[RUN]],BBDD[],19,FALSE)</f>
        <v>Ninguno</v>
      </c>
      <c r="W58" s="13" t="str">
        <f>IF(OR(T_Voluntarios[[#This Row],[ROL]]="Formador(a)"),"SI","NO")</f>
        <v>NO</v>
      </c>
      <c r="X58" s="13" t="str">
        <f>IF(ISERROR(VLOOKUP(T_Voluntarios[[#This Row],[RUN]],BBDD_Formadores[],15,FALSE)),"NO",VLOOKUP(T_Voluntarios[[#This Row],[RUN]],BBDD_Formadores[],15,FALSE))</f>
        <v>NO</v>
      </c>
      <c r="Y58" s="13" t="str">
        <f>IF(ISERROR(VLOOKUP(T_Voluntarios[[#This Row],[RUN]],BBDD_Formadores[],16,FALSE)),"NO",VLOOKUP(T_Voluntarios[[#This Row],[RUN]],BBDD_Formadores[],16,FALSE))</f>
        <v>NO</v>
      </c>
      <c r="Z58" s="13" t="str">
        <f>IF(ISERROR(VLOOKUP(T_Voluntarios[[#This Row],[RUN]],BBDD_Formadores[],17,FALSE)),"NO",VLOOKUP(T_Voluntarios[[#This Row],[RUN]],BBDD_Formadores[],17,FALSE))</f>
        <v>NO</v>
      </c>
      <c r="AA58" s="13" t="str">
        <f>IF(ISERROR(VLOOKUP(T_Voluntarios[[#This Row],[RUN]],BBDD_Formadores[],18,FALSE)),"NO",VLOOKUP(T_Voluntarios[[#This Row],[RUN]],BBDD_Formadores[],18,FALSE))</f>
        <v>NO</v>
      </c>
      <c r="AB58" s="13">
        <v>1</v>
      </c>
      <c r="AC58" s="13" t="s">
        <v>1</v>
      </c>
      <c r="AD58" s="13" t="s">
        <v>77</v>
      </c>
      <c r="AF58" s="2" t="str">
        <f>IF(VLOOKUP(T_Voluntarios[[#This Row],[RUN]],BBDD[],25,FALSE)=0,"",VLOOKUP(T_Voluntarios[[#This Row],[RUN]],BBDD[],25,FALSE))</f>
        <v/>
      </c>
      <c r="AG58" s="2" t="str">
        <f>IF(VLOOKUP(T_Voluntarios[[#This Row],[RUN]],BBDD[],26,FALSE)=0,"",VLOOKUP(T_Voluntarios[[#This Row],[RUN]],BBDD[],26,FALSE))</f>
        <v/>
      </c>
      <c r="AH58" s="2" t="str">
        <f>IF(VLOOKUP(T_Voluntarios[[#This Row],[RUN]],BBDD[],24,FALSE)=0,"",VLOOKUP(T_Voluntarios[[#This Row],[RUN]],BBDD[],24,FALSE))</f>
        <v/>
      </c>
      <c r="AI58" s="13" t="str">
        <f>VLOOKUP(T_Voluntarios[[#This Row],[RUN]],BBDD[],28,FALSE)</f>
        <v>No</v>
      </c>
      <c r="AJ58" s="13" t="str">
        <f>VLOOKUP(T_Voluntarios[[#This Row],[RUN]],BBDD[],28,FALSE)</f>
        <v>No</v>
      </c>
      <c r="AK58" s="32">
        <f>IF(T_Voluntarios[[#This Row],[ROL]]="Participante",SUMIFS(T_Cuotas[[#All],[Total]],T_Cuotas[[#All],[RUN]],T_Voluntarios[[#This Row],[RUN]]),-1)</f>
        <v>36500</v>
      </c>
      <c r="AL58" s="13" t="s">
        <v>1</v>
      </c>
      <c r="AM58" s="13" t="s">
        <v>2029</v>
      </c>
      <c r="AP58" s="2" t="str">
        <f>MID(T_Voluntarios[[#This Row],[E_MAIL]],SEARCH("@",T_Voluntarios[[#This Row],[E_MAIL]],1),LEN(T_Voluntarios[[#This Row],[E_MAIL]]))</f>
        <v>@gmail.com</v>
      </c>
      <c r="AQ58" s="13" t="str">
        <f>VLOOKUP(T_Voluntarios[[#This Row],[RUN]],BBDD[],37,FALSE)</f>
        <v>21</v>
      </c>
      <c r="AR58" s="2" t="str">
        <f>VLOOKUP(T_Voluntarios[[#This Row],[RUN]],BBDD[],29,FALSE)</f>
        <v>Estudiante</v>
      </c>
      <c r="AS58" s="2" t="str">
        <f>VLOOKUP(T_Voluntarios[[#This Row],[RUN]],BBDD[],30,FALSE)</f>
        <v>aprox 8-9 años</v>
      </c>
      <c r="AT58" s="2" t="str">
        <f>VLOOKUP(T_Voluntarios[[#This Row],[RUN]],BBDD[],31,FALSE)</f>
        <v>aprox un año y medio</v>
      </c>
      <c r="AU58" s="2" t="str">
        <f>VLOOKUP(T_Voluntarios[[#This Row],[RUN]],BBDD[],32,FALSE)</f>
        <v>Soltero(a)</v>
      </c>
      <c r="AV58" s="2" t="str">
        <f>VLOOKUP(T_Voluntarios[[#This Row],[RUN]],BBDD[],33,FALSE)</f>
        <v>Ninguna</v>
      </c>
      <c r="AW58" s="2" t="str">
        <f>VLOOKUP(T_Voluntarios[[#This Row],[RUN]],BBDD[],34,FALSE)</f>
        <v>Carlita</v>
      </c>
      <c r="AX58" s="13" t="s">
        <v>733</v>
      </c>
      <c r="AY58" s="76">
        <f>VLOOKUP(T_Voluntarios[[#This Row],[RUN]],BBDD[],2,FALSE)</f>
        <v>45784.470508371916</v>
      </c>
      <c r="AZ58" s="13" t="s">
        <v>3402</v>
      </c>
    </row>
    <row r="59" spans="1:52" ht="14.4" x14ac:dyDescent="0.3">
      <c r="A59" t="s">
        <v>1350</v>
      </c>
      <c r="B59" s="2" t="str">
        <f>VLOOKUP(T_Voluntarios[[#This Row],[RUN]],BBDD[],3,FALSE)</f>
        <v>italovergara2003@gmail.com</v>
      </c>
      <c r="C59" s="2" t="str">
        <f>VLOOKUP(T_Voluntarios[[#This Row],[RUN]],BBDD[],4,FALSE)</f>
        <v>Italo Gustavo Vergara Pacheco</v>
      </c>
      <c r="D59" s="16">
        <f>VLOOKUP(T_Voluntarios[[#This Row],[RUN]],BBDD[],5,FALSE)</f>
        <v>37943</v>
      </c>
      <c r="E59" s="2" t="str">
        <f>VLOOKUP(T_Voluntarios[[#This Row],[RUN]],BBDD[],6,FALSE)</f>
        <v>Sevilla 0536</v>
      </c>
      <c r="F59" s="2" t="str">
        <f>VLOOKUP(T_Voluntarios[[#This Row],[RUN]],BBDD[],7,FALSE)</f>
        <v>Los Ángeles</v>
      </c>
      <c r="G59" s="2" t="str">
        <f>VLOOKUP(T_Voluntarios[[#This Row],[RUN]],BBDD[],8,FALSE)</f>
        <v>Celular</v>
      </c>
      <c r="H59" s="2" t="str">
        <f>IF(VLOOKUP(T_Voluntarios[[#This Row],[RUN]],BBDD[],9,FALSE)=0,"Falta",VLOOKUP(T_Voluntarios[[#This Row],[RUN]],BBDD[],9,FALSE))</f>
        <v>+56934467257</v>
      </c>
      <c r="I59" s="2" t="str">
        <f>VLOOKUP(T_Voluntarios[[#This Row],[RUN]],BBDD[],10,FALSE)</f>
        <v>Participante</v>
      </c>
      <c r="J59" s="2" t="str">
        <f>VLOOKUP(T_Voluntarios[[#This Row],[RUN]],BBDD[],11,FALSE)</f>
        <v>Sagrada Familia</v>
      </c>
      <c r="K59" s="2" t="str">
        <f>VLOOKUP(T_Voluntarios[[#This Row],[RUN]],BBDD[],12,FALSE)</f>
        <v>Scouts</v>
      </c>
      <c r="L59" s="2" t="str">
        <f>VLOOKUP(T_Voluntarios[[#This Row],[RUN]],BBDD[],15,FALSE)</f>
        <v>Biobío</v>
      </c>
      <c r="M59" s="2" t="str">
        <f>VLOOKUP(T_Voluntarios[[#This Row],[RUN]],BBDD[],20,FALSE)</f>
        <v>Alimentación Tradicional</v>
      </c>
      <c r="N59" s="2" t="str">
        <f>VLOOKUP(T_Voluntarios[[#This Row],[RUN]],BBDD[],21,FALSE)</f>
        <v>Ninguna</v>
      </c>
      <c r="O59" s="2" t="str">
        <f>VLOOKUP(T_Voluntarios[[#This Row],[RUN]],BBDD[],22,FALSE)</f>
        <v>Ninguna</v>
      </c>
      <c r="P59" s="2" t="str">
        <f>VLOOKUP(T_Voluntarios[[#This Row],[RUN]],BBDD[],23,FALSE)</f>
        <v>Italo vergara +56988394580</v>
      </c>
      <c r="Q59" s="2" t="str">
        <f>IF(VLOOKUP(T_Voluntarios[[#This Row],[RUN]],BBDD[],27,FALSE)=0,"",VLOOKUP(T_Voluntarios[[#This Row],[RUN]],BBDD[],27,FALSE))</f>
        <v>No</v>
      </c>
      <c r="R59" s="2" t="str">
        <f>VLOOKUP(T_Voluntarios[[#This Row],[RUN]],BBDD[],36,FALSE)</f>
        <v>https://drive.google.com/open?id=1BWpQS5u8jtSKviRCwaeFwBjPAVOyvVf0</v>
      </c>
      <c r="S59" s="2" t="str">
        <f>VLOOKUP(T_Voluntarios[[#This Row],[RUN]],BBDD[],16,FALSE)</f>
        <v>Inicial</v>
      </c>
      <c r="T59" s="2" t="str">
        <f>VLOOKUP(T_Voluntarios[[#This Row],[RUN]],BBDD[],17,FALSE)</f>
        <v>Ninguno</v>
      </c>
      <c r="U59" s="2" t="str">
        <f>VLOOKUP(T_Voluntarios[[#This Row],[RUN]],BBDD[],18,FALSE)</f>
        <v>Ninguno</v>
      </c>
      <c r="V59" s="2" t="str">
        <f>VLOOKUP(T_Voluntarios[[#This Row],[RUN]],BBDD[],19,FALSE)</f>
        <v>Ninguno</v>
      </c>
      <c r="W59" s="13" t="str">
        <f>IF(OR(T_Voluntarios[[#This Row],[ROL]]="Formador(a)"),"SI","NO")</f>
        <v>NO</v>
      </c>
      <c r="X59" s="13" t="str">
        <f>IF(ISERROR(VLOOKUP(T_Voluntarios[[#This Row],[RUN]],BBDD_Formadores[],15,FALSE)),"NO",VLOOKUP(T_Voluntarios[[#This Row],[RUN]],BBDD_Formadores[],15,FALSE))</f>
        <v>NO</v>
      </c>
      <c r="Y59" s="13" t="str">
        <f>IF(ISERROR(VLOOKUP(T_Voluntarios[[#This Row],[RUN]],BBDD_Formadores[],16,FALSE)),"NO",VLOOKUP(T_Voluntarios[[#This Row],[RUN]],BBDD_Formadores[],16,FALSE))</f>
        <v>NO</v>
      </c>
      <c r="Z59" s="13" t="str">
        <f>IF(ISERROR(VLOOKUP(T_Voluntarios[[#This Row],[RUN]],BBDD_Formadores[],17,FALSE)),"NO",VLOOKUP(T_Voluntarios[[#This Row],[RUN]],BBDD_Formadores[],17,FALSE))</f>
        <v>NO</v>
      </c>
      <c r="AA59" s="13" t="str">
        <f>IF(ISERROR(VLOOKUP(T_Voluntarios[[#This Row],[RUN]],BBDD_Formadores[],18,FALSE)),"NO",VLOOKUP(T_Voluntarios[[#This Row],[RUN]],BBDD_Formadores[],18,FALSE))</f>
        <v>NO</v>
      </c>
      <c r="AB59" s="13">
        <v>1</v>
      </c>
      <c r="AC59" s="13" t="s">
        <v>1</v>
      </c>
      <c r="AD59" s="13" t="s">
        <v>77</v>
      </c>
      <c r="AF59" s="2" t="str">
        <f>IF(VLOOKUP(T_Voluntarios[[#This Row],[RUN]],BBDD[],25,FALSE)=0,"",VLOOKUP(T_Voluntarios[[#This Row],[RUN]],BBDD[],25,FALSE))</f>
        <v>No</v>
      </c>
      <c r="AG59" s="2" t="str">
        <f>IF(VLOOKUP(T_Voluntarios[[#This Row],[RUN]],BBDD[],26,FALSE)=0,"",VLOOKUP(T_Voluntarios[[#This Row],[RUN]],BBDD[],26,FALSE))</f>
        <v>No</v>
      </c>
      <c r="AH59" s="2" t="str">
        <f>IF(VLOOKUP(T_Voluntarios[[#This Row],[RUN]],BBDD[],24,FALSE)=0,"",VLOOKUP(T_Voluntarios[[#This Row],[RUN]],BBDD[],24,FALSE))</f>
        <v>No</v>
      </c>
      <c r="AI59" s="13" t="str">
        <f>VLOOKUP(T_Voluntarios[[#This Row],[RUN]],BBDD[],28,FALSE)</f>
        <v>SI</v>
      </c>
      <c r="AJ59" s="13" t="str">
        <f>VLOOKUP(T_Voluntarios[[#This Row],[RUN]],BBDD[],28,FALSE)</f>
        <v>SI</v>
      </c>
      <c r="AK59" s="32">
        <f>IF(T_Voluntarios[[#This Row],[ROL]]="Participante",SUMIFS(T_Cuotas[[#All],[Total]],T_Cuotas[[#All],[RUN]],T_Voluntarios[[#This Row],[RUN]]),-1)</f>
        <v>50000</v>
      </c>
      <c r="AL59" s="13" t="s">
        <v>1</v>
      </c>
      <c r="AM59" s="13" t="s">
        <v>2029</v>
      </c>
      <c r="AP59" s="2" t="str">
        <f>MID(T_Voluntarios[[#This Row],[E_MAIL]],SEARCH("@",T_Voluntarios[[#This Row],[E_MAIL]],1),LEN(T_Voluntarios[[#This Row],[E_MAIL]]))</f>
        <v>@gmail.com</v>
      </c>
      <c r="AQ59" s="13" t="str">
        <f>VLOOKUP(T_Voluntarios[[#This Row],[RUN]],BBDD[],37,FALSE)</f>
        <v>21</v>
      </c>
      <c r="AR59" s="2" t="str">
        <f>VLOOKUP(T_Voluntarios[[#This Row],[RUN]],BBDD[],29,FALSE)</f>
        <v>Estudiante</v>
      </c>
      <c r="AS59" s="2" t="str">
        <f>VLOOKUP(T_Voluntarios[[#This Row],[RUN]],BBDD[],30,FALSE)</f>
        <v>Alrededor de 2 años</v>
      </c>
      <c r="AT59" s="2" t="str">
        <f>VLOOKUP(T_Voluntarios[[#This Row],[RUN]],BBDD[],31,FALSE)</f>
        <v>No</v>
      </c>
      <c r="AU59" s="2" t="str">
        <f>VLOOKUP(T_Voluntarios[[#This Row],[RUN]],BBDD[],32,FALSE)</f>
        <v>Soltero(a)</v>
      </c>
      <c r="AV59" s="2" t="str">
        <f>VLOOKUP(T_Voluntarios[[#This Row],[RUN]],BBDD[],33,FALSE)</f>
        <v>Ninguna</v>
      </c>
      <c r="AW59" s="2" t="str">
        <f>VLOOKUP(T_Voluntarios[[#This Row],[RUN]],BBDD[],34,FALSE)</f>
        <v>Italo</v>
      </c>
      <c r="AX59" s="13" t="s">
        <v>733</v>
      </c>
      <c r="AY59" s="76">
        <f>VLOOKUP(T_Voluntarios[[#This Row],[RUN]],BBDD[],2,FALSE)</f>
        <v>45784.496556983024</v>
      </c>
      <c r="AZ59" s="13" t="s">
        <v>3403</v>
      </c>
    </row>
    <row r="60" spans="1:52" ht="14.4" x14ac:dyDescent="0.3">
      <c r="A60" t="s">
        <v>1358</v>
      </c>
      <c r="B60" s="2" t="str">
        <f>VLOOKUP(T_Voluntarios[[#This Row],[RUN]],BBDD[],3,FALSE)</f>
        <v>gabriela.cabrera.cortez25@gmail.com</v>
      </c>
      <c r="C60" s="2" t="str">
        <f>VLOOKUP(T_Voluntarios[[#This Row],[RUN]],BBDD[],4,FALSE)</f>
        <v>Gabriela Solange Cabrera Cortez</v>
      </c>
      <c r="D60" s="16">
        <f>VLOOKUP(T_Voluntarios[[#This Row],[RUN]],BBDD[],5,FALSE)</f>
        <v>34478</v>
      </c>
      <c r="E60" s="2" t="str">
        <f>VLOOKUP(T_Voluntarios[[#This Row],[RUN]],BBDD[],6,FALSE)</f>
        <v>Merino Jarpa 341</v>
      </c>
      <c r="F60" s="2" t="str">
        <f>VLOOKUP(T_Voluntarios[[#This Row],[RUN]],BBDD[],7,FALSE)</f>
        <v>Talcahuano</v>
      </c>
      <c r="G60" s="2" t="str">
        <f>VLOOKUP(T_Voluntarios[[#This Row],[RUN]],BBDD[],8,FALSE)</f>
        <v>Celular</v>
      </c>
      <c r="H60" s="2" t="str">
        <f>IF(VLOOKUP(T_Voluntarios[[#This Row],[RUN]],BBDD[],9,FALSE)=0,"Falta",VLOOKUP(T_Voluntarios[[#This Row],[RUN]],BBDD[],9,FALSE))</f>
        <v>+56971623617</v>
      </c>
      <c r="I60" s="2" t="str">
        <f>VLOOKUP(T_Voluntarios[[#This Row],[RUN]],BBDD[],10,FALSE)</f>
        <v>Participante</v>
      </c>
      <c r="J60" s="2" t="str">
        <f>VLOOKUP(T_Voluntarios[[#This Row],[RUN]],BBDD[],11,FALSE)</f>
        <v>Espíritu Santo</v>
      </c>
      <c r="K60" s="2" t="str">
        <f>VLOOKUP(T_Voluntarios[[#This Row],[RUN]],BBDD[],12,FALSE)</f>
        <v>Golondrinas</v>
      </c>
      <c r="L60" s="2" t="str">
        <f>VLOOKUP(T_Voluntarios[[#This Row],[RUN]],BBDD[],15,FALSE)</f>
        <v>Talcahuano - Hualpén</v>
      </c>
      <c r="M60" s="2" t="str">
        <f>VLOOKUP(T_Voluntarios[[#This Row],[RUN]],BBDD[],20,FALSE)</f>
        <v>Alimentación Tradicional</v>
      </c>
      <c r="N60" s="2" t="str">
        <f>VLOOKUP(T_Voluntarios[[#This Row],[RUN]],BBDD[],21,FALSE)</f>
        <v>Ninguna</v>
      </c>
      <c r="O60" s="2" t="str">
        <f>VLOOKUP(T_Voluntarios[[#This Row],[RUN]],BBDD[],22,FALSE)</f>
        <v>Ninguna</v>
      </c>
      <c r="P60" s="2" t="str">
        <f>VLOOKUP(T_Voluntarios[[#This Row],[RUN]],BBDD[],23,FALSE)</f>
        <v>Matías Mora +56941126596</v>
      </c>
      <c r="Q60" s="2" t="str">
        <f>IF(VLOOKUP(T_Voluntarios[[#This Row],[RUN]],BBDD[],27,FALSE)=0,"",VLOOKUP(T_Voluntarios[[#This Row],[RUN]],BBDD[],27,FALSE))</f>
        <v/>
      </c>
      <c r="R60" s="2" t="str">
        <f>VLOOKUP(T_Voluntarios[[#This Row],[RUN]],BBDD[],36,FALSE)</f>
        <v>https://drive.google.com/open?id=1z0RW1T2U4Vjoj3nKjzJXZsfw6VtdrJlO</v>
      </c>
      <c r="S60" s="2" t="str">
        <f>VLOOKUP(T_Voluntarios[[#This Row],[RUN]],BBDD[],16,FALSE)</f>
        <v>Inicial</v>
      </c>
      <c r="T60" s="2" t="str">
        <f>VLOOKUP(T_Voluntarios[[#This Row],[RUN]],BBDD[],17,FALSE)</f>
        <v>Ninguno</v>
      </c>
      <c r="U60" s="2" t="str">
        <f>VLOOKUP(T_Voluntarios[[#This Row],[RUN]],BBDD[],18,FALSE)</f>
        <v>Ninguno</v>
      </c>
      <c r="V60" s="2" t="str">
        <f>VLOOKUP(T_Voluntarios[[#This Row],[RUN]],BBDD[],19,FALSE)</f>
        <v>Ninguno</v>
      </c>
      <c r="W60" s="13" t="str">
        <f>IF(OR(T_Voluntarios[[#This Row],[ROL]]="Formador(a)"),"SI","NO")</f>
        <v>NO</v>
      </c>
      <c r="X60" s="13" t="str">
        <f>IF(ISERROR(VLOOKUP(T_Voluntarios[[#This Row],[RUN]],BBDD_Formadores[],15,FALSE)),"NO",VLOOKUP(T_Voluntarios[[#This Row],[RUN]],BBDD_Formadores[],15,FALSE))</f>
        <v>NO</v>
      </c>
      <c r="Y60" s="13" t="str">
        <f>IF(ISERROR(VLOOKUP(T_Voluntarios[[#This Row],[RUN]],BBDD_Formadores[],16,FALSE)),"NO",VLOOKUP(T_Voluntarios[[#This Row],[RUN]],BBDD_Formadores[],16,FALSE))</f>
        <v>NO</v>
      </c>
      <c r="Z60" s="13" t="str">
        <f>IF(ISERROR(VLOOKUP(T_Voluntarios[[#This Row],[RUN]],BBDD_Formadores[],17,FALSE)),"NO",VLOOKUP(T_Voluntarios[[#This Row],[RUN]],BBDD_Formadores[],17,FALSE))</f>
        <v>NO</v>
      </c>
      <c r="AA60" s="13" t="str">
        <f>IF(ISERROR(VLOOKUP(T_Voluntarios[[#This Row],[RUN]],BBDD_Formadores[],18,FALSE)),"NO",VLOOKUP(T_Voluntarios[[#This Row],[RUN]],BBDD_Formadores[],18,FALSE))</f>
        <v>NO</v>
      </c>
      <c r="AB60" s="13">
        <v>1</v>
      </c>
      <c r="AC60" s="13" t="s">
        <v>1597</v>
      </c>
      <c r="AD60" s="13" t="s">
        <v>78</v>
      </c>
      <c r="AF60" s="2" t="str">
        <f>IF(VLOOKUP(T_Voluntarios[[#This Row],[RUN]],BBDD[],25,FALSE)=0,"",VLOOKUP(T_Voluntarios[[#This Row],[RUN]],BBDD[],25,FALSE))</f>
        <v/>
      </c>
      <c r="AG60" s="2" t="str">
        <f>IF(VLOOKUP(T_Voluntarios[[#This Row],[RUN]],BBDD[],26,FALSE)=0,"",VLOOKUP(T_Voluntarios[[#This Row],[RUN]],BBDD[],26,FALSE))</f>
        <v/>
      </c>
      <c r="AH60" s="2" t="str">
        <f>IF(VLOOKUP(T_Voluntarios[[#This Row],[RUN]],BBDD[],24,FALSE)=0,"",VLOOKUP(T_Voluntarios[[#This Row],[RUN]],BBDD[],24,FALSE))</f>
        <v/>
      </c>
      <c r="AI60" s="13" t="str">
        <f>VLOOKUP(T_Voluntarios[[#This Row],[RUN]],BBDD[],28,FALSE)</f>
        <v>No</v>
      </c>
      <c r="AJ60" s="13" t="str">
        <f>VLOOKUP(T_Voluntarios[[#This Row],[RUN]],BBDD[],28,FALSE)</f>
        <v>No</v>
      </c>
      <c r="AK60" s="32">
        <f>IF(T_Voluntarios[[#This Row],[ROL]]="Participante",SUMIFS(T_Cuotas[[#All],[Total]],T_Cuotas[[#All],[RUN]],T_Voluntarios[[#This Row],[RUN]]),-1)</f>
        <v>0</v>
      </c>
      <c r="AL60" s="1" t="s">
        <v>78</v>
      </c>
      <c r="AM60" s="13" t="s">
        <v>733</v>
      </c>
      <c r="AP60" s="2" t="str">
        <f>MID(T_Voluntarios[[#This Row],[E_MAIL]],SEARCH("@",T_Voluntarios[[#This Row],[E_MAIL]],1),LEN(T_Voluntarios[[#This Row],[E_MAIL]]))</f>
        <v>@gmail.com</v>
      </c>
      <c r="AQ60" s="13" t="str">
        <f>VLOOKUP(T_Voluntarios[[#This Row],[RUN]],BBDD[],37,FALSE)</f>
        <v>31</v>
      </c>
      <c r="AR60" s="2" t="str">
        <f>VLOOKUP(T_Voluntarios[[#This Row],[RUN]],BBDD[],29,FALSE)</f>
        <v>Cosmetóloga</v>
      </c>
      <c r="AS60" s="2" t="str">
        <f>VLOOKUP(T_Voluntarios[[#This Row],[RUN]],BBDD[],30,FALSE)</f>
        <v>0</v>
      </c>
      <c r="AT60" s="2" t="str">
        <f>VLOOKUP(T_Voluntarios[[#This Row],[RUN]],BBDD[],31,FALSE)</f>
        <v>Nunca</v>
      </c>
      <c r="AU60" s="2" t="str">
        <f>VLOOKUP(T_Voluntarios[[#This Row],[RUN]],BBDD[],32,FALSE)</f>
        <v>Casado(a)</v>
      </c>
      <c r="AV60" s="2" t="str">
        <f>VLOOKUP(T_Voluntarios[[#This Row],[RUN]],BBDD[],33,FALSE)</f>
        <v>Ninguna</v>
      </c>
      <c r="AW60" s="2" t="str">
        <f>VLOOKUP(T_Voluntarios[[#This Row],[RUN]],BBDD[],34,FALSE)</f>
        <v>Gaby</v>
      </c>
      <c r="AX60" s="13" t="s">
        <v>733</v>
      </c>
      <c r="AY60" s="76">
        <f>VLOOKUP(T_Voluntarios[[#This Row],[RUN]],BBDD[],2,FALSE)</f>
        <v>45784.667297608023</v>
      </c>
      <c r="AZ60" s="13" t="s">
        <v>2</v>
      </c>
    </row>
    <row r="61" spans="1:52" ht="14.4" x14ac:dyDescent="0.3">
      <c r="A61" t="s">
        <v>1369</v>
      </c>
      <c r="B61" s="2" t="str">
        <f>VLOOKUP(T_Voluntarios[[#This Row],[RUN]],BBDD[],3,FALSE)</f>
        <v>milovan283@gmail.com</v>
      </c>
      <c r="C61" s="2" t="str">
        <f>VLOOKUP(T_Voluntarios[[#This Row],[RUN]],BBDD[],4,FALSE)</f>
        <v>Milovan Christopher Jesús San Martín Manríquez</v>
      </c>
      <c r="D61" s="16">
        <f>VLOOKUP(T_Voluntarios[[#This Row],[RUN]],BBDD[],5,FALSE)</f>
        <v>37537</v>
      </c>
      <c r="E61" s="2" t="str">
        <f>VLOOKUP(T_Voluntarios[[#This Row],[RUN]],BBDD[],6,FALSE)</f>
        <v>Las violetas 2924</v>
      </c>
      <c r="F61" s="2" t="str">
        <f>VLOOKUP(T_Voluntarios[[#This Row],[RUN]],BBDD[],7,FALSE)</f>
        <v>Chillán</v>
      </c>
      <c r="G61" s="2" t="str">
        <f>VLOOKUP(T_Voluntarios[[#This Row],[RUN]],BBDD[],8,FALSE)</f>
        <v>Celular</v>
      </c>
      <c r="H61" s="2" t="str">
        <f>IF(VLOOKUP(T_Voluntarios[[#This Row],[RUN]],BBDD[],9,FALSE)=0,"Falta",VLOOKUP(T_Voluntarios[[#This Row],[RUN]],BBDD[],9,FALSE))</f>
        <v>+56949327487</v>
      </c>
      <c r="I61" s="2" t="str">
        <f>VLOOKUP(T_Voluntarios[[#This Row],[RUN]],BBDD[],10,FALSE)</f>
        <v>Participante</v>
      </c>
      <c r="J61" s="2" t="str">
        <f>VLOOKUP(T_Voluntarios[[#This Row],[RUN]],BBDD[],11,FALSE)</f>
        <v>San Bartolomé</v>
      </c>
      <c r="K61" s="2" t="str">
        <f>VLOOKUP(T_Voluntarios[[#This Row],[RUN]],BBDD[],12,FALSE)</f>
        <v>Guias</v>
      </c>
      <c r="L61" s="2" t="str">
        <f>VLOOKUP(T_Voluntarios[[#This Row],[RUN]],BBDD[],15,FALSE)</f>
        <v>Zona Ñuble</v>
      </c>
      <c r="M61" s="2" t="str">
        <f>VLOOKUP(T_Voluntarios[[#This Row],[RUN]],BBDD[],20,FALSE)</f>
        <v>Sin Almuerzo</v>
      </c>
      <c r="N61" s="2" t="str">
        <f>VLOOKUP(T_Voluntarios[[#This Row],[RUN]],BBDD[],21,FALSE)</f>
        <v>Ninguna</v>
      </c>
      <c r="O61" s="2" t="str">
        <f>VLOOKUP(T_Voluntarios[[#This Row],[RUN]],BBDD[],22,FALSE)</f>
        <v>Ninguna</v>
      </c>
      <c r="P61" s="2" t="str">
        <f>VLOOKUP(T_Voluntarios[[#This Row],[RUN]],BBDD[],23,FALSE)</f>
        <v>Mariano San Martín +56978507141</v>
      </c>
      <c r="Q61" s="2" t="str">
        <f>IF(VLOOKUP(T_Voluntarios[[#This Row],[RUN]],BBDD[],27,FALSE)=0,"",VLOOKUP(T_Voluntarios[[#This Row],[RUN]],BBDD[],27,FALSE))</f>
        <v/>
      </c>
      <c r="R61" s="2" t="str">
        <f>VLOOKUP(T_Voluntarios[[#This Row],[RUN]],BBDD[],36,FALSE)</f>
        <v>https://drive.google.com/open?id=1-swV4syp1LeOILmICRUAH3bJdEzByYVC</v>
      </c>
      <c r="S61" s="2" t="str">
        <f>VLOOKUP(T_Voluntarios[[#This Row],[RUN]],BBDD[],16,FALSE)</f>
        <v>Inicial</v>
      </c>
      <c r="T61" s="2" t="str">
        <f>VLOOKUP(T_Voluntarios[[#This Row],[RUN]],BBDD[],17,FALSE)</f>
        <v>Ninguno</v>
      </c>
      <c r="U61" s="2" t="str">
        <f>VLOOKUP(T_Voluntarios[[#This Row],[RUN]],BBDD[],18,FALSE)</f>
        <v>Ninguno</v>
      </c>
      <c r="V61" s="2" t="str">
        <f>VLOOKUP(T_Voluntarios[[#This Row],[RUN]],BBDD[],19,FALSE)</f>
        <v>Ninguno</v>
      </c>
      <c r="W61" s="13" t="str">
        <f>IF(OR(T_Voluntarios[[#This Row],[ROL]]="Formador(a)"),"SI","NO")</f>
        <v>NO</v>
      </c>
      <c r="X61" s="13" t="str">
        <f>IF(ISERROR(VLOOKUP(T_Voluntarios[[#This Row],[RUN]],BBDD_Formadores[],15,FALSE)),"NO",VLOOKUP(T_Voluntarios[[#This Row],[RUN]],BBDD_Formadores[],15,FALSE))</f>
        <v>NO</v>
      </c>
      <c r="Y61" s="13" t="str">
        <f>IF(ISERROR(VLOOKUP(T_Voluntarios[[#This Row],[RUN]],BBDD_Formadores[],16,FALSE)),"NO",VLOOKUP(T_Voluntarios[[#This Row],[RUN]],BBDD_Formadores[],16,FALSE))</f>
        <v>NO</v>
      </c>
      <c r="Z61" s="13" t="str">
        <f>IF(ISERROR(VLOOKUP(T_Voluntarios[[#This Row],[RUN]],BBDD_Formadores[],17,FALSE)),"NO",VLOOKUP(T_Voluntarios[[#This Row],[RUN]],BBDD_Formadores[],17,FALSE))</f>
        <v>NO</v>
      </c>
      <c r="AA61" s="13" t="str">
        <f>IF(ISERROR(VLOOKUP(T_Voluntarios[[#This Row],[RUN]],BBDD_Formadores[],18,FALSE)),"NO",VLOOKUP(T_Voluntarios[[#This Row],[RUN]],BBDD_Formadores[],18,FALSE))</f>
        <v>NO</v>
      </c>
      <c r="AB61" s="13">
        <v>1</v>
      </c>
      <c r="AC61" s="13" t="s">
        <v>1</v>
      </c>
      <c r="AD61" s="13" t="s">
        <v>77</v>
      </c>
      <c r="AF61" s="2" t="str">
        <f>IF(VLOOKUP(T_Voluntarios[[#This Row],[RUN]],BBDD[],25,FALSE)=0,"",VLOOKUP(T_Voluntarios[[#This Row],[RUN]],BBDD[],25,FALSE))</f>
        <v/>
      </c>
      <c r="AG61" s="2" t="str">
        <f>IF(VLOOKUP(T_Voluntarios[[#This Row],[RUN]],BBDD[],26,FALSE)=0,"",VLOOKUP(T_Voluntarios[[#This Row],[RUN]],BBDD[],26,FALSE))</f>
        <v/>
      </c>
      <c r="AH61" s="2" t="str">
        <f>IF(VLOOKUP(T_Voluntarios[[#This Row],[RUN]],BBDD[],24,FALSE)=0,"",VLOOKUP(T_Voluntarios[[#This Row],[RUN]],BBDD[],24,FALSE))</f>
        <v/>
      </c>
      <c r="AI61" s="13" t="str">
        <f>VLOOKUP(T_Voluntarios[[#This Row],[RUN]],BBDD[],28,FALSE)</f>
        <v>No</v>
      </c>
      <c r="AJ61" s="13" t="str">
        <f>VLOOKUP(T_Voluntarios[[#This Row],[RUN]],BBDD[],28,FALSE)</f>
        <v>No</v>
      </c>
      <c r="AK61" s="32">
        <f>IF(T_Voluntarios[[#This Row],[ROL]]="Participante",SUMIFS(T_Cuotas[[#All],[Total]],T_Cuotas[[#All],[RUN]],T_Voluntarios[[#This Row],[RUN]]),-1)</f>
        <v>36500</v>
      </c>
      <c r="AL61" s="13" t="s">
        <v>1</v>
      </c>
      <c r="AM61" s="13" t="s">
        <v>2029</v>
      </c>
      <c r="AP61" s="2" t="str">
        <f>MID(T_Voluntarios[[#This Row],[E_MAIL]],SEARCH("@",T_Voluntarios[[#This Row],[E_MAIL]],1),LEN(T_Voluntarios[[#This Row],[E_MAIL]]))</f>
        <v>@gmail.com</v>
      </c>
      <c r="AQ61" s="13" t="str">
        <f>VLOOKUP(T_Voluntarios[[#This Row],[RUN]],BBDD[],37,FALSE)</f>
        <v>22</v>
      </c>
      <c r="AR61" s="2" t="str">
        <f>VLOOKUP(T_Voluntarios[[#This Row],[RUN]],BBDD[],29,FALSE)</f>
        <v>Estudiante</v>
      </c>
      <c r="AS61" s="2" t="str">
        <f>VLOOKUP(T_Voluntarios[[#This Row],[RUN]],BBDD[],30,FALSE)</f>
        <v>Diez años</v>
      </c>
      <c r="AT61" s="2" t="str">
        <f>VLOOKUP(T_Voluntarios[[#This Row],[RUN]],BBDD[],31,FALSE)</f>
        <v>Si, he trabajo con NNAJ como dirigente Scout durante 2 años</v>
      </c>
      <c r="AU61" s="2" t="str">
        <f>VLOOKUP(T_Voluntarios[[#This Row],[RUN]],BBDD[],32,FALSE)</f>
        <v>Soltero(a)</v>
      </c>
      <c r="AV61" s="2" t="str">
        <f>VLOOKUP(T_Voluntarios[[#This Row],[RUN]],BBDD[],33,FALSE)</f>
        <v>Ninguna</v>
      </c>
      <c r="AW61" s="2" t="str">
        <f>VLOOKUP(T_Voluntarios[[#This Row],[RUN]],BBDD[],34,FALSE)</f>
        <v>Miloo</v>
      </c>
      <c r="AX61" s="13" t="s">
        <v>733</v>
      </c>
      <c r="AY61" s="76">
        <f>VLOOKUP(T_Voluntarios[[#This Row],[RUN]],BBDD[],2,FALSE)</f>
        <v>45784.676533449077</v>
      </c>
      <c r="AZ61" s="13" t="s">
        <v>3402</v>
      </c>
    </row>
    <row r="62" spans="1:52" ht="14.4" x14ac:dyDescent="0.3">
      <c r="A62" t="s">
        <v>1380</v>
      </c>
      <c r="B62" s="2" t="str">
        <f>VLOOKUP(T_Voluntarios[[#This Row],[RUN]],BBDD[],3,FALSE)</f>
        <v>erikjesusantonio@gmail.com</v>
      </c>
      <c r="C62" s="2" t="str">
        <f>VLOOKUP(T_Voluntarios[[#This Row],[RUN]],BBDD[],4,FALSE)</f>
        <v>Erik Jesus Antonio Mariqueo Rodriguez</v>
      </c>
      <c r="D62" s="16">
        <f>VLOOKUP(T_Voluntarios[[#This Row],[RUN]],BBDD[],5,FALSE)</f>
        <v>37818</v>
      </c>
      <c r="E62" s="2" t="str">
        <f>VLOOKUP(T_Voluntarios[[#This Row],[RUN]],BBDD[],6,FALSE)</f>
        <v>Villa La Esperanza, Calle 1 #488.</v>
      </c>
      <c r="F62" s="2" t="str">
        <f>VLOOKUP(T_Voluntarios[[#This Row],[RUN]],BBDD[],7,FALSE)</f>
        <v>El Carmen</v>
      </c>
      <c r="G62" s="2" t="str">
        <f>VLOOKUP(T_Voluntarios[[#This Row],[RUN]],BBDD[],8,FALSE)</f>
        <v>Celular</v>
      </c>
      <c r="H62" s="2" t="str">
        <f>IF(VLOOKUP(T_Voluntarios[[#This Row],[RUN]],BBDD[],9,FALSE)=0,"Falta",VLOOKUP(T_Voluntarios[[#This Row],[RUN]],BBDD[],9,FALSE))</f>
        <v>+56957461773</v>
      </c>
      <c r="I62" s="2" t="str">
        <f>VLOOKUP(T_Voluntarios[[#This Row],[RUN]],BBDD[],10,FALSE)</f>
        <v>Participante</v>
      </c>
      <c r="J62" s="2" t="str">
        <f>VLOOKUP(T_Voluntarios[[#This Row],[RUN]],BBDD[],11,FALSE)</f>
        <v>La Montaña</v>
      </c>
      <c r="K62" s="2" t="str">
        <f>VLOOKUP(T_Voluntarios[[#This Row],[RUN]],BBDD[],12,FALSE)</f>
        <v>Scouts</v>
      </c>
      <c r="L62" s="2" t="str">
        <f>VLOOKUP(T_Voluntarios[[#This Row],[RUN]],BBDD[],15,FALSE)</f>
        <v>Zona Ñuble</v>
      </c>
      <c r="M62" s="2" t="str">
        <f>VLOOKUP(T_Voluntarios[[#This Row],[RUN]],BBDD[],20,FALSE)</f>
        <v>Alimentación Tradicional</v>
      </c>
      <c r="N62" s="2" t="str">
        <f>VLOOKUP(T_Voluntarios[[#This Row],[RUN]],BBDD[],21,FALSE)</f>
        <v>Ninguna</v>
      </c>
      <c r="O62" s="2" t="str">
        <f>VLOOKUP(T_Voluntarios[[#This Row],[RUN]],BBDD[],22,FALSE)</f>
        <v>Ninguna</v>
      </c>
      <c r="P62" s="2" t="str">
        <f>VLOOKUP(T_Voluntarios[[#This Row],[RUN]],BBDD[],23,FALSE)</f>
        <v>Yolanda Rodríguez Ruiz - 9 99160825</v>
      </c>
      <c r="Q62" s="2" t="str">
        <f>IF(VLOOKUP(T_Voluntarios[[#This Row],[RUN]],BBDD[],27,FALSE)=0,"",VLOOKUP(T_Voluntarios[[#This Row],[RUN]],BBDD[],27,FALSE))</f>
        <v/>
      </c>
      <c r="R62" s="2" t="str">
        <f>VLOOKUP(T_Voluntarios[[#This Row],[RUN]],BBDD[],36,FALSE)</f>
        <v>https://drive.google.com/open?id=1qwR6vnd4HVZmeJUM_7xnAVeHHsaQbXGL</v>
      </c>
      <c r="S62" s="2" t="str">
        <f>VLOOKUP(T_Voluntarios[[#This Row],[RUN]],BBDD[],16,FALSE)</f>
        <v>Inicial</v>
      </c>
      <c r="T62" s="2" t="str">
        <f>VLOOKUP(T_Voluntarios[[#This Row],[RUN]],BBDD[],17,FALSE)</f>
        <v>Ninguno</v>
      </c>
      <c r="U62" s="2" t="str">
        <f>VLOOKUP(T_Voluntarios[[#This Row],[RUN]],BBDD[],18,FALSE)</f>
        <v>Ninguno</v>
      </c>
      <c r="V62" s="2" t="str">
        <f>VLOOKUP(T_Voluntarios[[#This Row],[RUN]],BBDD[],19,FALSE)</f>
        <v>Ninguno</v>
      </c>
      <c r="W62" s="13" t="str">
        <f>IF(OR(T_Voluntarios[[#This Row],[ROL]]="Formador(a)"),"SI","NO")</f>
        <v>NO</v>
      </c>
      <c r="X62" s="13" t="str">
        <f>IF(ISERROR(VLOOKUP(T_Voluntarios[[#This Row],[RUN]],BBDD_Formadores[],15,FALSE)),"NO",VLOOKUP(T_Voluntarios[[#This Row],[RUN]],BBDD_Formadores[],15,FALSE))</f>
        <v>NO</v>
      </c>
      <c r="Y62" s="13" t="str">
        <f>IF(ISERROR(VLOOKUP(T_Voluntarios[[#This Row],[RUN]],BBDD_Formadores[],16,FALSE)),"NO",VLOOKUP(T_Voluntarios[[#This Row],[RUN]],BBDD_Formadores[],16,FALSE))</f>
        <v>NO</v>
      </c>
      <c r="Z62" s="13" t="str">
        <f>IF(ISERROR(VLOOKUP(T_Voluntarios[[#This Row],[RUN]],BBDD_Formadores[],17,FALSE)),"NO",VLOOKUP(T_Voluntarios[[#This Row],[RUN]],BBDD_Formadores[],17,FALSE))</f>
        <v>NO</v>
      </c>
      <c r="AA62" s="13" t="str">
        <f>IF(ISERROR(VLOOKUP(T_Voluntarios[[#This Row],[RUN]],BBDD_Formadores[],18,FALSE)),"NO",VLOOKUP(T_Voluntarios[[#This Row],[RUN]],BBDD_Formadores[],18,FALSE))</f>
        <v>NO</v>
      </c>
      <c r="AB62" s="13">
        <v>1</v>
      </c>
      <c r="AC62" s="13" t="s">
        <v>1</v>
      </c>
      <c r="AD62" s="13" t="s">
        <v>77</v>
      </c>
      <c r="AF62" s="2" t="str">
        <f>IF(VLOOKUP(T_Voluntarios[[#This Row],[RUN]],BBDD[],25,FALSE)=0,"",VLOOKUP(T_Voluntarios[[#This Row],[RUN]],BBDD[],25,FALSE))</f>
        <v/>
      </c>
      <c r="AG62" s="2" t="str">
        <f>IF(VLOOKUP(T_Voluntarios[[#This Row],[RUN]],BBDD[],26,FALSE)=0,"",VLOOKUP(T_Voluntarios[[#This Row],[RUN]],BBDD[],26,FALSE))</f>
        <v/>
      </c>
      <c r="AH62" s="2" t="str">
        <f>IF(VLOOKUP(T_Voluntarios[[#This Row],[RUN]],BBDD[],24,FALSE)=0,"",VLOOKUP(T_Voluntarios[[#This Row],[RUN]],BBDD[],24,FALSE))</f>
        <v/>
      </c>
      <c r="AI62" s="13" t="str">
        <f>VLOOKUP(T_Voluntarios[[#This Row],[RUN]],BBDD[],28,FALSE)</f>
        <v>SI</v>
      </c>
      <c r="AJ62" s="13" t="str">
        <f>VLOOKUP(T_Voluntarios[[#This Row],[RUN]],BBDD[],28,FALSE)</f>
        <v>SI</v>
      </c>
      <c r="AK62" s="32">
        <f>IF(T_Voluntarios[[#This Row],[ROL]]="Participante",SUMIFS(T_Cuotas[[#All],[Total]],T_Cuotas[[#All],[RUN]],T_Voluntarios[[#This Row],[RUN]]),-1)</f>
        <v>50000</v>
      </c>
      <c r="AL62" s="13" t="s">
        <v>1</v>
      </c>
      <c r="AM62" s="13" t="s">
        <v>2029</v>
      </c>
      <c r="AP62" s="2" t="str">
        <f>MID(T_Voluntarios[[#This Row],[E_MAIL]],SEARCH("@",T_Voluntarios[[#This Row],[E_MAIL]],1),LEN(T_Voluntarios[[#This Row],[E_MAIL]]))</f>
        <v>@gmail.com</v>
      </c>
      <c r="AQ62" s="13" t="str">
        <f>VLOOKUP(T_Voluntarios[[#This Row],[RUN]],BBDD[],37,FALSE)</f>
        <v>21</v>
      </c>
      <c r="AR62" s="2" t="str">
        <f>VLOOKUP(T_Voluntarios[[#This Row],[RUN]],BBDD[],29,FALSE)</f>
        <v>Gastronomo</v>
      </c>
      <c r="AS62" s="2" t="str">
        <f>VLOOKUP(T_Voluntarios[[#This Row],[RUN]],BBDD[],30,FALSE)</f>
        <v>11 años</v>
      </c>
      <c r="AT62" s="2" t="str">
        <f>VLOOKUP(T_Voluntarios[[#This Row],[RUN]],BBDD[],31,FALSE)</f>
        <v>3 años</v>
      </c>
      <c r="AU62" s="2" t="str">
        <f>VLOOKUP(T_Voluntarios[[#This Row],[RUN]],BBDD[],32,FALSE)</f>
        <v>Soltero(a)</v>
      </c>
      <c r="AV62" s="2" t="str">
        <f>VLOOKUP(T_Voluntarios[[#This Row],[RUN]],BBDD[],33,FALSE)</f>
        <v>Ninguna</v>
      </c>
      <c r="AW62" s="2" t="str">
        <f>VLOOKUP(T_Voluntarios[[#This Row],[RUN]],BBDD[],34,FALSE)</f>
        <v>Eriii</v>
      </c>
      <c r="AX62" s="13" t="s">
        <v>733</v>
      </c>
      <c r="AY62" s="76">
        <f>VLOOKUP(T_Voluntarios[[#This Row],[RUN]],BBDD[],2,FALSE)</f>
        <v>45784.69160416667</v>
      </c>
      <c r="AZ62" s="13" t="s">
        <v>3402</v>
      </c>
    </row>
    <row r="63" spans="1:52" ht="14.4" x14ac:dyDescent="0.3">
      <c r="A63" t="s">
        <v>1389</v>
      </c>
      <c r="B63" s="2" t="str">
        <f>VLOOKUP(T_Voluntarios[[#This Row],[RUN]],BBDD[],3,FALSE)</f>
        <v>martinqnt05@gmail.com</v>
      </c>
      <c r="C63" s="2" t="str">
        <f>VLOOKUP(T_Voluntarios[[#This Row],[RUN]],BBDD[],4,FALSE)</f>
        <v>Martin Nicolas Quintana Bravo</v>
      </c>
      <c r="D63" s="16">
        <f>VLOOKUP(T_Voluntarios[[#This Row],[RUN]],BBDD[],5,FALSE)</f>
        <v>38173</v>
      </c>
      <c r="E63" s="2" t="str">
        <f>VLOOKUP(T_Voluntarios[[#This Row],[RUN]],BBDD[],6,FALSE)</f>
        <v>Callejon San Juan, camino a Pinto</v>
      </c>
      <c r="F63" s="2" t="str">
        <f>VLOOKUP(T_Voluntarios[[#This Row],[RUN]],BBDD[],7,FALSE)</f>
        <v>Chillán</v>
      </c>
      <c r="G63" s="2" t="str">
        <f>VLOOKUP(T_Voluntarios[[#This Row],[RUN]],BBDD[],8,FALSE)</f>
        <v>Celular</v>
      </c>
      <c r="H63" s="2" t="str">
        <f>IF(VLOOKUP(T_Voluntarios[[#This Row],[RUN]],BBDD[],9,FALSE)=0,"Falta",VLOOKUP(T_Voluntarios[[#This Row],[RUN]],BBDD[],9,FALSE))</f>
        <v>+56967020262</v>
      </c>
      <c r="I63" s="2" t="str">
        <f>VLOOKUP(T_Voluntarios[[#This Row],[RUN]],BBDD[],10,FALSE)</f>
        <v>Participante</v>
      </c>
      <c r="J63" s="2" t="str">
        <f>VLOOKUP(T_Voluntarios[[#This Row],[RUN]],BBDD[],11,FALSE)</f>
        <v>San Bartolomé</v>
      </c>
      <c r="K63" s="2" t="str">
        <f>VLOOKUP(T_Voluntarios[[#This Row],[RUN]],BBDD[],12,FALSE)</f>
        <v>Lobatos</v>
      </c>
      <c r="L63" s="2" t="str">
        <f>VLOOKUP(T_Voluntarios[[#This Row],[RUN]],BBDD[],15,FALSE)</f>
        <v>Zona Ñuble</v>
      </c>
      <c r="M63" s="2" t="str">
        <f>VLOOKUP(T_Voluntarios[[#This Row],[RUN]],BBDD[],20,FALSE)</f>
        <v>Sin Almuerzo</v>
      </c>
      <c r="N63" s="2" t="str">
        <f>VLOOKUP(T_Voluntarios[[#This Row],[RUN]],BBDD[],21,FALSE)</f>
        <v>Ninguna</v>
      </c>
      <c r="O63" s="2" t="str">
        <f>VLOOKUP(T_Voluntarios[[#This Row],[RUN]],BBDD[],22,FALSE)</f>
        <v>Ninguna</v>
      </c>
      <c r="P63" s="2" t="str">
        <f>VLOOKUP(T_Voluntarios[[#This Row],[RUN]],BBDD[],23,FALSE)</f>
        <v>Lorena 9 86232588</v>
      </c>
      <c r="Q63" s="2" t="str">
        <f>IF(VLOOKUP(T_Voluntarios[[#This Row],[RUN]],BBDD[],27,FALSE)=0,"",VLOOKUP(T_Voluntarios[[#This Row],[RUN]],BBDD[],27,FALSE))</f>
        <v/>
      </c>
      <c r="R63" s="2" t="str">
        <f>VLOOKUP(T_Voluntarios[[#This Row],[RUN]],BBDD[],36,FALSE)</f>
        <v>https://drive.google.com/open?id=12raDTrqR1RjiK-AytP4XkAC10kscHq1L</v>
      </c>
      <c r="S63" s="2" t="str">
        <f>VLOOKUP(T_Voluntarios[[#This Row],[RUN]],BBDD[],16,FALSE)</f>
        <v>Inicial</v>
      </c>
      <c r="T63" s="2" t="str">
        <f>VLOOKUP(T_Voluntarios[[#This Row],[RUN]],BBDD[],17,FALSE)</f>
        <v>Ninguno</v>
      </c>
      <c r="U63" s="2" t="str">
        <f>VLOOKUP(T_Voluntarios[[#This Row],[RUN]],BBDD[],18,FALSE)</f>
        <v>Ninguno</v>
      </c>
      <c r="V63" s="2" t="str">
        <f>VLOOKUP(T_Voluntarios[[#This Row],[RUN]],BBDD[],19,FALSE)</f>
        <v>Ninguno</v>
      </c>
      <c r="W63" s="13" t="str">
        <f>IF(OR(T_Voluntarios[[#This Row],[ROL]]="Formador(a)"),"SI","NO")</f>
        <v>NO</v>
      </c>
      <c r="X63" s="13" t="str">
        <f>IF(ISERROR(VLOOKUP(T_Voluntarios[[#This Row],[RUN]],BBDD_Formadores[],15,FALSE)),"NO",VLOOKUP(T_Voluntarios[[#This Row],[RUN]],BBDD_Formadores[],15,FALSE))</f>
        <v>NO</v>
      </c>
      <c r="Y63" s="13" t="str">
        <f>IF(ISERROR(VLOOKUP(T_Voluntarios[[#This Row],[RUN]],BBDD_Formadores[],16,FALSE)),"NO",VLOOKUP(T_Voluntarios[[#This Row],[RUN]],BBDD_Formadores[],16,FALSE))</f>
        <v>NO</v>
      </c>
      <c r="Z63" s="13" t="str">
        <f>IF(ISERROR(VLOOKUP(T_Voluntarios[[#This Row],[RUN]],BBDD_Formadores[],17,FALSE)),"NO",VLOOKUP(T_Voluntarios[[#This Row],[RUN]],BBDD_Formadores[],17,FALSE))</f>
        <v>NO</v>
      </c>
      <c r="AA63" s="13" t="str">
        <f>IF(ISERROR(VLOOKUP(T_Voluntarios[[#This Row],[RUN]],BBDD_Formadores[],18,FALSE)),"NO",VLOOKUP(T_Voluntarios[[#This Row],[RUN]],BBDD_Formadores[],18,FALSE))</f>
        <v>NO</v>
      </c>
      <c r="AB63" s="13">
        <v>1</v>
      </c>
      <c r="AC63" s="13" t="s">
        <v>1</v>
      </c>
      <c r="AD63" s="13" t="s">
        <v>77</v>
      </c>
      <c r="AF63" s="2" t="str">
        <f>IF(VLOOKUP(T_Voluntarios[[#This Row],[RUN]],BBDD[],25,FALSE)=0,"",VLOOKUP(T_Voluntarios[[#This Row],[RUN]],BBDD[],25,FALSE))</f>
        <v/>
      </c>
      <c r="AG63" s="2" t="str">
        <f>IF(VLOOKUP(T_Voluntarios[[#This Row],[RUN]],BBDD[],26,FALSE)=0,"",VLOOKUP(T_Voluntarios[[#This Row],[RUN]],BBDD[],26,FALSE))</f>
        <v/>
      </c>
      <c r="AH63" s="2" t="str">
        <f>IF(VLOOKUP(T_Voluntarios[[#This Row],[RUN]],BBDD[],24,FALSE)=0,"",VLOOKUP(T_Voluntarios[[#This Row],[RUN]],BBDD[],24,FALSE))</f>
        <v/>
      </c>
      <c r="AI63" s="13" t="str">
        <f>VLOOKUP(T_Voluntarios[[#This Row],[RUN]],BBDD[],28,FALSE)</f>
        <v>No</v>
      </c>
      <c r="AJ63" s="13" t="str">
        <f>VLOOKUP(T_Voluntarios[[#This Row],[RUN]],BBDD[],28,FALSE)</f>
        <v>No</v>
      </c>
      <c r="AK63" s="32">
        <f>IF(T_Voluntarios[[#This Row],[ROL]]="Participante",SUMIFS(T_Cuotas[[#All],[Total]],T_Cuotas[[#All],[RUN]],T_Voluntarios[[#This Row],[RUN]]),-1)</f>
        <v>36500</v>
      </c>
      <c r="AL63" s="13" t="s">
        <v>1</v>
      </c>
      <c r="AM63" s="13" t="s">
        <v>2029</v>
      </c>
      <c r="AP63" s="2" t="str">
        <f>MID(T_Voluntarios[[#This Row],[E_MAIL]],SEARCH("@",T_Voluntarios[[#This Row],[E_MAIL]],1),LEN(T_Voluntarios[[#This Row],[E_MAIL]]))</f>
        <v>@gmail.com</v>
      </c>
      <c r="AQ63" s="13" t="str">
        <f>VLOOKUP(T_Voluntarios[[#This Row],[RUN]],BBDD[],37,FALSE)</f>
        <v>20</v>
      </c>
      <c r="AR63" s="2" t="str">
        <f>VLOOKUP(T_Voluntarios[[#This Row],[RUN]],BBDD[],29,FALSE)</f>
        <v>Estudiante</v>
      </c>
      <c r="AS63" s="2" t="str">
        <f>VLOOKUP(T_Voluntarios[[#This Row],[RUN]],BBDD[],30,FALSE)</f>
        <v>12 años</v>
      </c>
      <c r="AT63" s="2" t="str">
        <f>VLOOKUP(T_Voluntarios[[#This Row],[RUN]],BBDD[],31,FALSE)</f>
        <v>1 año</v>
      </c>
      <c r="AU63" s="2" t="str">
        <f>VLOOKUP(T_Voluntarios[[#This Row],[RUN]],BBDD[],32,FALSE)</f>
        <v>Soltero(a)</v>
      </c>
      <c r="AV63" s="2" t="str">
        <f>VLOOKUP(T_Voluntarios[[#This Row],[RUN]],BBDD[],33,FALSE)</f>
        <v>Catolica</v>
      </c>
      <c r="AW63" s="2" t="str">
        <f>VLOOKUP(T_Voluntarios[[#This Row],[RUN]],BBDD[],34,FALSE)</f>
        <v>Martín</v>
      </c>
      <c r="AX63" s="13" t="s">
        <v>733</v>
      </c>
      <c r="AY63" s="76">
        <f>VLOOKUP(T_Voluntarios[[#This Row],[RUN]],BBDD[],2,FALSE)</f>
        <v>45784.691846180554</v>
      </c>
      <c r="AZ63" s="13" t="s">
        <v>3402</v>
      </c>
    </row>
    <row r="64" spans="1:52" ht="14.4" x14ac:dyDescent="0.3">
      <c r="A64" t="s">
        <v>1396</v>
      </c>
      <c r="B64" s="2" t="str">
        <f>VLOOKUP(T_Voluntarios[[#This Row],[RUN]],BBDD[],3,FALSE)</f>
        <v>rafafitamedel7@gmail.com</v>
      </c>
      <c r="C64" s="2" t="str">
        <f>VLOOKUP(T_Voluntarios[[#This Row],[RUN]],BBDD[],4,FALSE)</f>
        <v>Rafaela Medel Bustamante</v>
      </c>
      <c r="D64" s="16">
        <f>VLOOKUP(T_Voluntarios[[#This Row],[RUN]],BBDD[],5,FALSE)</f>
        <v>37644</v>
      </c>
      <c r="E64" s="2" t="str">
        <f>VLOOKUP(T_Voluntarios[[#This Row],[RUN]],BBDD[],6,FALSE)</f>
        <v>Ríos 2323 #9 villa Barcelona</v>
      </c>
      <c r="F64" s="2" t="str">
        <f>VLOOKUP(T_Voluntarios[[#This Row],[RUN]],BBDD[],7,FALSE)</f>
        <v>Chillán</v>
      </c>
      <c r="G64" s="2" t="str">
        <f>VLOOKUP(T_Voluntarios[[#This Row],[RUN]],BBDD[],8,FALSE)</f>
        <v>Celular</v>
      </c>
      <c r="H64" s="2" t="str">
        <f>IF(VLOOKUP(T_Voluntarios[[#This Row],[RUN]],BBDD[],9,FALSE)=0,"Falta",VLOOKUP(T_Voluntarios[[#This Row],[RUN]],BBDD[],9,FALSE))</f>
        <v>+56944773131</v>
      </c>
      <c r="I64" s="2" t="str">
        <f>VLOOKUP(T_Voluntarios[[#This Row],[RUN]],BBDD[],10,FALSE)</f>
        <v>Participante</v>
      </c>
      <c r="J64" s="2" t="str">
        <f>VLOOKUP(T_Voluntarios[[#This Row],[RUN]],BBDD[],11,FALSE)</f>
        <v>San Bartolomé</v>
      </c>
      <c r="K64" s="2" t="str">
        <f>VLOOKUP(T_Voluntarios[[#This Row],[RUN]],BBDD[],12,FALSE)</f>
        <v>Guias</v>
      </c>
      <c r="L64" s="2" t="str">
        <f>VLOOKUP(T_Voluntarios[[#This Row],[RUN]],BBDD[],15,FALSE)</f>
        <v>Zona Ñuble</v>
      </c>
      <c r="M64" s="2" t="str">
        <f>VLOOKUP(T_Voluntarios[[#This Row],[RUN]],BBDD[],20,FALSE)</f>
        <v>Sin Almuerzo</v>
      </c>
      <c r="N64" s="2" t="str">
        <f>VLOOKUP(T_Voluntarios[[#This Row],[RUN]],BBDD[],21,FALSE)</f>
        <v>Ninguna</v>
      </c>
      <c r="O64" s="2" t="str">
        <f>VLOOKUP(T_Voluntarios[[#This Row],[RUN]],BBDD[],22,FALSE)</f>
        <v>Ninguna</v>
      </c>
      <c r="P64" s="2" t="str">
        <f>VLOOKUP(T_Voluntarios[[#This Row],[RUN]],BBDD[],23,FALSE)</f>
        <v>Carmen Gloria Bustamante +56998171763</v>
      </c>
      <c r="Q64" s="2" t="str">
        <f>IF(VLOOKUP(T_Voluntarios[[#This Row],[RUN]],BBDD[],27,FALSE)=0,"",VLOOKUP(T_Voluntarios[[#This Row],[RUN]],BBDD[],27,FALSE))</f>
        <v/>
      </c>
      <c r="R64" s="2" t="str">
        <f>VLOOKUP(T_Voluntarios[[#This Row],[RUN]],BBDD[],36,FALSE)</f>
        <v>https://drive.google.com/open?id=1dQr4GKE5OqhGwqdOLb1AlgPzSxPRn3Ky</v>
      </c>
      <c r="S64" s="2" t="str">
        <f>VLOOKUP(T_Voluntarios[[#This Row],[RUN]],BBDD[],16,FALSE)</f>
        <v>Inicial</v>
      </c>
      <c r="T64" s="2" t="str">
        <f>VLOOKUP(T_Voluntarios[[#This Row],[RUN]],BBDD[],17,FALSE)</f>
        <v>Ninguno</v>
      </c>
      <c r="U64" s="2" t="str">
        <f>VLOOKUP(T_Voluntarios[[#This Row],[RUN]],BBDD[],18,FALSE)</f>
        <v>Ninguno</v>
      </c>
      <c r="V64" s="2" t="str">
        <f>VLOOKUP(T_Voluntarios[[#This Row],[RUN]],BBDD[],19,FALSE)</f>
        <v>Ninguno</v>
      </c>
      <c r="W64" s="13" t="str">
        <f>IF(OR(T_Voluntarios[[#This Row],[ROL]]="Formador(a)"),"SI","NO")</f>
        <v>NO</v>
      </c>
      <c r="X64" s="13" t="str">
        <f>IF(ISERROR(VLOOKUP(T_Voluntarios[[#This Row],[RUN]],BBDD_Formadores[],15,FALSE)),"NO",VLOOKUP(T_Voluntarios[[#This Row],[RUN]],BBDD_Formadores[],15,FALSE))</f>
        <v>NO</v>
      </c>
      <c r="Y64" s="13" t="str">
        <f>IF(ISERROR(VLOOKUP(T_Voluntarios[[#This Row],[RUN]],BBDD_Formadores[],16,FALSE)),"NO",VLOOKUP(T_Voluntarios[[#This Row],[RUN]],BBDD_Formadores[],16,FALSE))</f>
        <v>NO</v>
      </c>
      <c r="Z64" s="13" t="str">
        <f>IF(ISERROR(VLOOKUP(T_Voluntarios[[#This Row],[RUN]],BBDD_Formadores[],17,FALSE)),"NO",VLOOKUP(T_Voluntarios[[#This Row],[RUN]],BBDD_Formadores[],17,FALSE))</f>
        <v>NO</v>
      </c>
      <c r="AA64" s="13" t="str">
        <f>IF(ISERROR(VLOOKUP(T_Voluntarios[[#This Row],[RUN]],BBDD_Formadores[],18,FALSE)),"NO",VLOOKUP(T_Voluntarios[[#This Row],[RUN]],BBDD_Formadores[],18,FALSE))</f>
        <v>NO</v>
      </c>
      <c r="AB64" s="13">
        <v>1</v>
      </c>
      <c r="AC64" s="13" t="s">
        <v>1</v>
      </c>
      <c r="AD64" s="13" t="s">
        <v>77</v>
      </c>
      <c r="AF64" s="2" t="str">
        <f>IF(VLOOKUP(T_Voluntarios[[#This Row],[RUN]],BBDD[],25,FALSE)=0,"",VLOOKUP(T_Voluntarios[[#This Row],[RUN]],BBDD[],25,FALSE))</f>
        <v/>
      </c>
      <c r="AG64" s="2" t="str">
        <f>IF(VLOOKUP(T_Voluntarios[[#This Row],[RUN]],BBDD[],26,FALSE)=0,"",VLOOKUP(T_Voluntarios[[#This Row],[RUN]],BBDD[],26,FALSE))</f>
        <v/>
      </c>
      <c r="AH64" s="2" t="str">
        <f>IF(VLOOKUP(T_Voluntarios[[#This Row],[RUN]],BBDD[],24,FALSE)=0,"",VLOOKUP(T_Voluntarios[[#This Row],[RUN]],BBDD[],24,FALSE))</f>
        <v/>
      </c>
      <c r="AI64" s="13" t="str">
        <f>VLOOKUP(T_Voluntarios[[#This Row],[RUN]],BBDD[],28,FALSE)</f>
        <v>No</v>
      </c>
      <c r="AJ64" s="13" t="str">
        <f>VLOOKUP(T_Voluntarios[[#This Row],[RUN]],BBDD[],28,FALSE)</f>
        <v>No</v>
      </c>
      <c r="AK64" s="32">
        <f>IF(T_Voluntarios[[#This Row],[ROL]]="Participante",SUMIFS(T_Cuotas[[#All],[Total]],T_Cuotas[[#All],[RUN]],T_Voluntarios[[#This Row],[RUN]]),-1)</f>
        <v>36500</v>
      </c>
      <c r="AL64" s="13" t="s">
        <v>1</v>
      </c>
      <c r="AM64" s="13" t="s">
        <v>2029</v>
      </c>
      <c r="AP64" s="2" t="str">
        <f>MID(T_Voluntarios[[#This Row],[E_MAIL]],SEARCH("@",T_Voluntarios[[#This Row],[E_MAIL]],1),LEN(T_Voluntarios[[#This Row],[E_MAIL]]))</f>
        <v>@gmail.com</v>
      </c>
      <c r="AQ64" s="13" t="str">
        <f>VLOOKUP(T_Voluntarios[[#This Row],[RUN]],BBDD[],37,FALSE)</f>
        <v>22</v>
      </c>
      <c r="AR64" s="2" t="str">
        <f>VLOOKUP(T_Voluntarios[[#This Row],[RUN]],BBDD[],29,FALSE)</f>
        <v>Educadora de parvulos</v>
      </c>
      <c r="AS64" s="2" t="str">
        <f>VLOOKUP(T_Voluntarios[[#This Row],[RUN]],BBDD[],30,FALSE)</f>
        <v>8 años</v>
      </c>
      <c r="AT64" s="2" t="str">
        <f>VLOOKUP(T_Voluntarios[[#This Row],[RUN]],BBDD[],31,FALSE)</f>
        <v>3 años</v>
      </c>
      <c r="AU64" s="2" t="str">
        <f>VLOOKUP(T_Voluntarios[[#This Row],[RUN]],BBDD[],32,FALSE)</f>
        <v>Soltero(a)</v>
      </c>
      <c r="AV64" s="2" t="str">
        <f>VLOOKUP(T_Voluntarios[[#This Row],[RUN]],BBDD[],33,FALSE)</f>
        <v>Ninguna</v>
      </c>
      <c r="AW64" s="2" t="str">
        <f>VLOOKUP(T_Voluntarios[[#This Row],[RUN]],BBDD[],34,FALSE)</f>
        <v>Rafa</v>
      </c>
      <c r="AX64" s="13" t="s">
        <v>733</v>
      </c>
      <c r="AY64" s="76">
        <f>VLOOKUP(T_Voluntarios[[#This Row],[RUN]],BBDD[],2,FALSE)</f>
        <v>45784.726124266977</v>
      </c>
      <c r="AZ64" s="13" t="s">
        <v>3402</v>
      </c>
    </row>
    <row r="65" spans="1:52" ht="14.4" x14ac:dyDescent="0.3">
      <c r="A65" t="s">
        <v>1406</v>
      </c>
      <c r="B65" s="2" t="str">
        <f>VLOOKUP(T_Voluntarios[[#This Row],[RUN]],BBDD[],3,FALSE)</f>
        <v>nicofigueroa2k04@gmail.com</v>
      </c>
      <c r="C65" s="2" t="str">
        <f>VLOOKUP(T_Voluntarios[[#This Row],[RUN]],BBDD[],4,FALSE)</f>
        <v>Nicolás Andrés Figueroa Orellana</v>
      </c>
      <c r="D65" s="16">
        <f>VLOOKUP(T_Voluntarios[[#This Row],[RUN]],BBDD[],5,FALSE)</f>
        <v>38328</v>
      </c>
      <c r="E65" s="2" t="str">
        <f>VLOOKUP(T_Voluntarios[[#This Row],[RUN]],BBDD[],6,FALSE)</f>
        <v>Los Angeles 264</v>
      </c>
      <c r="F65" s="2" t="str">
        <f>VLOOKUP(T_Voluntarios[[#This Row],[RUN]],BBDD[],7,FALSE)</f>
        <v>Chillán</v>
      </c>
      <c r="G65" s="2" t="str">
        <f>VLOOKUP(T_Voluntarios[[#This Row],[RUN]],BBDD[],8,FALSE)</f>
        <v>Celular</v>
      </c>
      <c r="H65" s="2" t="str">
        <f>IF(VLOOKUP(T_Voluntarios[[#This Row],[RUN]],BBDD[],9,FALSE)=0,"Falta",VLOOKUP(T_Voluntarios[[#This Row],[RUN]],BBDD[],9,FALSE))</f>
        <v>+56957143597</v>
      </c>
      <c r="I65" s="2" t="str">
        <f>VLOOKUP(T_Voluntarios[[#This Row],[RUN]],BBDD[],10,FALSE)</f>
        <v>Participante</v>
      </c>
      <c r="J65" s="2" t="str">
        <f>VLOOKUP(T_Voluntarios[[#This Row],[RUN]],BBDD[],11,FALSE)</f>
        <v>San Bartolomé</v>
      </c>
      <c r="K65" s="2" t="str">
        <f>VLOOKUP(T_Voluntarios[[#This Row],[RUN]],BBDD[],12,FALSE)</f>
        <v>Scouts</v>
      </c>
      <c r="L65" s="2" t="str">
        <f>VLOOKUP(T_Voluntarios[[#This Row],[RUN]],BBDD[],15,FALSE)</f>
        <v>Zona Ñuble</v>
      </c>
      <c r="M65" s="2" t="str">
        <f>VLOOKUP(T_Voluntarios[[#This Row],[RUN]],BBDD[],20,FALSE)</f>
        <v>Sin Almuerzo</v>
      </c>
      <c r="N65" s="2" t="str">
        <f>VLOOKUP(T_Voluntarios[[#This Row],[RUN]],BBDD[],21,FALSE)</f>
        <v>Ninguna</v>
      </c>
      <c r="O65" s="2" t="str">
        <f>VLOOKUP(T_Voluntarios[[#This Row],[RUN]],BBDD[],22,FALSE)</f>
        <v>Ninguna</v>
      </c>
      <c r="P65" s="2" t="str">
        <f>VLOOKUP(T_Voluntarios[[#This Row],[RUN]],BBDD[],23,FALSE)</f>
        <v>Lorena Orellana - +56997426872</v>
      </c>
      <c r="Q65" s="2" t="str">
        <f>IF(VLOOKUP(T_Voluntarios[[#This Row],[RUN]],BBDD[],27,FALSE)=0,"",VLOOKUP(T_Voluntarios[[#This Row],[RUN]],BBDD[],27,FALSE))</f>
        <v/>
      </c>
      <c r="R65" s="2" t="str">
        <f>VLOOKUP(T_Voluntarios[[#This Row],[RUN]],BBDD[],36,FALSE)</f>
        <v>https://drive.google.com/open?id=1NF9GVVXR0nQdeoVt5MALgzTYp0BpLr_D</v>
      </c>
      <c r="S65" s="2" t="str">
        <f>VLOOKUP(T_Voluntarios[[#This Row],[RUN]],BBDD[],16,FALSE)</f>
        <v>Inicial</v>
      </c>
      <c r="T65" s="2" t="str">
        <f>VLOOKUP(T_Voluntarios[[#This Row],[RUN]],BBDD[],17,FALSE)</f>
        <v>Ninguno</v>
      </c>
      <c r="U65" s="2" t="str">
        <f>VLOOKUP(T_Voluntarios[[#This Row],[RUN]],BBDD[],18,FALSE)</f>
        <v>Ninguno</v>
      </c>
      <c r="V65" s="2" t="str">
        <f>VLOOKUP(T_Voluntarios[[#This Row],[RUN]],BBDD[],19,FALSE)</f>
        <v>Ninguno</v>
      </c>
      <c r="W65" s="13" t="str">
        <f>IF(OR(T_Voluntarios[[#This Row],[ROL]]="Formador(a)"),"SI","NO")</f>
        <v>NO</v>
      </c>
      <c r="X65" s="13" t="str">
        <f>IF(ISERROR(VLOOKUP(T_Voluntarios[[#This Row],[RUN]],BBDD_Formadores[],15,FALSE)),"NO",VLOOKUP(T_Voluntarios[[#This Row],[RUN]],BBDD_Formadores[],15,FALSE))</f>
        <v>NO</v>
      </c>
      <c r="Y65" s="13" t="str">
        <f>IF(ISERROR(VLOOKUP(T_Voluntarios[[#This Row],[RUN]],BBDD_Formadores[],16,FALSE)),"NO",VLOOKUP(T_Voluntarios[[#This Row],[RUN]],BBDD_Formadores[],16,FALSE))</f>
        <v>NO</v>
      </c>
      <c r="Z65" s="13" t="str">
        <f>IF(ISERROR(VLOOKUP(T_Voluntarios[[#This Row],[RUN]],BBDD_Formadores[],17,FALSE)),"NO",VLOOKUP(T_Voluntarios[[#This Row],[RUN]],BBDD_Formadores[],17,FALSE))</f>
        <v>NO</v>
      </c>
      <c r="AA65" s="13" t="str">
        <f>IF(ISERROR(VLOOKUP(T_Voluntarios[[#This Row],[RUN]],BBDD_Formadores[],18,FALSE)),"NO",VLOOKUP(T_Voluntarios[[#This Row],[RUN]],BBDD_Formadores[],18,FALSE))</f>
        <v>NO</v>
      </c>
      <c r="AB65" s="13">
        <v>1</v>
      </c>
      <c r="AC65" s="13" t="s">
        <v>1</v>
      </c>
      <c r="AD65" s="13" t="s">
        <v>77</v>
      </c>
      <c r="AF65" s="2" t="str">
        <f>IF(VLOOKUP(T_Voluntarios[[#This Row],[RUN]],BBDD[],25,FALSE)=0,"",VLOOKUP(T_Voluntarios[[#This Row],[RUN]],BBDD[],25,FALSE))</f>
        <v/>
      </c>
      <c r="AG65" s="2" t="str">
        <f>IF(VLOOKUP(T_Voluntarios[[#This Row],[RUN]],BBDD[],26,FALSE)=0,"",VLOOKUP(T_Voluntarios[[#This Row],[RUN]],BBDD[],26,FALSE))</f>
        <v/>
      </c>
      <c r="AH65" s="2" t="str">
        <f>IF(VLOOKUP(T_Voluntarios[[#This Row],[RUN]],BBDD[],24,FALSE)=0,"",VLOOKUP(T_Voluntarios[[#This Row],[RUN]],BBDD[],24,FALSE))</f>
        <v/>
      </c>
      <c r="AI65" s="13" t="str">
        <f>VLOOKUP(T_Voluntarios[[#This Row],[RUN]],BBDD[],28,FALSE)</f>
        <v>No</v>
      </c>
      <c r="AJ65" s="13" t="str">
        <f>VLOOKUP(T_Voluntarios[[#This Row],[RUN]],BBDD[],28,FALSE)</f>
        <v>No</v>
      </c>
      <c r="AK65" s="32">
        <f>IF(T_Voluntarios[[#This Row],[ROL]]="Participante",SUMIFS(T_Cuotas[[#All],[Total]],T_Cuotas[[#All],[RUN]],T_Voluntarios[[#This Row],[RUN]]),-1)</f>
        <v>36500</v>
      </c>
      <c r="AL65" s="13" t="s">
        <v>1</v>
      </c>
      <c r="AM65" s="13" t="s">
        <v>2029</v>
      </c>
      <c r="AP65" s="2" t="str">
        <f>MID(T_Voluntarios[[#This Row],[E_MAIL]],SEARCH("@",T_Voluntarios[[#This Row],[E_MAIL]],1),LEN(T_Voluntarios[[#This Row],[E_MAIL]]))</f>
        <v>@gmail.com</v>
      </c>
      <c r="AQ65" s="13" t="str">
        <f>VLOOKUP(T_Voluntarios[[#This Row],[RUN]],BBDD[],37,FALSE)</f>
        <v>20</v>
      </c>
      <c r="AR65" s="2" t="str">
        <f>VLOOKUP(T_Voluntarios[[#This Row],[RUN]],BBDD[],29,FALSE)</f>
        <v>Estudiante de Psicología</v>
      </c>
      <c r="AS65" s="2" t="str">
        <f>VLOOKUP(T_Voluntarios[[#This Row],[RUN]],BBDD[],30,FALSE)</f>
        <v>11 años</v>
      </c>
      <c r="AT65" s="2" t="str">
        <f>VLOOKUP(T_Voluntarios[[#This Row],[RUN]],BBDD[],31,FALSE)</f>
        <v>3 meses</v>
      </c>
      <c r="AU65" s="2" t="str">
        <f>VLOOKUP(T_Voluntarios[[#This Row],[RUN]],BBDD[],32,FALSE)</f>
        <v>Soltero(a)</v>
      </c>
      <c r="AV65" s="2" t="str">
        <f>VLOOKUP(T_Voluntarios[[#This Row],[RUN]],BBDD[],33,FALSE)</f>
        <v>Ninguna</v>
      </c>
      <c r="AW65" s="2" t="str">
        <f>VLOOKUP(T_Voluntarios[[#This Row],[RUN]],BBDD[],34,FALSE)</f>
        <v>Niko</v>
      </c>
      <c r="AX65" s="13" t="s">
        <v>733</v>
      </c>
      <c r="AY65" s="76">
        <f>VLOOKUP(T_Voluntarios[[#This Row],[RUN]],BBDD[],2,FALSE)</f>
        <v>45784.829947993829</v>
      </c>
      <c r="AZ65" s="13" t="s">
        <v>3402</v>
      </c>
    </row>
    <row r="66" spans="1:52" ht="14.4" x14ac:dyDescent="0.3">
      <c r="A66" t="s">
        <v>1415</v>
      </c>
      <c r="B66" s="2" t="str">
        <f>VLOOKUP(T_Voluntarios[[#This Row],[RUN]],BBDD[],3,FALSE)</f>
        <v>sebabravo1810@gmail.com</v>
      </c>
      <c r="C66" s="2" t="str">
        <f>VLOOKUP(T_Voluntarios[[#This Row],[RUN]],BBDD[],4,FALSE)</f>
        <v>Sebastián Alejandro Bravo García</v>
      </c>
      <c r="D66" s="16">
        <f>VLOOKUP(T_Voluntarios[[#This Row],[RUN]],BBDD[],5,FALSE)</f>
        <v>37912</v>
      </c>
      <c r="E66" s="2" t="str">
        <f>VLOOKUP(T_Voluntarios[[#This Row],[RUN]],BBDD[],6,FALSE)</f>
        <v>Psje Radium 861</v>
      </c>
      <c r="F66" s="2" t="str">
        <f>VLOOKUP(T_Voluntarios[[#This Row],[RUN]],BBDD[],7,FALSE)</f>
        <v>Concepción</v>
      </c>
      <c r="G66" s="2" t="str">
        <f>VLOOKUP(T_Voluntarios[[#This Row],[RUN]],BBDD[],8,FALSE)</f>
        <v>Celular</v>
      </c>
      <c r="H66" s="2" t="str">
        <f>IF(VLOOKUP(T_Voluntarios[[#This Row],[RUN]],BBDD[],9,FALSE)=0,"Falta",VLOOKUP(T_Voluntarios[[#This Row],[RUN]],BBDD[],9,FALSE))</f>
        <v>+56993960099</v>
      </c>
      <c r="I66" s="2" t="str">
        <f>VLOOKUP(T_Voluntarios[[#This Row],[RUN]],BBDD[],10,FALSE)</f>
        <v>Participante</v>
      </c>
      <c r="J66" s="2" t="str">
        <f>VLOOKUP(T_Voluntarios[[#This Row],[RUN]],BBDD[],11,FALSE)</f>
        <v>San Bartolomé</v>
      </c>
      <c r="K66" s="2" t="str">
        <f>VLOOKUP(T_Voluntarios[[#This Row],[RUN]],BBDD[],12,FALSE)</f>
        <v>Scouts</v>
      </c>
      <c r="L66" s="2" t="str">
        <f>VLOOKUP(T_Voluntarios[[#This Row],[RUN]],BBDD[],15,FALSE)</f>
        <v>Zona Ñuble</v>
      </c>
      <c r="M66" s="2" t="str">
        <f>VLOOKUP(T_Voluntarios[[#This Row],[RUN]],BBDD[],20,FALSE)</f>
        <v>Sin Almuerzo</v>
      </c>
      <c r="N66" s="2" t="str">
        <f>VLOOKUP(T_Voluntarios[[#This Row],[RUN]],BBDD[],21,FALSE)</f>
        <v>Huevo frito, huevo revuelto, huevo pochado</v>
      </c>
      <c r="O66" s="2" t="str">
        <f>VLOOKUP(T_Voluntarios[[#This Row],[RUN]],BBDD[],22,FALSE)</f>
        <v>Ninguna</v>
      </c>
      <c r="P66" s="2" t="str">
        <f>VLOOKUP(T_Voluntarios[[#This Row],[RUN]],BBDD[],23,FALSE)</f>
        <v>Viviana García +56976809698</v>
      </c>
      <c r="Q66" s="2" t="str">
        <f>IF(VLOOKUP(T_Voluntarios[[#This Row],[RUN]],BBDD[],27,FALSE)=0,"",VLOOKUP(T_Voluntarios[[#This Row],[RUN]],BBDD[],27,FALSE))</f>
        <v/>
      </c>
      <c r="R66" s="2" t="str">
        <f>VLOOKUP(T_Voluntarios[[#This Row],[RUN]],BBDD[],36,FALSE)</f>
        <v>https://drive.google.com/open?id=108aSDgry3C_hhtqBxheda9mlG-Sq5ADw</v>
      </c>
      <c r="S66" s="2" t="str">
        <f>VLOOKUP(T_Voluntarios[[#This Row],[RUN]],BBDD[],16,FALSE)</f>
        <v>Inicial</v>
      </c>
      <c r="T66" s="2" t="str">
        <f>VLOOKUP(T_Voluntarios[[#This Row],[RUN]],BBDD[],17,FALSE)</f>
        <v>Ninguno</v>
      </c>
      <c r="U66" s="2" t="str">
        <f>VLOOKUP(T_Voluntarios[[#This Row],[RUN]],BBDD[],18,FALSE)</f>
        <v>Ninguno</v>
      </c>
      <c r="V66" s="2" t="str">
        <f>VLOOKUP(T_Voluntarios[[#This Row],[RUN]],BBDD[],19,FALSE)</f>
        <v>Ninguno</v>
      </c>
      <c r="W66" s="13" t="str">
        <f>IF(OR(T_Voluntarios[[#This Row],[ROL]]="Formador(a)"),"SI","NO")</f>
        <v>NO</v>
      </c>
      <c r="X66" s="13" t="str">
        <f>IF(ISERROR(VLOOKUP(T_Voluntarios[[#This Row],[RUN]],BBDD_Formadores[],15,FALSE)),"NO",VLOOKUP(T_Voluntarios[[#This Row],[RUN]],BBDD_Formadores[],15,FALSE))</f>
        <v>NO</v>
      </c>
      <c r="Y66" s="13" t="str">
        <f>IF(ISERROR(VLOOKUP(T_Voluntarios[[#This Row],[RUN]],BBDD_Formadores[],16,FALSE)),"NO",VLOOKUP(T_Voluntarios[[#This Row],[RUN]],BBDD_Formadores[],16,FALSE))</f>
        <v>NO</v>
      </c>
      <c r="Z66" s="13" t="str">
        <f>IF(ISERROR(VLOOKUP(T_Voluntarios[[#This Row],[RUN]],BBDD_Formadores[],17,FALSE)),"NO",VLOOKUP(T_Voluntarios[[#This Row],[RUN]],BBDD_Formadores[],17,FALSE))</f>
        <v>NO</v>
      </c>
      <c r="AA66" s="13" t="str">
        <f>IF(ISERROR(VLOOKUP(T_Voluntarios[[#This Row],[RUN]],BBDD_Formadores[],18,FALSE)),"NO",VLOOKUP(T_Voluntarios[[#This Row],[RUN]],BBDD_Formadores[],18,FALSE))</f>
        <v>NO</v>
      </c>
      <c r="AB66" s="13">
        <v>1</v>
      </c>
      <c r="AC66" s="13" t="s">
        <v>1</v>
      </c>
      <c r="AD66" s="13" t="s">
        <v>77</v>
      </c>
      <c r="AF66" s="2" t="str">
        <f>IF(VLOOKUP(T_Voluntarios[[#This Row],[RUN]],BBDD[],25,FALSE)=0,"",VLOOKUP(T_Voluntarios[[#This Row],[RUN]],BBDD[],25,FALSE))</f>
        <v/>
      </c>
      <c r="AG66" s="2" t="str">
        <f>IF(VLOOKUP(T_Voluntarios[[#This Row],[RUN]],BBDD[],26,FALSE)=0,"",VLOOKUP(T_Voluntarios[[#This Row],[RUN]],BBDD[],26,FALSE))</f>
        <v/>
      </c>
      <c r="AH66" s="2" t="str">
        <f>IF(VLOOKUP(T_Voluntarios[[#This Row],[RUN]],BBDD[],24,FALSE)=0,"",VLOOKUP(T_Voluntarios[[#This Row],[RUN]],BBDD[],24,FALSE))</f>
        <v/>
      </c>
      <c r="AI66" s="13" t="str">
        <f>VLOOKUP(T_Voluntarios[[#This Row],[RUN]],BBDD[],28,FALSE)</f>
        <v>No</v>
      </c>
      <c r="AJ66" s="13" t="str">
        <f>VLOOKUP(T_Voluntarios[[#This Row],[RUN]],BBDD[],28,FALSE)</f>
        <v>No</v>
      </c>
      <c r="AK66" s="32">
        <f>IF(T_Voluntarios[[#This Row],[ROL]]="Participante",SUMIFS(T_Cuotas[[#All],[Total]],T_Cuotas[[#All],[RUN]],T_Voluntarios[[#This Row],[RUN]]),-1)</f>
        <v>36500</v>
      </c>
      <c r="AL66" s="13" t="s">
        <v>1</v>
      </c>
      <c r="AM66" s="13" t="s">
        <v>2029</v>
      </c>
      <c r="AP66" s="2" t="str">
        <f>MID(T_Voluntarios[[#This Row],[E_MAIL]],SEARCH("@",T_Voluntarios[[#This Row],[E_MAIL]],1),LEN(T_Voluntarios[[#This Row],[E_MAIL]]))</f>
        <v>@gmail.com</v>
      </c>
      <c r="AQ66" s="13" t="str">
        <f>VLOOKUP(T_Voluntarios[[#This Row],[RUN]],BBDD[],37,FALSE)</f>
        <v>21</v>
      </c>
      <c r="AR66" s="2" t="str">
        <f>VLOOKUP(T_Voluntarios[[#This Row],[RUN]],BBDD[],29,FALSE)</f>
        <v>Bachiller en Comunicación</v>
      </c>
      <c r="AS66" s="2" t="str">
        <f>VLOOKUP(T_Voluntarios[[#This Row],[RUN]],BBDD[],30,FALSE)</f>
        <v>8 años</v>
      </c>
      <c r="AT66" s="2" t="str">
        <f>VLOOKUP(T_Voluntarios[[#This Row],[RUN]],BBDD[],31,FALSE)</f>
        <v>3 años</v>
      </c>
      <c r="AU66" s="2" t="str">
        <f>VLOOKUP(T_Voluntarios[[#This Row],[RUN]],BBDD[],32,FALSE)</f>
        <v>Soltero(a)</v>
      </c>
      <c r="AV66" s="2" t="str">
        <f>VLOOKUP(T_Voluntarios[[#This Row],[RUN]],BBDD[],33,FALSE)</f>
        <v>Católica</v>
      </c>
      <c r="AW66" s="2" t="str">
        <f>VLOOKUP(T_Voluntarios[[#This Row],[RUN]],BBDD[],34,FALSE)</f>
        <v>Seba</v>
      </c>
      <c r="AX66" s="13" t="s">
        <v>733</v>
      </c>
      <c r="AY66" s="76">
        <f>VLOOKUP(T_Voluntarios[[#This Row],[RUN]],BBDD[],2,FALSE)</f>
        <v>45784.93633753858</v>
      </c>
      <c r="AZ66" s="13" t="s">
        <v>3402</v>
      </c>
    </row>
    <row r="67" spans="1:52" ht="14.4" x14ac:dyDescent="0.3">
      <c r="A67" t="s">
        <v>1425</v>
      </c>
      <c r="B67" s="2" t="str">
        <f>VLOOKUP(T_Voluntarios[[#This Row],[RUN]],BBDD[],3,FALSE)</f>
        <v>tomasespinozamunz@gmail.com</v>
      </c>
      <c r="C67" s="2" t="str">
        <f>VLOOKUP(T_Voluntarios[[#This Row],[RUN]],BBDD[],4,FALSE)</f>
        <v>Tomas Alberto Espinoza Muñoz</v>
      </c>
      <c r="D67" s="16">
        <f>VLOOKUP(T_Voluntarios[[#This Row],[RUN]],BBDD[],5,FALSE)</f>
        <v>36852</v>
      </c>
      <c r="E67" s="2" t="str">
        <f>VLOOKUP(T_Voluntarios[[#This Row],[RUN]],BBDD[],6,FALSE)</f>
        <v>Marsella 2200 villa Francia</v>
      </c>
      <c r="F67" s="2" t="str">
        <f>VLOOKUP(T_Voluntarios[[#This Row],[RUN]],BBDD[],7,FALSE)</f>
        <v>Los Ángeles</v>
      </c>
      <c r="G67" s="2" t="str">
        <f>VLOOKUP(T_Voluntarios[[#This Row],[RUN]],BBDD[],8,FALSE)</f>
        <v>Celular</v>
      </c>
      <c r="H67" s="2" t="str">
        <f>IF(VLOOKUP(T_Voluntarios[[#This Row],[RUN]],BBDD[],9,FALSE)=0,"Falta",VLOOKUP(T_Voluntarios[[#This Row],[RUN]],BBDD[],9,FALSE))</f>
        <v>+56995536960</v>
      </c>
      <c r="I67" s="2" t="str">
        <f>VLOOKUP(T_Voluntarios[[#This Row],[RUN]],BBDD[],10,FALSE)</f>
        <v>Participante</v>
      </c>
      <c r="J67" s="2" t="str">
        <f>VLOOKUP(T_Voluntarios[[#This Row],[RUN]],BBDD[],11,FALSE)</f>
        <v>Sagrada Familia</v>
      </c>
      <c r="K67" s="2" t="str">
        <f>VLOOKUP(T_Voluntarios[[#This Row],[RUN]],BBDD[],12,FALSE)</f>
        <v>Scouts</v>
      </c>
      <c r="L67" s="2" t="str">
        <f>VLOOKUP(T_Voluntarios[[#This Row],[RUN]],BBDD[],15,FALSE)</f>
        <v>Biobío</v>
      </c>
      <c r="M67" s="2" t="str">
        <f>VLOOKUP(T_Voluntarios[[#This Row],[RUN]],BBDD[],20,FALSE)</f>
        <v>Sin Almuerzo</v>
      </c>
      <c r="N67" s="2" t="str">
        <f>VLOOKUP(T_Voluntarios[[#This Row],[RUN]],BBDD[],21,FALSE)</f>
        <v>Ninguna</v>
      </c>
      <c r="O67" s="2" t="str">
        <f>VLOOKUP(T_Voluntarios[[#This Row],[RUN]],BBDD[],22,FALSE)</f>
        <v>Ninguna</v>
      </c>
      <c r="P67" s="2" t="str">
        <f>VLOOKUP(T_Voluntarios[[#This Row],[RUN]],BBDD[],23,FALSE)</f>
        <v>Carlos Espinoza 991520272</v>
      </c>
      <c r="Q67" s="2" t="str">
        <f>IF(VLOOKUP(T_Voluntarios[[#This Row],[RUN]],BBDD[],27,FALSE)=0,"",VLOOKUP(T_Voluntarios[[#This Row],[RUN]],BBDD[],27,FALSE))</f>
        <v/>
      </c>
      <c r="R67" s="2" t="str">
        <f>VLOOKUP(T_Voluntarios[[#This Row],[RUN]],BBDD[],36,FALSE)</f>
        <v>https://drive.google.com/open?id=1wkGkIAaztx8Nfsv_brRFG4I85PZzS8ni</v>
      </c>
      <c r="S67" s="2" t="str">
        <f>VLOOKUP(T_Voluntarios[[#This Row],[RUN]],BBDD[],16,FALSE)</f>
        <v>Inicial</v>
      </c>
      <c r="T67" s="2" t="str">
        <f>VLOOKUP(T_Voluntarios[[#This Row],[RUN]],BBDD[],17,FALSE)</f>
        <v>Ninguno</v>
      </c>
      <c r="U67" s="2" t="str">
        <f>VLOOKUP(T_Voluntarios[[#This Row],[RUN]],BBDD[],18,FALSE)</f>
        <v>Ninguno</v>
      </c>
      <c r="V67" s="2" t="str">
        <f>VLOOKUP(T_Voluntarios[[#This Row],[RUN]],BBDD[],19,FALSE)</f>
        <v>Ninguno</v>
      </c>
      <c r="W67" s="13" t="str">
        <f>IF(OR(T_Voluntarios[[#This Row],[ROL]]="Formador(a)"),"SI","NO")</f>
        <v>NO</v>
      </c>
      <c r="X67" s="13" t="str">
        <f>IF(ISERROR(VLOOKUP(T_Voluntarios[[#This Row],[RUN]],BBDD_Formadores[],15,FALSE)),"NO",VLOOKUP(T_Voluntarios[[#This Row],[RUN]],BBDD_Formadores[],15,FALSE))</f>
        <v>NO</v>
      </c>
      <c r="Y67" s="13" t="str">
        <f>IF(ISERROR(VLOOKUP(T_Voluntarios[[#This Row],[RUN]],BBDD_Formadores[],16,FALSE)),"NO",VLOOKUP(T_Voluntarios[[#This Row],[RUN]],BBDD_Formadores[],16,FALSE))</f>
        <v>NO</v>
      </c>
      <c r="Z67" s="13" t="str">
        <f>IF(ISERROR(VLOOKUP(T_Voluntarios[[#This Row],[RUN]],BBDD_Formadores[],17,FALSE)),"NO",VLOOKUP(T_Voluntarios[[#This Row],[RUN]],BBDD_Formadores[],17,FALSE))</f>
        <v>NO</v>
      </c>
      <c r="AA67" s="13" t="str">
        <f>IF(ISERROR(VLOOKUP(T_Voluntarios[[#This Row],[RUN]],BBDD_Formadores[],18,FALSE)),"NO",VLOOKUP(T_Voluntarios[[#This Row],[RUN]],BBDD_Formadores[],18,FALSE))</f>
        <v>NO</v>
      </c>
      <c r="AB67" s="13">
        <v>1</v>
      </c>
      <c r="AC67" s="13" t="s">
        <v>1</v>
      </c>
      <c r="AD67" s="13" t="s">
        <v>77</v>
      </c>
      <c r="AF67" s="2" t="str">
        <f>IF(VLOOKUP(T_Voluntarios[[#This Row],[RUN]],BBDD[],25,FALSE)=0,"",VLOOKUP(T_Voluntarios[[#This Row],[RUN]],BBDD[],25,FALSE))</f>
        <v>Ford</v>
      </c>
      <c r="AG67" s="2" t="str">
        <f>IF(VLOOKUP(T_Voluntarios[[#This Row],[RUN]],BBDD[],26,FALSE)=0,"",VLOOKUP(T_Voluntarios[[#This Row],[RUN]],BBDD[],26,FALSE))</f>
        <v>Ranger</v>
      </c>
      <c r="AH67" s="2" t="str">
        <f>IF(VLOOKUP(T_Voluntarios[[#This Row],[RUN]],BBDD[],24,FALSE)=0,"",VLOOKUP(T_Voluntarios[[#This Row],[RUN]],BBDD[],24,FALSE))</f>
        <v>Fvlt36</v>
      </c>
      <c r="AI67" s="13" t="str">
        <f>VLOOKUP(T_Voluntarios[[#This Row],[RUN]],BBDD[],28,FALSE)</f>
        <v>No</v>
      </c>
      <c r="AJ67" s="13" t="str">
        <f>VLOOKUP(T_Voluntarios[[#This Row],[RUN]],BBDD[],28,FALSE)</f>
        <v>No</v>
      </c>
      <c r="AK67" s="32">
        <f>IF(T_Voluntarios[[#This Row],[ROL]]="Participante",SUMIFS(T_Cuotas[[#All],[Total]],T_Cuotas[[#All],[RUN]],T_Voluntarios[[#This Row],[RUN]]),-1)</f>
        <v>36500</v>
      </c>
      <c r="AL67" s="13" t="s">
        <v>1</v>
      </c>
      <c r="AM67" s="13" t="s">
        <v>2029</v>
      </c>
      <c r="AP67" s="2" t="str">
        <f>MID(T_Voluntarios[[#This Row],[E_MAIL]],SEARCH("@",T_Voluntarios[[#This Row],[E_MAIL]],1),LEN(T_Voluntarios[[#This Row],[E_MAIL]]))</f>
        <v>@gmail.com</v>
      </c>
      <c r="AQ67" s="13" t="str">
        <f>VLOOKUP(T_Voluntarios[[#This Row],[RUN]],BBDD[],37,FALSE)</f>
        <v>24</v>
      </c>
      <c r="AR67" s="2" t="str">
        <f>VLOOKUP(T_Voluntarios[[#This Row],[RUN]],BBDD[],29,FALSE)</f>
        <v>Administrador en ecoturismo</v>
      </c>
      <c r="AS67" s="2" t="str">
        <f>VLOOKUP(T_Voluntarios[[#This Row],[RUN]],BBDD[],30,FALSE)</f>
        <v>No</v>
      </c>
      <c r="AT67" s="2" t="str">
        <f>VLOOKUP(T_Voluntarios[[#This Row],[RUN]],BBDD[],31,FALSE)</f>
        <v>.</v>
      </c>
      <c r="AU67" s="2" t="str">
        <f>VLOOKUP(T_Voluntarios[[#This Row],[RUN]],BBDD[],32,FALSE)</f>
        <v>Soltero(a)</v>
      </c>
      <c r="AV67" s="2" t="str">
        <f>VLOOKUP(T_Voluntarios[[#This Row],[RUN]],BBDD[],33,FALSE)</f>
        <v>Ninguna</v>
      </c>
      <c r="AW67" s="2" t="str">
        <f>VLOOKUP(T_Voluntarios[[#This Row],[RUN]],BBDD[],34,FALSE)</f>
        <v>Tomás</v>
      </c>
      <c r="AX67" s="13" t="s">
        <v>733</v>
      </c>
      <c r="AY67" s="76">
        <f>VLOOKUP(T_Voluntarios[[#This Row],[RUN]],BBDD[],2,FALSE)</f>
        <v>45784.953166435182</v>
      </c>
      <c r="AZ67" s="13" t="s">
        <v>3403</v>
      </c>
    </row>
    <row r="68" spans="1:52" ht="14.4" x14ac:dyDescent="0.3">
      <c r="A68" t="s">
        <v>1438</v>
      </c>
      <c r="B68" s="2" t="str">
        <f>VLOOKUP(T_Voluntarios[[#This Row],[RUN]],BBDD[],3,FALSE)</f>
        <v>valentinavrgs17@gmail.com</v>
      </c>
      <c r="C68" s="2" t="str">
        <f>VLOOKUP(T_Voluntarios[[#This Row],[RUN]],BBDD[],4,FALSE)</f>
        <v>Valentina Scarleth Vargas Rios</v>
      </c>
      <c r="D68" s="16">
        <f>VLOOKUP(T_Voluntarios[[#This Row],[RUN]],BBDD[],5,FALSE)</f>
        <v>38077</v>
      </c>
      <c r="E68" s="2" t="str">
        <f>VLOOKUP(T_Voluntarios[[#This Row],[RUN]],BBDD[],6,FALSE)</f>
        <v>general cruz 1051</v>
      </c>
      <c r="F68" s="2" t="str">
        <f>VLOOKUP(T_Voluntarios[[#This Row],[RUN]],BBDD[],7,FALSE)</f>
        <v>Concepción</v>
      </c>
      <c r="G68" s="2" t="str">
        <f>VLOOKUP(T_Voluntarios[[#This Row],[RUN]],BBDD[],8,FALSE)</f>
        <v>Celular</v>
      </c>
      <c r="H68" s="2" t="str">
        <f>IF(VLOOKUP(T_Voluntarios[[#This Row],[RUN]],BBDD[],9,FALSE)=0,"Falta",VLOOKUP(T_Voluntarios[[#This Row],[RUN]],BBDD[],9,FALSE))</f>
        <v>+56934109286</v>
      </c>
      <c r="I68" s="2" t="str">
        <f>VLOOKUP(T_Voluntarios[[#This Row],[RUN]],BBDD[],10,FALSE)</f>
        <v>Participante</v>
      </c>
      <c r="J68" s="2" t="str">
        <f>VLOOKUP(T_Voluntarios[[#This Row],[RUN]],BBDD[],11,FALSE)</f>
        <v>Sagrada Familia</v>
      </c>
      <c r="K68" s="2" t="str">
        <f>VLOOKUP(T_Voluntarios[[#This Row],[RUN]],BBDD[],12,FALSE)</f>
        <v>Golondrinas</v>
      </c>
      <c r="L68" s="2" t="str">
        <f>VLOOKUP(T_Voluntarios[[#This Row],[RUN]],BBDD[],15,FALSE)</f>
        <v>Biobío</v>
      </c>
      <c r="M68" s="2" t="str">
        <f>VLOOKUP(T_Voluntarios[[#This Row],[RUN]],BBDD[],20,FALSE)</f>
        <v>Sin Almuerzo</v>
      </c>
      <c r="N68" s="2" t="str">
        <f>VLOOKUP(T_Voluntarios[[#This Row],[RUN]],BBDD[],21,FALSE)</f>
        <v>alergia al diclofenaco</v>
      </c>
      <c r="O68" s="2" t="str">
        <f>VLOOKUP(T_Voluntarios[[#This Row],[RUN]],BBDD[],22,FALSE)</f>
        <v>Ninguna</v>
      </c>
      <c r="P68" s="2" t="str">
        <f>VLOOKUP(T_Voluntarios[[#This Row],[RUN]],BBDD[],23,FALSE)</f>
        <v>Carlos Vargas +56989458501</v>
      </c>
      <c r="Q68" s="2" t="str">
        <f>IF(VLOOKUP(T_Voluntarios[[#This Row],[RUN]],BBDD[],27,FALSE)=0,"",VLOOKUP(T_Voluntarios[[#This Row],[RUN]],BBDD[],27,FALSE))</f>
        <v/>
      </c>
      <c r="R68" s="2" t="str">
        <f>VLOOKUP(T_Voluntarios[[#This Row],[RUN]],BBDD[],36,FALSE)</f>
        <v>https://drive.google.com/open?id=1fcSp7g2Sxu6n1Jkn1Q3YfN6i91sXJJsv</v>
      </c>
      <c r="S68" s="2" t="str">
        <f>VLOOKUP(T_Voluntarios[[#This Row],[RUN]],BBDD[],16,FALSE)</f>
        <v>Inicial</v>
      </c>
      <c r="T68" s="2" t="str">
        <f>VLOOKUP(T_Voluntarios[[#This Row],[RUN]],BBDD[],17,FALSE)</f>
        <v>Ninguno</v>
      </c>
      <c r="U68" s="2" t="str">
        <f>VLOOKUP(T_Voluntarios[[#This Row],[RUN]],BBDD[],18,FALSE)</f>
        <v>Golondrinas, Ninguno</v>
      </c>
      <c r="V68" s="2" t="str">
        <f>VLOOKUP(T_Voluntarios[[#This Row],[RUN]],BBDD[],19,FALSE)</f>
        <v>Ninguno</v>
      </c>
      <c r="W68" s="13" t="str">
        <f>IF(OR(T_Voluntarios[[#This Row],[ROL]]="Formador(a)"),"SI","NO")</f>
        <v>NO</v>
      </c>
      <c r="X68" s="13" t="str">
        <f>IF(ISERROR(VLOOKUP(T_Voluntarios[[#This Row],[RUN]],BBDD_Formadores[],15,FALSE)),"NO",VLOOKUP(T_Voluntarios[[#This Row],[RUN]],BBDD_Formadores[],15,FALSE))</f>
        <v>NO</v>
      </c>
      <c r="Y68" s="13" t="str">
        <f>IF(ISERROR(VLOOKUP(T_Voluntarios[[#This Row],[RUN]],BBDD_Formadores[],16,FALSE)),"NO",VLOOKUP(T_Voluntarios[[#This Row],[RUN]],BBDD_Formadores[],16,FALSE))</f>
        <v>NO</v>
      </c>
      <c r="Z68" s="13" t="str">
        <f>IF(ISERROR(VLOOKUP(T_Voluntarios[[#This Row],[RUN]],BBDD_Formadores[],17,FALSE)),"NO",VLOOKUP(T_Voluntarios[[#This Row],[RUN]],BBDD_Formadores[],17,FALSE))</f>
        <v>NO</v>
      </c>
      <c r="AA68" s="13" t="str">
        <f>IF(ISERROR(VLOOKUP(T_Voluntarios[[#This Row],[RUN]],BBDD_Formadores[],18,FALSE)),"NO",VLOOKUP(T_Voluntarios[[#This Row],[RUN]],BBDD_Formadores[],18,FALSE))</f>
        <v>NO</v>
      </c>
      <c r="AB68" s="13">
        <v>1</v>
      </c>
      <c r="AC68" s="13" t="s">
        <v>1</v>
      </c>
      <c r="AD68" s="13" t="s">
        <v>77</v>
      </c>
      <c r="AF68" s="2" t="str">
        <f>IF(VLOOKUP(T_Voluntarios[[#This Row],[RUN]],BBDD[],25,FALSE)=0,"",VLOOKUP(T_Voluntarios[[#This Row],[RUN]],BBDD[],25,FALSE))</f>
        <v>Jetour</v>
      </c>
      <c r="AG68" s="2" t="str">
        <f>IF(VLOOKUP(T_Voluntarios[[#This Row],[RUN]],BBDD[],26,FALSE)=0,"",VLOOKUP(T_Voluntarios[[#This Row],[RUN]],BBDD[],26,FALSE))</f>
        <v>Dashing</v>
      </c>
      <c r="AH68" s="2" t="str">
        <f>IF(VLOOKUP(T_Voluntarios[[#This Row],[RUN]],BBDD[],24,FALSE)=0,"",VLOOKUP(T_Voluntarios[[#This Row],[RUN]],BBDD[],24,FALSE))</f>
        <v>SZDX50</v>
      </c>
      <c r="AI68" s="13" t="str">
        <f>VLOOKUP(T_Voluntarios[[#This Row],[RUN]],BBDD[],28,FALSE)</f>
        <v>SI</v>
      </c>
      <c r="AJ68" s="13" t="str">
        <f>VLOOKUP(T_Voluntarios[[#This Row],[RUN]],BBDD[],28,FALSE)</f>
        <v>SI</v>
      </c>
      <c r="AK68" s="32">
        <f>IF(T_Voluntarios[[#This Row],[ROL]]="Participante",SUMIFS(T_Cuotas[[#All],[Total]],T_Cuotas[[#All],[RUN]],T_Voluntarios[[#This Row],[RUN]]),-1)</f>
        <v>36500</v>
      </c>
      <c r="AL68" s="13" t="s">
        <v>1</v>
      </c>
      <c r="AM68" s="13" t="s">
        <v>2029</v>
      </c>
      <c r="AP68" s="2" t="str">
        <f>MID(T_Voluntarios[[#This Row],[E_MAIL]],SEARCH("@",T_Voluntarios[[#This Row],[E_MAIL]],1),LEN(T_Voluntarios[[#This Row],[E_MAIL]]))</f>
        <v>@gmail.com</v>
      </c>
      <c r="AQ68" s="13" t="str">
        <f>VLOOKUP(T_Voluntarios[[#This Row],[RUN]],BBDD[],37,FALSE)</f>
        <v>21</v>
      </c>
      <c r="AR68" s="2" t="str">
        <f>VLOOKUP(T_Voluntarios[[#This Row],[RUN]],BBDD[],29,FALSE)</f>
        <v>Estudiante</v>
      </c>
      <c r="AS68" s="2" t="str">
        <f>VLOOKUP(T_Voluntarios[[#This Row],[RUN]],BBDD[],30,FALSE)</f>
        <v>8 años</v>
      </c>
      <c r="AT68" s="2" t="str">
        <f>VLOOKUP(T_Voluntarios[[#This Row],[RUN]],BBDD[],31,FALSE)</f>
        <v>No</v>
      </c>
      <c r="AU68" s="2" t="str">
        <f>VLOOKUP(T_Voluntarios[[#This Row],[RUN]],BBDD[],32,FALSE)</f>
        <v>Soltero(a)</v>
      </c>
      <c r="AV68" s="2" t="str">
        <f>VLOOKUP(T_Voluntarios[[#This Row],[RUN]],BBDD[],33,FALSE)</f>
        <v>Ninguna</v>
      </c>
      <c r="AW68" s="2" t="str">
        <f>VLOOKUP(T_Voluntarios[[#This Row],[RUN]],BBDD[],34,FALSE)</f>
        <v>Vale</v>
      </c>
      <c r="AX68" s="13" t="s">
        <v>733</v>
      </c>
      <c r="AY68" s="76">
        <f>VLOOKUP(T_Voluntarios[[#This Row],[RUN]],BBDD[],2,FALSE)</f>
        <v>45784.965679398148</v>
      </c>
      <c r="AZ68" s="13" t="s">
        <v>3403</v>
      </c>
    </row>
    <row r="69" spans="1:52" ht="14.4" x14ac:dyDescent="0.3">
      <c r="A69" t="s">
        <v>1451</v>
      </c>
      <c r="B69" s="2" t="str">
        <f>VLOOKUP(T_Voluntarios[[#This Row],[RUN]],BBDD[],3,FALSE)</f>
        <v>ysandovalm@gmail.com</v>
      </c>
      <c r="C69" s="2" t="str">
        <f>VLOOKUP(T_Voluntarios[[#This Row],[RUN]],BBDD[],4,FALSE)</f>
        <v>Yertty Karina Sandoval Muñoz</v>
      </c>
      <c r="D69" s="16">
        <f>VLOOKUP(T_Voluntarios[[#This Row],[RUN]],BBDD[],5,FALSE)</f>
        <v>30186</v>
      </c>
      <c r="E69" s="2" t="str">
        <f>VLOOKUP(T_Voluntarios[[#This Row],[RUN]],BBDD[],6,FALSE)</f>
        <v>Lote 1A Hijuela san sebastian camino santa barbara km 12,8</v>
      </c>
      <c r="F69" s="2" t="str">
        <f>VLOOKUP(T_Voluntarios[[#This Row],[RUN]],BBDD[],7,FALSE)</f>
        <v>Los Ángeles</v>
      </c>
      <c r="G69" s="2" t="str">
        <f>VLOOKUP(T_Voluntarios[[#This Row],[RUN]],BBDD[],8,FALSE)</f>
        <v>Celular</v>
      </c>
      <c r="H69" s="2" t="str">
        <f>IF(VLOOKUP(T_Voluntarios[[#This Row],[RUN]],BBDD[],9,FALSE)=0,"Falta",VLOOKUP(T_Voluntarios[[#This Row],[RUN]],BBDD[],9,FALSE))</f>
        <v>+56954687949</v>
      </c>
      <c r="I69" s="2" t="str">
        <f>VLOOKUP(T_Voluntarios[[#This Row],[RUN]],BBDD[],10,FALSE)</f>
        <v>Participante</v>
      </c>
      <c r="J69" s="2" t="str">
        <f>VLOOKUP(T_Voluntarios[[#This Row],[RUN]],BBDD[],11,FALSE)</f>
        <v>Mahuidanche</v>
      </c>
      <c r="K69" s="2" t="str">
        <f>VLOOKUP(T_Voluntarios[[#This Row],[RUN]],BBDD[],12,FALSE)</f>
        <v>Lobatos</v>
      </c>
      <c r="L69" s="2" t="str">
        <f>VLOOKUP(T_Voluntarios[[#This Row],[RUN]],BBDD[],15,FALSE)</f>
        <v>Biobío</v>
      </c>
      <c r="M69" s="2" t="str">
        <f>VLOOKUP(T_Voluntarios[[#This Row],[RUN]],BBDD[],20,FALSE)</f>
        <v>Alimentación Tradicional</v>
      </c>
      <c r="N69" s="2" t="str">
        <f>VLOOKUP(T_Voluntarios[[#This Row],[RUN]],BBDD[],21,FALSE)</f>
        <v>El Latex y metales</v>
      </c>
      <c r="O69" s="2" t="str">
        <f>VLOOKUP(T_Voluntarios[[#This Row],[RUN]],BBDD[],22,FALSE)</f>
        <v>Ninguna</v>
      </c>
      <c r="P69" s="2" t="str">
        <f>VLOOKUP(T_Voluntarios[[#This Row],[RUN]],BBDD[],23,FALSE)</f>
        <v>Benjamín Troncoso  +56935029883</v>
      </c>
      <c r="Q69" s="2" t="str">
        <f>IF(VLOOKUP(T_Voluntarios[[#This Row],[RUN]],BBDD[],27,FALSE)=0,"",VLOOKUP(T_Voluntarios[[#This Row],[RUN]],BBDD[],27,FALSE))</f>
        <v/>
      </c>
      <c r="R69" s="2" t="str">
        <f>VLOOKUP(T_Voluntarios[[#This Row],[RUN]],BBDD[],36,FALSE)</f>
        <v>https://drive.google.com/open?id=1YnyYjXNVmBqD5FBZdphjZB4yJ5e7KyFx</v>
      </c>
      <c r="S69" s="2" t="str">
        <f>VLOOKUP(T_Voluntarios[[#This Row],[RUN]],BBDD[],16,FALSE)</f>
        <v>Inicial</v>
      </c>
      <c r="T69" s="2" t="str">
        <f>VLOOKUP(T_Voluntarios[[#This Row],[RUN]],BBDD[],17,FALSE)</f>
        <v>Ninguno</v>
      </c>
      <c r="U69" s="2" t="str">
        <f>VLOOKUP(T_Voluntarios[[#This Row],[RUN]],BBDD[],18,FALSE)</f>
        <v>Ninguno</v>
      </c>
      <c r="V69" s="2" t="str">
        <f>VLOOKUP(T_Voluntarios[[#This Row],[RUN]],BBDD[],19,FALSE)</f>
        <v>Ninguno</v>
      </c>
      <c r="W69" s="13" t="str">
        <f>IF(OR(T_Voluntarios[[#This Row],[ROL]]="Formador(a)"),"SI","NO")</f>
        <v>NO</v>
      </c>
      <c r="X69" s="13" t="str">
        <f>IF(ISERROR(VLOOKUP(T_Voluntarios[[#This Row],[RUN]],BBDD_Formadores[],15,FALSE)),"NO",VLOOKUP(T_Voluntarios[[#This Row],[RUN]],BBDD_Formadores[],15,FALSE))</f>
        <v>NO</v>
      </c>
      <c r="Y69" s="13" t="str">
        <f>IF(ISERROR(VLOOKUP(T_Voluntarios[[#This Row],[RUN]],BBDD_Formadores[],16,FALSE)),"NO",VLOOKUP(T_Voluntarios[[#This Row],[RUN]],BBDD_Formadores[],16,FALSE))</f>
        <v>NO</v>
      </c>
      <c r="Z69" s="13" t="str">
        <f>IF(ISERROR(VLOOKUP(T_Voluntarios[[#This Row],[RUN]],BBDD_Formadores[],17,FALSE)),"NO",VLOOKUP(T_Voluntarios[[#This Row],[RUN]],BBDD_Formadores[],17,FALSE))</f>
        <v>NO</v>
      </c>
      <c r="AA69" s="13" t="str">
        <f>IF(ISERROR(VLOOKUP(T_Voluntarios[[#This Row],[RUN]],BBDD_Formadores[],18,FALSE)),"NO",VLOOKUP(T_Voluntarios[[#This Row],[RUN]],BBDD_Formadores[],18,FALSE))</f>
        <v>NO</v>
      </c>
      <c r="AB69" s="13">
        <v>1</v>
      </c>
      <c r="AC69" s="13" t="s">
        <v>1</v>
      </c>
      <c r="AD69" s="13" t="s">
        <v>77</v>
      </c>
      <c r="AF69" s="2" t="str">
        <f>IF(VLOOKUP(T_Voluntarios[[#This Row],[RUN]],BBDD[],25,FALSE)=0,"",VLOOKUP(T_Voluntarios[[#This Row],[RUN]],BBDD[],25,FALSE))</f>
        <v>Hyundai</v>
      </c>
      <c r="AG69" s="2" t="str">
        <f>IF(VLOOKUP(T_Voluntarios[[#This Row],[RUN]],BBDD[],26,FALSE)=0,"",VLOOKUP(T_Voluntarios[[#This Row],[RUN]],BBDD[],26,FALSE))</f>
        <v>Santa Fe</v>
      </c>
      <c r="AH69" s="2" t="str">
        <f>IF(VLOOKUP(T_Voluntarios[[#This Row],[RUN]],BBDD[],24,FALSE)=0,"",VLOOKUP(T_Voluntarios[[#This Row],[RUN]],BBDD[],24,FALSE))</f>
        <v>BR-VL 64</v>
      </c>
      <c r="AI69" s="13" t="str">
        <f>VLOOKUP(T_Voluntarios[[#This Row],[RUN]],BBDD[],28,FALSE)</f>
        <v>SI</v>
      </c>
      <c r="AJ69" s="13" t="str">
        <f>VLOOKUP(T_Voluntarios[[#This Row],[RUN]],BBDD[],28,FALSE)</f>
        <v>SI</v>
      </c>
      <c r="AK69" s="32">
        <f>IF(T_Voluntarios[[#This Row],[ROL]]="Participante",SUMIFS(T_Cuotas[[#All],[Total]],T_Cuotas[[#All],[RUN]],T_Voluntarios[[#This Row],[RUN]]),-1)</f>
        <v>50000</v>
      </c>
      <c r="AL69" s="13" t="s">
        <v>1</v>
      </c>
      <c r="AM69" s="13" t="s">
        <v>2029</v>
      </c>
      <c r="AP69" s="2" t="str">
        <f>MID(T_Voluntarios[[#This Row],[E_MAIL]],SEARCH("@",T_Voluntarios[[#This Row],[E_MAIL]],1),LEN(T_Voluntarios[[#This Row],[E_MAIL]]))</f>
        <v>@gmail.com</v>
      </c>
      <c r="AQ69" s="13" t="str">
        <f>VLOOKUP(T_Voluntarios[[#This Row],[RUN]],BBDD[],37,FALSE)</f>
        <v>42</v>
      </c>
      <c r="AR69" s="2" t="str">
        <f>VLOOKUP(T_Voluntarios[[#This Row],[RUN]],BBDD[],29,FALSE)</f>
        <v>Artesana</v>
      </c>
      <c r="AS69" s="2" t="str">
        <f>VLOOKUP(T_Voluntarios[[#This Row],[RUN]],BBDD[],30,FALSE)</f>
        <v>7 años</v>
      </c>
      <c r="AT69" s="2" t="str">
        <f>VLOOKUP(T_Voluntarios[[#This Row],[RUN]],BBDD[],31,FALSE)</f>
        <v>9 años</v>
      </c>
      <c r="AU69" s="2" t="str">
        <f>VLOOKUP(T_Voluntarios[[#This Row],[RUN]],BBDD[],32,FALSE)</f>
        <v>Casado(a)</v>
      </c>
      <c r="AV69" s="2" t="str">
        <f>VLOOKUP(T_Voluntarios[[#This Row],[RUN]],BBDD[],33,FALSE)</f>
        <v>Catolica</v>
      </c>
      <c r="AW69" s="2" t="str">
        <f>VLOOKUP(T_Voluntarios[[#This Row],[RUN]],BBDD[],34,FALSE)</f>
        <v>Kary</v>
      </c>
      <c r="AX69" s="13" t="s">
        <v>733</v>
      </c>
      <c r="AY69" s="76">
        <f>VLOOKUP(T_Voluntarios[[#This Row],[RUN]],BBDD[],2,FALSE)</f>
        <v>45784.988447878088</v>
      </c>
      <c r="AZ69" s="13" t="s">
        <v>3403</v>
      </c>
    </row>
    <row r="70" spans="1:52" ht="14.4" x14ac:dyDescent="0.3">
      <c r="A70" t="s">
        <v>1463</v>
      </c>
      <c r="B70" s="2" t="str">
        <f>VLOOKUP(T_Voluntarios[[#This Row],[RUN]],BBDD[],3,FALSE)</f>
        <v>alfredo.soto.perez@gmail.com</v>
      </c>
      <c r="C70" s="2" t="str">
        <f>VLOOKUP(T_Voluntarios[[#This Row],[RUN]],BBDD[],4,FALSE)</f>
        <v>Alfredo Osvaldo Soto Perez</v>
      </c>
      <c r="D70" s="16">
        <f>VLOOKUP(T_Voluntarios[[#This Row],[RUN]],BBDD[],5,FALSE)</f>
        <v>37909</v>
      </c>
      <c r="E70" s="2" t="str">
        <f>VLOOKUP(T_Voluntarios[[#This Row],[RUN]],BBDD[],6,FALSE)</f>
        <v>Las trancas 173 Lomas de san sebastian</v>
      </c>
      <c r="F70" s="2" t="str">
        <f>VLOOKUP(T_Voluntarios[[#This Row],[RUN]],BBDD[],7,FALSE)</f>
        <v>Concepción</v>
      </c>
      <c r="G70" s="2" t="str">
        <f>VLOOKUP(T_Voluntarios[[#This Row],[RUN]],BBDD[],8,FALSE)</f>
        <v>Celular</v>
      </c>
      <c r="H70" s="2" t="str">
        <f>IF(VLOOKUP(T_Voluntarios[[#This Row],[RUN]],BBDD[],9,FALSE)=0,"Falta",VLOOKUP(T_Voluntarios[[#This Row],[RUN]],BBDD[],9,FALSE))</f>
        <v>+56954189051</v>
      </c>
      <c r="I70" s="2" t="str">
        <f>VLOOKUP(T_Voluntarios[[#This Row],[RUN]],BBDD[],10,FALSE)</f>
        <v>Participante</v>
      </c>
      <c r="J70" s="2" t="str">
        <f>VLOOKUP(T_Voluntarios[[#This Row],[RUN]],BBDD[],11,FALSE)</f>
        <v>Rucapeñihue</v>
      </c>
      <c r="K70" s="2" t="str">
        <f>VLOOKUP(T_Voluntarios[[#This Row],[RUN]],BBDD[],12,FALSE)</f>
        <v>Scouts</v>
      </c>
      <c r="L70" s="2" t="str">
        <f>VLOOKUP(T_Voluntarios[[#This Row],[RUN]],BBDD[],15,FALSE)</f>
        <v>Concepción</v>
      </c>
      <c r="M70" s="2" t="str">
        <f>VLOOKUP(T_Voluntarios[[#This Row],[RUN]],BBDD[],20,FALSE)</f>
        <v>Sin Almuerzo</v>
      </c>
      <c r="N70" s="2" t="str">
        <f>VLOOKUP(T_Voluntarios[[#This Row],[RUN]],BBDD[],21,FALSE)</f>
        <v>Ninguna</v>
      </c>
      <c r="O70" s="2" t="str">
        <f>VLOOKUP(T_Voluntarios[[#This Row],[RUN]],BBDD[],22,FALSE)</f>
        <v>Ninguna</v>
      </c>
      <c r="P70" s="2" t="str">
        <f>VLOOKUP(T_Voluntarios[[#This Row],[RUN]],BBDD[],23,FALSE)</f>
        <v>Teresa Perez. 954189053</v>
      </c>
      <c r="Q70" s="2" t="str">
        <f>IF(VLOOKUP(T_Voluntarios[[#This Row],[RUN]],BBDD[],27,FALSE)=0,"",VLOOKUP(T_Voluntarios[[#This Row],[RUN]],BBDD[],27,FALSE))</f>
        <v/>
      </c>
      <c r="R70" s="2" t="str">
        <f>VLOOKUP(T_Voluntarios[[#This Row],[RUN]],BBDD[],36,FALSE)</f>
        <v>https://drive.google.com/open?id=1wkSuowAVt-NviWjWcppHd8NyXLJ14WEE</v>
      </c>
      <c r="S70" s="2" t="str">
        <f>VLOOKUP(T_Voluntarios[[#This Row],[RUN]],BBDD[],16,FALSE)</f>
        <v>Inicial</v>
      </c>
      <c r="T70" s="2" t="str">
        <f>VLOOKUP(T_Voluntarios[[#This Row],[RUN]],BBDD[],17,FALSE)</f>
        <v>Ninguno</v>
      </c>
      <c r="U70" s="2" t="str">
        <f>VLOOKUP(T_Voluntarios[[#This Row],[RUN]],BBDD[],18,FALSE)</f>
        <v>Ninguno</v>
      </c>
      <c r="V70" s="2" t="str">
        <f>VLOOKUP(T_Voluntarios[[#This Row],[RUN]],BBDD[],19,FALSE)</f>
        <v>Ninguno</v>
      </c>
      <c r="W70" s="13" t="str">
        <f>IF(OR(T_Voluntarios[[#This Row],[ROL]]="Formador(a)"),"SI","NO")</f>
        <v>NO</v>
      </c>
      <c r="X70" s="13" t="str">
        <f>IF(ISERROR(VLOOKUP(T_Voluntarios[[#This Row],[RUN]],BBDD_Formadores[],15,FALSE)),"NO",VLOOKUP(T_Voluntarios[[#This Row],[RUN]],BBDD_Formadores[],15,FALSE))</f>
        <v>NO</v>
      </c>
      <c r="Y70" s="13" t="str">
        <f>IF(ISERROR(VLOOKUP(T_Voluntarios[[#This Row],[RUN]],BBDD_Formadores[],16,FALSE)),"NO",VLOOKUP(T_Voluntarios[[#This Row],[RUN]],BBDD_Formadores[],16,FALSE))</f>
        <v>NO</v>
      </c>
      <c r="Z70" s="13" t="str">
        <f>IF(ISERROR(VLOOKUP(T_Voluntarios[[#This Row],[RUN]],BBDD_Formadores[],17,FALSE)),"NO",VLOOKUP(T_Voluntarios[[#This Row],[RUN]],BBDD_Formadores[],17,FALSE))</f>
        <v>NO</v>
      </c>
      <c r="AA70" s="13" t="str">
        <f>IF(ISERROR(VLOOKUP(T_Voluntarios[[#This Row],[RUN]],BBDD_Formadores[],18,FALSE)),"NO",VLOOKUP(T_Voluntarios[[#This Row],[RUN]],BBDD_Formadores[],18,FALSE))</f>
        <v>NO</v>
      </c>
      <c r="AB70" s="13">
        <v>1</v>
      </c>
      <c r="AC70" s="13" t="s">
        <v>1</v>
      </c>
      <c r="AD70" s="13" t="s">
        <v>77</v>
      </c>
      <c r="AF70" s="2" t="str">
        <f>IF(VLOOKUP(T_Voluntarios[[#This Row],[RUN]],BBDD[],25,FALSE)=0,"",VLOOKUP(T_Voluntarios[[#This Row],[RUN]],BBDD[],25,FALSE))</f>
        <v/>
      </c>
      <c r="AG70" s="2" t="str">
        <f>IF(VLOOKUP(T_Voluntarios[[#This Row],[RUN]],BBDD[],26,FALSE)=0,"",VLOOKUP(T_Voluntarios[[#This Row],[RUN]],BBDD[],26,FALSE))</f>
        <v/>
      </c>
      <c r="AH70" s="2" t="str">
        <f>IF(VLOOKUP(T_Voluntarios[[#This Row],[RUN]],BBDD[],24,FALSE)=0,"",VLOOKUP(T_Voluntarios[[#This Row],[RUN]],BBDD[],24,FALSE))</f>
        <v/>
      </c>
      <c r="AI70" s="13" t="str">
        <f>VLOOKUP(T_Voluntarios[[#This Row],[RUN]],BBDD[],28,FALSE)</f>
        <v>No</v>
      </c>
      <c r="AJ70" s="13" t="str">
        <f>VLOOKUP(T_Voluntarios[[#This Row],[RUN]],BBDD[],28,FALSE)</f>
        <v>No</v>
      </c>
      <c r="AK70" s="32">
        <f>IF(T_Voluntarios[[#This Row],[ROL]]="Participante",SUMIFS(T_Cuotas[[#All],[Total]],T_Cuotas[[#All],[RUN]],T_Voluntarios[[#This Row],[RUN]]),-1)</f>
        <v>36500</v>
      </c>
      <c r="AL70" s="13" t="s">
        <v>1</v>
      </c>
      <c r="AM70" s="13" t="s">
        <v>2029</v>
      </c>
      <c r="AP70" s="2" t="str">
        <f>MID(T_Voluntarios[[#This Row],[E_MAIL]],SEARCH("@",T_Voluntarios[[#This Row],[E_MAIL]],1),LEN(T_Voluntarios[[#This Row],[E_MAIL]]))</f>
        <v>@gmail.com</v>
      </c>
      <c r="AQ70" s="13" t="str">
        <f>VLOOKUP(T_Voluntarios[[#This Row],[RUN]],BBDD[],37,FALSE)</f>
        <v>21</v>
      </c>
      <c r="AR70" s="2" t="str">
        <f>VLOOKUP(T_Voluntarios[[#This Row],[RUN]],BBDD[],29,FALSE)</f>
        <v>estudiante de ingeniería comercial</v>
      </c>
      <c r="AS70" s="2" t="str">
        <f>VLOOKUP(T_Voluntarios[[#This Row],[RUN]],BBDD[],30,FALSE)</f>
        <v>9 años</v>
      </c>
      <c r="AT70" s="2" t="str">
        <f>VLOOKUP(T_Voluntarios[[#This Row],[RUN]],BBDD[],31,FALSE)</f>
        <v>2 años</v>
      </c>
      <c r="AU70" s="2" t="str">
        <f>VLOOKUP(T_Voluntarios[[#This Row],[RUN]],BBDD[],32,FALSE)</f>
        <v>Soltero(a)</v>
      </c>
      <c r="AV70" s="2" t="str">
        <f>VLOOKUP(T_Voluntarios[[#This Row],[RUN]],BBDD[],33,FALSE)</f>
        <v>Ninguna</v>
      </c>
      <c r="AW70" s="2" t="str">
        <f>VLOOKUP(T_Voluntarios[[#This Row],[RUN]],BBDD[],34,FALSE)</f>
        <v>Alfredo</v>
      </c>
      <c r="AX70" s="13" t="s">
        <v>733</v>
      </c>
      <c r="AY70" s="76">
        <f>VLOOKUP(T_Voluntarios[[#This Row],[RUN]],BBDD[],2,FALSE)</f>
        <v>45785.019618942904</v>
      </c>
      <c r="AZ70" s="13" t="s">
        <v>3403</v>
      </c>
    </row>
    <row r="71" spans="1:52" ht="14.4" x14ac:dyDescent="0.3">
      <c r="A71" t="s">
        <v>1471</v>
      </c>
      <c r="B71" s="2" t="str">
        <f>VLOOKUP(T_Voluntarios[[#This Row],[RUN]],BBDD[],3,FALSE)</f>
        <v>alainsebastian.c.v@gmail.com</v>
      </c>
      <c r="C71" s="2" t="str">
        <f>VLOOKUP(T_Voluntarios[[#This Row],[RUN]],BBDD[],4,FALSE)</f>
        <v>Alain Sebastian Cereceda Venegas</v>
      </c>
      <c r="D71" s="16">
        <f>VLOOKUP(T_Voluntarios[[#This Row],[RUN]],BBDD[],5,FALSE)</f>
        <v>36013</v>
      </c>
      <c r="E71" s="2" t="str">
        <f>VLOOKUP(T_Voluntarios[[#This Row],[RUN]],BBDD[],6,FALSE)</f>
        <v>cuatro poniente 825</v>
      </c>
      <c r="F71" s="2" t="str">
        <f>VLOOKUP(T_Voluntarios[[#This Row],[RUN]],BBDD[],7,FALSE)</f>
        <v>Chillán</v>
      </c>
      <c r="G71" s="2" t="str">
        <f>VLOOKUP(T_Voluntarios[[#This Row],[RUN]],BBDD[],8,FALSE)</f>
        <v>Celular</v>
      </c>
      <c r="H71" s="2" t="str">
        <f>IF(VLOOKUP(T_Voluntarios[[#This Row],[RUN]],BBDD[],9,FALSE)=0,"Falta",VLOOKUP(T_Voluntarios[[#This Row],[RUN]],BBDD[],9,FALSE))</f>
        <v>+56937824627</v>
      </c>
      <c r="I71" s="2" t="str">
        <f>VLOOKUP(T_Voluntarios[[#This Row],[RUN]],BBDD[],10,FALSE)</f>
        <v>Participante</v>
      </c>
      <c r="J71" s="2" t="str">
        <f>VLOOKUP(T_Voluntarios[[#This Row],[RUN]],BBDD[],11,FALSE)</f>
        <v>San Francisco</v>
      </c>
      <c r="K71" s="2" t="str">
        <f>VLOOKUP(T_Voluntarios[[#This Row],[RUN]],BBDD[],12,FALSE)</f>
        <v>Golondrinas</v>
      </c>
      <c r="L71" s="2" t="str">
        <f>VLOOKUP(T_Voluntarios[[#This Row],[RUN]],BBDD[],15,FALSE)</f>
        <v>Zona Ñuble</v>
      </c>
      <c r="M71" s="2" t="str">
        <f>VLOOKUP(T_Voluntarios[[#This Row],[RUN]],BBDD[],20,FALSE)</f>
        <v>Alimentación Tradicional</v>
      </c>
      <c r="N71" s="2" t="str">
        <f>VLOOKUP(T_Voluntarios[[#This Row],[RUN]],BBDD[],21,FALSE)</f>
        <v>Ninguna</v>
      </c>
      <c r="O71" s="2" t="str">
        <f>VLOOKUP(T_Voluntarios[[#This Row],[RUN]],BBDD[],22,FALSE)</f>
        <v>Ninguna</v>
      </c>
      <c r="P71" s="2" t="str">
        <f>VLOOKUP(T_Voluntarios[[#This Row],[RUN]],BBDD[],23,FALSE)</f>
        <v>marcia venegas 977278192</v>
      </c>
      <c r="Q71" s="2" t="str">
        <f>IF(VLOOKUP(T_Voluntarios[[#This Row],[RUN]],BBDD[],27,FALSE)=0,"",VLOOKUP(T_Voluntarios[[#This Row],[RUN]],BBDD[],27,FALSE))</f>
        <v/>
      </c>
      <c r="R71" s="2" t="str">
        <f>VLOOKUP(T_Voluntarios[[#This Row],[RUN]],BBDD[],36,FALSE)</f>
        <v>https://drive.google.com/open?id=1hfSWJrMjM-0WdIzj0DyNwgcZtDX-oR-e</v>
      </c>
      <c r="S71" s="2" t="str">
        <f>VLOOKUP(T_Voluntarios[[#This Row],[RUN]],BBDD[],16,FALSE)</f>
        <v>Inicial</v>
      </c>
      <c r="T71" s="2" t="str">
        <f>VLOOKUP(T_Voluntarios[[#This Row],[RUN]],BBDD[],17,FALSE)</f>
        <v>Ninguno</v>
      </c>
      <c r="U71" s="2" t="str">
        <f>VLOOKUP(T_Voluntarios[[#This Row],[RUN]],BBDD[],18,FALSE)</f>
        <v>Ninguno</v>
      </c>
      <c r="V71" s="2" t="str">
        <f>VLOOKUP(T_Voluntarios[[#This Row],[RUN]],BBDD[],19,FALSE)</f>
        <v>Ninguno</v>
      </c>
      <c r="W71" s="13" t="str">
        <f>IF(OR(T_Voluntarios[[#This Row],[ROL]]="Formador(a)"),"SI","NO")</f>
        <v>NO</v>
      </c>
      <c r="X71" s="13" t="str">
        <f>IF(ISERROR(VLOOKUP(T_Voluntarios[[#This Row],[RUN]],BBDD_Formadores[],15,FALSE)),"NO",VLOOKUP(T_Voluntarios[[#This Row],[RUN]],BBDD_Formadores[],15,FALSE))</f>
        <v>NO</v>
      </c>
      <c r="Y71" s="13" t="str">
        <f>IF(ISERROR(VLOOKUP(T_Voluntarios[[#This Row],[RUN]],BBDD_Formadores[],16,FALSE)),"NO",VLOOKUP(T_Voluntarios[[#This Row],[RUN]],BBDD_Formadores[],16,FALSE))</f>
        <v>NO</v>
      </c>
      <c r="Z71" s="13" t="str">
        <f>IF(ISERROR(VLOOKUP(T_Voluntarios[[#This Row],[RUN]],BBDD_Formadores[],17,FALSE)),"NO",VLOOKUP(T_Voluntarios[[#This Row],[RUN]],BBDD_Formadores[],17,FALSE))</f>
        <v>NO</v>
      </c>
      <c r="AA71" s="13" t="str">
        <f>IF(ISERROR(VLOOKUP(T_Voluntarios[[#This Row],[RUN]],BBDD_Formadores[],18,FALSE)),"NO",VLOOKUP(T_Voluntarios[[#This Row],[RUN]],BBDD_Formadores[],18,FALSE))</f>
        <v>NO</v>
      </c>
      <c r="AB71" s="13">
        <v>1</v>
      </c>
      <c r="AC71" s="13" t="s">
        <v>1</v>
      </c>
      <c r="AD71" s="13" t="s">
        <v>77</v>
      </c>
      <c r="AF71" s="2" t="str">
        <f>IF(VLOOKUP(T_Voluntarios[[#This Row],[RUN]],BBDD[],25,FALSE)=0,"",VLOOKUP(T_Voluntarios[[#This Row],[RUN]],BBDD[],25,FALSE))</f>
        <v/>
      </c>
      <c r="AG71" s="2" t="str">
        <f>IF(VLOOKUP(T_Voluntarios[[#This Row],[RUN]],BBDD[],26,FALSE)=0,"",VLOOKUP(T_Voluntarios[[#This Row],[RUN]],BBDD[],26,FALSE))</f>
        <v/>
      </c>
      <c r="AH71" s="2" t="str">
        <f>IF(VLOOKUP(T_Voluntarios[[#This Row],[RUN]],BBDD[],24,FALSE)=0,"",VLOOKUP(T_Voluntarios[[#This Row],[RUN]],BBDD[],24,FALSE))</f>
        <v/>
      </c>
      <c r="AI71" s="13" t="str">
        <f>VLOOKUP(T_Voluntarios[[#This Row],[RUN]],BBDD[],28,FALSE)</f>
        <v>SI</v>
      </c>
      <c r="AJ71" s="13" t="str">
        <f>VLOOKUP(T_Voluntarios[[#This Row],[RUN]],BBDD[],28,FALSE)</f>
        <v>SI</v>
      </c>
      <c r="AK71" s="32">
        <f>IF(T_Voluntarios[[#This Row],[ROL]]="Participante",SUMIFS(T_Cuotas[[#All],[Total]],T_Cuotas[[#All],[RUN]],T_Voluntarios[[#This Row],[RUN]]),-1)</f>
        <v>50000</v>
      </c>
      <c r="AL71" s="13" t="s">
        <v>1</v>
      </c>
      <c r="AM71" s="13" t="s">
        <v>2029</v>
      </c>
      <c r="AP71" s="2" t="str">
        <f>MID(T_Voluntarios[[#This Row],[E_MAIL]],SEARCH("@",T_Voluntarios[[#This Row],[E_MAIL]],1),LEN(T_Voluntarios[[#This Row],[E_MAIL]]))</f>
        <v>@gmail.com</v>
      </c>
      <c r="AQ71" s="13" t="str">
        <f>VLOOKUP(T_Voluntarios[[#This Row],[RUN]],BBDD[],37,FALSE)</f>
        <v>26</v>
      </c>
      <c r="AR71" s="2" t="str">
        <f>VLOOKUP(T_Voluntarios[[#This Row],[RUN]],BBDD[],29,FALSE)</f>
        <v>ingeniero en finanzas-tesorero</v>
      </c>
      <c r="AS71" s="2" t="str">
        <f>VLOOKUP(T_Voluntarios[[#This Row],[RUN]],BBDD[],30,FALSE)</f>
        <v>9 años</v>
      </c>
      <c r="AT71" s="2" t="str">
        <f>VLOOKUP(T_Voluntarios[[#This Row],[RUN]],BBDD[],31,FALSE)</f>
        <v>3.5 años</v>
      </c>
      <c r="AU71" s="2" t="str">
        <f>VLOOKUP(T_Voluntarios[[#This Row],[RUN]],BBDD[],32,FALSE)</f>
        <v>Soltero(a)</v>
      </c>
      <c r="AV71" s="2" t="str">
        <f>VLOOKUP(T_Voluntarios[[#This Row],[RUN]],BBDD[],33,FALSE)</f>
        <v>Ninguna</v>
      </c>
      <c r="AW71" s="2" t="str">
        <f>VLOOKUP(T_Voluntarios[[#This Row],[RUN]],BBDD[],34,FALSE)</f>
        <v>Alain</v>
      </c>
      <c r="AX71" s="13" t="s">
        <v>733</v>
      </c>
      <c r="AY71" s="76">
        <f>VLOOKUP(T_Voluntarios[[#This Row],[RUN]],BBDD[],2,FALSE)</f>
        <v>45785.403321874997</v>
      </c>
      <c r="AZ71" s="13" t="s">
        <v>3402</v>
      </c>
    </row>
    <row r="72" spans="1:52" ht="14.4" x14ac:dyDescent="0.3">
      <c r="A72" t="s">
        <v>1482</v>
      </c>
      <c r="B72" s="2" t="str">
        <f>VLOOKUP(T_Voluntarios[[#This Row],[RUN]],BBDD[],3,FALSE)</f>
        <v>psobreviav@gmail.com</v>
      </c>
      <c r="C72" s="2" t="str">
        <f>VLOOKUP(T_Voluntarios[[#This Row],[RUN]],BBDD[],4,FALSE)</f>
        <v>Paula Constanza Antonia Sobrevía Valenzuela</v>
      </c>
      <c r="D72" s="16">
        <f>VLOOKUP(T_Voluntarios[[#This Row],[RUN]],BBDD[],5,FALSE)</f>
        <v>37478</v>
      </c>
      <c r="E72" s="2" t="str">
        <f>VLOOKUP(T_Voluntarios[[#This Row],[RUN]],BBDD[],6,FALSE)</f>
        <v>Pasaje doce 5854</v>
      </c>
      <c r="F72" s="2" t="str">
        <f>VLOOKUP(T_Voluntarios[[#This Row],[RUN]],BBDD[],7,FALSE)</f>
        <v>Hualpén</v>
      </c>
      <c r="G72" s="2" t="str">
        <f>VLOOKUP(T_Voluntarios[[#This Row],[RUN]],BBDD[],8,FALSE)</f>
        <v>Celular</v>
      </c>
      <c r="H72" s="2" t="str">
        <f>IF(VLOOKUP(T_Voluntarios[[#This Row],[RUN]],BBDD[],9,FALSE)=0,"Falta",VLOOKUP(T_Voluntarios[[#This Row],[RUN]],BBDD[],9,FALSE))</f>
        <v>+56957002094</v>
      </c>
      <c r="I72" s="2" t="str">
        <f>VLOOKUP(T_Voluntarios[[#This Row],[RUN]],BBDD[],10,FALSE)</f>
        <v>Participante</v>
      </c>
      <c r="J72" s="2" t="str">
        <f>VLOOKUP(T_Voluntarios[[#This Row],[RUN]],BBDD[],11,FALSE)</f>
        <v>Salesianos Concepción</v>
      </c>
      <c r="K72" s="2" t="str">
        <f>VLOOKUP(T_Voluntarios[[#This Row],[RUN]],BBDD[],12,FALSE)</f>
        <v>Pioneros</v>
      </c>
      <c r="L72" s="2" t="str">
        <f>VLOOKUP(T_Voluntarios[[#This Row],[RUN]],BBDD[],15,FALSE)</f>
        <v>Rio Andalién</v>
      </c>
      <c r="M72" s="2" t="str">
        <f>VLOOKUP(T_Voluntarios[[#This Row],[RUN]],BBDD[],20,FALSE)</f>
        <v>Alimentación Tradicional</v>
      </c>
      <c r="N72" s="2" t="str">
        <f>VLOOKUP(T_Voluntarios[[#This Row],[RUN]],BBDD[],21,FALSE)</f>
        <v>Ninguna</v>
      </c>
      <c r="O72" s="2" t="str">
        <f>VLOOKUP(T_Voluntarios[[#This Row],[RUN]],BBDD[],22,FALSE)</f>
        <v>Ninguna</v>
      </c>
      <c r="P72" s="2" t="str">
        <f>VLOOKUP(T_Voluntarios[[#This Row],[RUN]],BBDD[],23,FALSE)</f>
        <v>Eduardo Sobrevía +56990995954</v>
      </c>
      <c r="Q72" s="2" t="str">
        <f>IF(VLOOKUP(T_Voluntarios[[#This Row],[RUN]],BBDD[],27,FALSE)=0,"",VLOOKUP(T_Voluntarios[[#This Row],[RUN]],BBDD[],27,FALSE))</f>
        <v/>
      </c>
      <c r="R72" s="2" t="str">
        <f>VLOOKUP(T_Voluntarios[[#This Row],[RUN]],BBDD[],36,FALSE)</f>
        <v>https://drive.google.com/open?id=1-ldxBumd6MEEFHjLkPUVoOgiSxZ957ee</v>
      </c>
      <c r="S72" s="2" t="str">
        <f>VLOOKUP(T_Voluntarios[[#This Row],[RUN]],BBDD[],16,FALSE)</f>
        <v>Inicial</v>
      </c>
      <c r="T72" s="2" t="str">
        <f>VLOOKUP(T_Voluntarios[[#This Row],[RUN]],BBDD[],17,FALSE)</f>
        <v>Ninguno</v>
      </c>
      <c r="U72" s="2" t="str">
        <f>VLOOKUP(T_Voluntarios[[#This Row],[RUN]],BBDD[],18,FALSE)</f>
        <v>Ninguno</v>
      </c>
      <c r="V72" s="2" t="str">
        <f>VLOOKUP(T_Voluntarios[[#This Row],[RUN]],BBDD[],19,FALSE)</f>
        <v>Ninguno</v>
      </c>
      <c r="W72" s="13" t="str">
        <f>IF(OR(T_Voluntarios[[#This Row],[ROL]]="Formador(a)"),"SI","NO")</f>
        <v>NO</v>
      </c>
      <c r="X72" s="13" t="str">
        <f>IF(ISERROR(VLOOKUP(T_Voluntarios[[#This Row],[RUN]],BBDD_Formadores[],15,FALSE)),"NO",VLOOKUP(T_Voluntarios[[#This Row],[RUN]],BBDD_Formadores[],15,FALSE))</f>
        <v>NO</v>
      </c>
      <c r="Y72" s="13" t="str">
        <f>IF(ISERROR(VLOOKUP(T_Voluntarios[[#This Row],[RUN]],BBDD_Formadores[],16,FALSE)),"NO",VLOOKUP(T_Voluntarios[[#This Row],[RUN]],BBDD_Formadores[],16,FALSE))</f>
        <v>NO</v>
      </c>
      <c r="Z72" s="13" t="str">
        <f>IF(ISERROR(VLOOKUP(T_Voluntarios[[#This Row],[RUN]],BBDD_Formadores[],17,FALSE)),"NO",VLOOKUP(T_Voluntarios[[#This Row],[RUN]],BBDD_Formadores[],17,FALSE))</f>
        <v>NO</v>
      </c>
      <c r="AA72" s="13" t="str">
        <f>IF(ISERROR(VLOOKUP(T_Voluntarios[[#This Row],[RUN]],BBDD_Formadores[],18,FALSE)),"NO",VLOOKUP(T_Voluntarios[[#This Row],[RUN]],BBDD_Formadores[],18,FALSE))</f>
        <v>NO</v>
      </c>
      <c r="AB72" s="13">
        <v>1</v>
      </c>
      <c r="AC72" s="13" t="s">
        <v>1</v>
      </c>
      <c r="AD72" s="13" t="s">
        <v>77</v>
      </c>
      <c r="AF72" s="2" t="str">
        <f>IF(VLOOKUP(T_Voluntarios[[#This Row],[RUN]],BBDD[],25,FALSE)=0,"",VLOOKUP(T_Voluntarios[[#This Row],[RUN]],BBDD[],25,FALSE))</f>
        <v/>
      </c>
      <c r="AG72" s="2" t="str">
        <f>IF(VLOOKUP(T_Voluntarios[[#This Row],[RUN]],BBDD[],26,FALSE)=0,"",VLOOKUP(T_Voluntarios[[#This Row],[RUN]],BBDD[],26,FALSE))</f>
        <v/>
      </c>
      <c r="AH72" s="2" t="str">
        <f>IF(VLOOKUP(T_Voluntarios[[#This Row],[RUN]],BBDD[],24,FALSE)=0,"",VLOOKUP(T_Voluntarios[[#This Row],[RUN]],BBDD[],24,FALSE))</f>
        <v/>
      </c>
      <c r="AI72" s="13" t="str">
        <f>VLOOKUP(T_Voluntarios[[#This Row],[RUN]],BBDD[],28,FALSE)</f>
        <v>No</v>
      </c>
      <c r="AJ72" s="13" t="str">
        <f>VLOOKUP(T_Voluntarios[[#This Row],[RUN]],BBDD[],28,FALSE)</f>
        <v>No</v>
      </c>
      <c r="AK72" s="32">
        <f>IF(T_Voluntarios[[#This Row],[ROL]]="Participante",SUMIFS(T_Cuotas[[#All],[Total]],T_Cuotas[[#All],[RUN]],T_Voluntarios[[#This Row],[RUN]]),-1)</f>
        <v>50000</v>
      </c>
      <c r="AL72" s="13" t="s">
        <v>1</v>
      </c>
      <c r="AM72" s="13" t="s">
        <v>2029</v>
      </c>
      <c r="AP72" s="2" t="str">
        <f>MID(T_Voluntarios[[#This Row],[E_MAIL]],SEARCH("@",T_Voluntarios[[#This Row],[E_MAIL]],1),LEN(T_Voluntarios[[#This Row],[E_MAIL]]))</f>
        <v>@gmail.com</v>
      </c>
      <c r="AQ72" s="13" t="str">
        <f>VLOOKUP(T_Voluntarios[[#This Row],[RUN]],BBDD[],37,FALSE)</f>
        <v>22</v>
      </c>
      <c r="AR72" s="2" t="str">
        <f>VLOOKUP(T_Voluntarios[[#This Row],[RUN]],BBDD[],29,FALSE)</f>
        <v>Estudiante</v>
      </c>
      <c r="AS72" s="2" t="str">
        <f>VLOOKUP(T_Voluntarios[[#This Row],[RUN]],BBDD[],30,FALSE)</f>
        <v>10 años</v>
      </c>
      <c r="AT72" s="2" t="str">
        <f>VLOOKUP(T_Voluntarios[[#This Row],[RUN]],BBDD[],31,FALSE)</f>
        <v>2 años 2meses</v>
      </c>
      <c r="AU72" s="2" t="str">
        <f>VLOOKUP(T_Voluntarios[[#This Row],[RUN]],BBDD[],32,FALSE)</f>
        <v>Soltero(a)</v>
      </c>
      <c r="AV72" s="2" t="str">
        <f>VLOOKUP(T_Voluntarios[[#This Row],[RUN]],BBDD[],33,FALSE)</f>
        <v>Ninguna</v>
      </c>
      <c r="AW72" s="2" t="str">
        <f>VLOOKUP(T_Voluntarios[[#This Row],[RUN]],BBDD[],34,FALSE)</f>
        <v>Paula</v>
      </c>
      <c r="AX72" s="13" t="s">
        <v>733</v>
      </c>
      <c r="AY72" s="76">
        <f>VLOOKUP(T_Voluntarios[[#This Row],[RUN]],BBDD[],2,FALSE)</f>
        <v>45785.537787499998</v>
      </c>
      <c r="AZ72" s="13" t="s">
        <v>3403</v>
      </c>
    </row>
    <row r="73" spans="1:52" ht="14.4" x14ac:dyDescent="0.3">
      <c r="A73" t="s">
        <v>1490</v>
      </c>
      <c r="B73" s="2" t="str">
        <f>VLOOKUP(T_Voluntarios[[#This Row],[RUN]],BBDD[],3,FALSE)</f>
        <v>daniburguz1630@gmail.com</v>
      </c>
      <c r="C73" s="2" t="str">
        <f>VLOOKUP(T_Voluntarios[[#This Row],[RUN]],BBDD[],4,FALSE)</f>
        <v>Daniela Monserrat Burgos Guzmán</v>
      </c>
      <c r="D73" s="16">
        <f>VLOOKUP(T_Voluntarios[[#This Row],[RUN]],BBDD[],5,FALSE)</f>
        <v>31032</v>
      </c>
      <c r="E73" s="2" t="str">
        <f>VLOOKUP(T_Voluntarios[[#This Row],[RUN]],BBDD[],6,FALSE)</f>
        <v>Los cerezos 4105</v>
      </c>
      <c r="F73" s="2" t="str">
        <f>VLOOKUP(T_Voluntarios[[#This Row],[RUN]],BBDD[],7,FALSE)</f>
        <v>Talcahuano</v>
      </c>
      <c r="G73" s="2" t="str">
        <f>VLOOKUP(T_Voluntarios[[#This Row],[RUN]],BBDD[],8,FALSE)</f>
        <v>Celular</v>
      </c>
      <c r="H73" s="2" t="str">
        <f>IF(VLOOKUP(T_Voluntarios[[#This Row],[RUN]],BBDD[],9,FALSE)=0,"Falta",VLOOKUP(T_Voluntarios[[#This Row],[RUN]],BBDD[],9,FALSE))</f>
        <v>+56994922124</v>
      </c>
      <c r="I73" s="2" t="str">
        <f>VLOOKUP(T_Voluntarios[[#This Row],[RUN]],BBDD[],10,FALSE)</f>
        <v>Participante</v>
      </c>
      <c r="J73" s="2" t="str">
        <f>VLOOKUP(T_Voluntarios[[#This Row],[RUN]],BBDD[],11,FALSE)</f>
        <v>Santa Cecilia</v>
      </c>
      <c r="K73" s="2" t="str">
        <f>VLOOKUP(T_Voluntarios[[#This Row],[RUN]],BBDD[],12,FALSE)</f>
        <v>Caminantes</v>
      </c>
      <c r="L73" s="2" t="str">
        <f>VLOOKUP(T_Voluntarios[[#This Row],[RUN]],BBDD[],15,FALSE)</f>
        <v>Talcahuano - Hualpén</v>
      </c>
      <c r="M73" s="2" t="str">
        <f>VLOOKUP(T_Voluntarios[[#This Row],[RUN]],BBDD[],20,FALSE)</f>
        <v>Alimentación Tradicional</v>
      </c>
      <c r="N73" s="2" t="str">
        <f>VLOOKUP(T_Voluntarios[[#This Row],[RUN]],BBDD[],21,FALSE)</f>
        <v>Epilepsia</v>
      </c>
      <c r="O73" s="2" t="str">
        <f>VLOOKUP(T_Voluntarios[[#This Row],[RUN]],BBDD[],22,FALSE)</f>
        <v>Ninguna</v>
      </c>
      <c r="P73" s="2" t="str">
        <f>VLOOKUP(T_Voluntarios[[#This Row],[RUN]],BBDD[],23,FALSE)</f>
        <v>Francisco Hidalgo +56 9 6537 6045</v>
      </c>
      <c r="Q73" s="2" t="str">
        <f>IF(VLOOKUP(T_Voluntarios[[#This Row],[RUN]],BBDD[],27,FALSE)=0,"",VLOOKUP(T_Voluntarios[[#This Row],[RUN]],BBDD[],27,FALSE))</f>
        <v/>
      </c>
      <c r="R73" s="2" t="str">
        <f>VLOOKUP(T_Voluntarios[[#This Row],[RUN]],BBDD[],36,FALSE)</f>
        <v>https://drive.google.com/open?id=1SFeQSk_FVbdHCoU0xOGsg4moHq6GADF9</v>
      </c>
      <c r="S73" s="2" t="str">
        <f>VLOOKUP(T_Voluntarios[[#This Row],[RUN]],BBDD[],16,FALSE)</f>
        <v>Inicial</v>
      </c>
      <c r="T73" s="2" t="str">
        <f>VLOOKUP(T_Voluntarios[[#This Row],[RUN]],BBDD[],17,FALSE)</f>
        <v>Ninguno</v>
      </c>
      <c r="U73" s="2" t="str">
        <f>VLOOKUP(T_Voluntarios[[#This Row],[RUN]],BBDD[],18,FALSE)</f>
        <v>Ninguno</v>
      </c>
      <c r="V73" s="2" t="str">
        <f>VLOOKUP(T_Voluntarios[[#This Row],[RUN]],BBDD[],19,FALSE)</f>
        <v>Ninguno</v>
      </c>
      <c r="W73" s="13" t="str">
        <f>IF(OR(T_Voluntarios[[#This Row],[ROL]]="Formador(a)"),"SI","NO")</f>
        <v>NO</v>
      </c>
      <c r="X73" s="13" t="str">
        <f>IF(ISERROR(VLOOKUP(T_Voluntarios[[#This Row],[RUN]],BBDD_Formadores[],15,FALSE)),"NO",VLOOKUP(T_Voluntarios[[#This Row],[RUN]],BBDD_Formadores[],15,FALSE))</f>
        <v>NO</v>
      </c>
      <c r="Y73" s="13" t="str">
        <f>IF(ISERROR(VLOOKUP(T_Voluntarios[[#This Row],[RUN]],BBDD_Formadores[],16,FALSE)),"NO",VLOOKUP(T_Voluntarios[[#This Row],[RUN]],BBDD_Formadores[],16,FALSE))</f>
        <v>NO</v>
      </c>
      <c r="Z73" s="13" t="str">
        <f>IF(ISERROR(VLOOKUP(T_Voluntarios[[#This Row],[RUN]],BBDD_Formadores[],17,FALSE)),"NO",VLOOKUP(T_Voluntarios[[#This Row],[RUN]],BBDD_Formadores[],17,FALSE))</f>
        <v>NO</v>
      </c>
      <c r="AA73" s="13" t="str">
        <f>IF(ISERROR(VLOOKUP(T_Voluntarios[[#This Row],[RUN]],BBDD_Formadores[],18,FALSE)),"NO",VLOOKUP(T_Voluntarios[[#This Row],[RUN]],BBDD_Formadores[],18,FALSE))</f>
        <v>NO</v>
      </c>
      <c r="AB73" s="13">
        <v>1</v>
      </c>
      <c r="AC73" s="13" t="s">
        <v>1</v>
      </c>
      <c r="AD73" s="13" t="s">
        <v>77</v>
      </c>
      <c r="AF73" s="2" t="str">
        <f>IF(VLOOKUP(T_Voluntarios[[#This Row],[RUN]],BBDD[],25,FALSE)=0,"",VLOOKUP(T_Voluntarios[[#This Row],[RUN]],BBDD[],25,FALSE))</f>
        <v/>
      </c>
      <c r="AG73" s="2" t="str">
        <f>IF(VLOOKUP(T_Voluntarios[[#This Row],[RUN]],BBDD[],26,FALSE)=0,"",VLOOKUP(T_Voluntarios[[#This Row],[RUN]],BBDD[],26,FALSE))</f>
        <v/>
      </c>
      <c r="AH73" s="2" t="str">
        <f>IF(VLOOKUP(T_Voluntarios[[#This Row],[RUN]],BBDD[],24,FALSE)=0,"",VLOOKUP(T_Voluntarios[[#This Row],[RUN]],BBDD[],24,FALSE))</f>
        <v/>
      </c>
      <c r="AI73" s="13" t="str">
        <f>VLOOKUP(T_Voluntarios[[#This Row],[RUN]],BBDD[],28,FALSE)</f>
        <v>No</v>
      </c>
      <c r="AJ73" s="13" t="str">
        <f>VLOOKUP(T_Voluntarios[[#This Row],[RUN]],BBDD[],28,FALSE)</f>
        <v>No</v>
      </c>
      <c r="AK73" s="32">
        <f>IF(T_Voluntarios[[#This Row],[ROL]]="Participante",SUMIFS(T_Cuotas[[#All],[Total]],T_Cuotas[[#All],[RUN]],T_Voluntarios[[#This Row],[RUN]]),-1)</f>
        <v>50000</v>
      </c>
      <c r="AL73" s="13" t="s">
        <v>1</v>
      </c>
      <c r="AM73" s="13" t="s">
        <v>2029</v>
      </c>
      <c r="AP73" s="2" t="str">
        <f>MID(T_Voluntarios[[#This Row],[E_MAIL]],SEARCH("@",T_Voluntarios[[#This Row],[E_MAIL]],1),LEN(T_Voluntarios[[#This Row],[E_MAIL]]))</f>
        <v>@gmail.com</v>
      </c>
      <c r="AQ73" s="13" t="str">
        <f>VLOOKUP(T_Voluntarios[[#This Row],[RUN]],BBDD[],37,FALSE)</f>
        <v>40</v>
      </c>
      <c r="AR73" s="2" t="str">
        <f>VLOOKUP(T_Voluntarios[[#This Row],[RUN]],BBDD[],29,FALSE)</f>
        <v>Técnico en Educación Especial</v>
      </c>
      <c r="AS73" s="2" t="str">
        <f>VLOOKUP(T_Voluntarios[[#This Row],[RUN]],BBDD[],30,FALSE)</f>
        <v>8 años</v>
      </c>
      <c r="AT73" s="2" t="str">
        <f>VLOOKUP(T_Voluntarios[[#This Row],[RUN]],BBDD[],31,FALSE)</f>
        <v>Trabaje uña año en Bandada y dos en Manada</v>
      </c>
      <c r="AU73" s="2" t="str">
        <f>VLOOKUP(T_Voluntarios[[#This Row],[RUN]],BBDD[],32,FALSE)</f>
        <v>Casado(a)</v>
      </c>
      <c r="AV73" s="2" t="str">
        <f>VLOOKUP(T_Voluntarios[[#This Row],[RUN]],BBDD[],33,FALSE)</f>
        <v>Ninguna</v>
      </c>
      <c r="AW73" s="2" t="str">
        <f>VLOOKUP(T_Voluntarios[[#This Row],[RUN]],BBDD[],34,FALSE)</f>
        <v>Yeye</v>
      </c>
      <c r="AX73" s="13" t="s">
        <v>733</v>
      </c>
      <c r="AY73" s="76">
        <f>VLOOKUP(T_Voluntarios[[#This Row],[RUN]],BBDD[],2,FALSE)</f>
        <v>45785.711617399691</v>
      </c>
      <c r="AZ73" s="13" t="s">
        <v>3403</v>
      </c>
    </row>
    <row r="74" spans="1:52" ht="14.4" x14ac:dyDescent="0.3">
      <c r="A74" t="s">
        <v>1501</v>
      </c>
      <c r="B74" s="2" t="str">
        <f>VLOOKUP(T_Voluntarios[[#This Row],[RUN]],BBDD[],3,FALSE)</f>
        <v>mg.thalia.f@gmail.com</v>
      </c>
      <c r="C74" s="2" t="str">
        <f>VLOOKUP(T_Voluntarios[[#This Row],[RUN]],BBDD[],4,FALSE)</f>
        <v>Thalía Scarlett Fernández Sierra</v>
      </c>
      <c r="D74" s="16">
        <f>VLOOKUP(T_Voluntarios[[#This Row],[RUN]],BBDD[],5,FALSE)</f>
        <v>34653</v>
      </c>
      <c r="E74" s="2" t="str">
        <f>VLOOKUP(T_Voluntarios[[#This Row],[RUN]],BBDD[],6,FALSE)</f>
        <v>Valle hermoso</v>
      </c>
      <c r="F74" s="2" t="str">
        <f>VLOOKUP(T_Voluntarios[[#This Row],[RUN]],BBDD[],7,FALSE)</f>
        <v>Los Álamos</v>
      </c>
      <c r="G74" s="2" t="str">
        <f>VLOOKUP(T_Voluntarios[[#This Row],[RUN]],BBDD[],8,FALSE)</f>
        <v>Celular</v>
      </c>
      <c r="H74" s="2" t="str">
        <f>IF(VLOOKUP(T_Voluntarios[[#This Row],[RUN]],BBDD[],9,FALSE)=0,"Falta",VLOOKUP(T_Voluntarios[[#This Row],[RUN]],BBDD[],9,FALSE))</f>
        <v>+56941568452</v>
      </c>
      <c r="I74" s="2" t="str">
        <f>VLOOKUP(T_Voluntarios[[#This Row],[RUN]],BBDD[],10,FALSE)</f>
        <v>Participante</v>
      </c>
      <c r="J74" s="2" t="str">
        <f>VLOOKUP(T_Voluntarios[[#This Row],[RUN]],BBDD[],11,FALSE)</f>
        <v>Namuncura</v>
      </c>
      <c r="K74" s="2" t="str">
        <f>VLOOKUP(T_Voluntarios[[#This Row],[RUN]],BBDD[],12,FALSE)</f>
        <v>Lobatos</v>
      </c>
      <c r="L74" s="2" t="str">
        <f>VLOOKUP(T_Voluntarios[[#This Row],[RUN]],BBDD[],15,FALSE)</f>
        <v>Nahuelbuta</v>
      </c>
      <c r="M74" s="2" t="str">
        <f>VLOOKUP(T_Voluntarios[[#This Row],[RUN]],BBDD[],20,FALSE)</f>
        <v>Alimentación Tradicional</v>
      </c>
      <c r="N74" s="2" t="str">
        <f>VLOOKUP(T_Voluntarios[[#This Row],[RUN]],BBDD[],21,FALSE)</f>
        <v>Ninguna</v>
      </c>
      <c r="O74" s="2" t="str">
        <f>VLOOKUP(T_Voluntarios[[#This Row],[RUN]],BBDD[],22,FALSE)</f>
        <v>Ninguna</v>
      </c>
      <c r="P74" s="2" t="str">
        <f>VLOOKUP(T_Voluntarios[[#This Row],[RUN]],BBDD[],23,FALSE)</f>
        <v>Leocadio Bastías, +56989350459</v>
      </c>
      <c r="Q74" s="2" t="str">
        <f>IF(VLOOKUP(T_Voluntarios[[#This Row],[RUN]],BBDD[],27,FALSE)=0,"",VLOOKUP(T_Voluntarios[[#This Row],[RUN]],BBDD[],27,FALSE))</f>
        <v/>
      </c>
      <c r="R74" s="2" t="str">
        <f>VLOOKUP(T_Voluntarios[[#This Row],[RUN]],BBDD[],36,FALSE)</f>
        <v>https://drive.google.com/open?id=12txDRHQ2UrXvEG595rWNtJYZVMdWUYB-</v>
      </c>
      <c r="S74" s="2" t="str">
        <f>VLOOKUP(T_Voluntarios[[#This Row],[RUN]],BBDD[],16,FALSE)</f>
        <v>Inicial</v>
      </c>
      <c r="T74" s="2" t="str">
        <f>VLOOKUP(T_Voluntarios[[#This Row],[RUN]],BBDD[],17,FALSE)</f>
        <v>Ninguno</v>
      </c>
      <c r="U74" s="2" t="str">
        <f>VLOOKUP(T_Voluntarios[[#This Row],[RUN]],BBDD[],18,FALSE)</f>
        <v>Ninguno</v>
      </c>
      <c r="V74" s="2" t="str">
        <f>VLOOKUP(T_Voluntarios[[#This Row],[RUN]],BBDD[],19,FALSE)</f>
        <v>Ninguno</v>
      </c>
      <c r="W74" s="13" t="str">
        <f>IF(OR(T_Voluntarios[[#This Row],[ROL]]="Formador(a)"),"SI","NO")</f>
        <v>NO</v>
      </c>
      <c r="X74" s="13" t="str">
        <f>IF(ISERROR(VLOOKUP(T_Voluntarios[[#This Row],[RUN]],BBDD_Formadores[],15,FALSE)),"NO",VLOOKUP(T_Voluntarios[[#This Row],[RUN]],BBDD_Formadores[],15,FALSE))</f>
        <v>NO</v>
      </c>
      <c r="Y74" s="13" t="str">
        <f>IF(ISERROR(VLOOKUP(T_Voluntarios[[#This Row],[RUN]],BBDD_Formadores[],16,FALSE)),"NO",VLOOKUP(T_Voluntarios[[#This Row],[RUN]],BBDD_Formadores[],16,FALSE))</f>
        <v>NO</v>
      </c>
      <c r="Z74" s="13" t="str">
        <f>IF(ISERROR(VLOOKUP(T_Voluntarios[[#This Row],[RUN]],BBDD_Formadores[],17,FALSE)),"NO",VLOOKUP(T_Voluntarios[[#This Row],[RUN]],BBDD_Formadores[],17,FALSE))</f>
        <v>NO</v>
      </c>
      <c r="AA74" s="13" t="str">
        <f>IF(ISERROR(VLOOKUP(T_Voluntarios[[#This Row],[RUN]],BBDD_Formadores[],18,FALSE)),"NO",VLOOKUP(T_Voluntarios[[#This Row],[RUN]],BBDD_Formadores[],18,FALSE))</f>
        <v>NO</v>
      </c>
      <c r="AB74" s="13">
        <v>1</v>
      </c>
      <c r="AC74" s="13" t="s">
        <v>1</v>
      </c>
      <c r="AD74" s="13" t="s">
        <v>77</v>
      </c>
      <c r="AF74" s="2" t="str">
        <f>IF(VLOOKUP(T_Voluntarios[[#This Row],[RUN]],BBDD[],25,FALSE)=0,"",VLOOKUP(T_Voluntarios[[#This Row],[RUN]],BBDD[],25,FALSE))</f>
        <v/>
      </c>
      <c r="AG74" s="2" t="str">
        <f>IF(VLOOKUP(T_Voluntarios[[#This Row],[RUN]],BBDD[],26,FALSE)=0,"",VLOOKUP(T_Voluntarios[[#This Row],[RUN]],BBDD[],26,FALSE))</f>
        <v/>
      </c>
      <c r="AH74" s="2" t="str">
        <f>IF(VLOOKUP(T_Voluntarios[[#This Row],[RUN]],BBDD[],24,FALSE)=0,"",VLOOKUP(T_Voluntarios[[#This Row],[RUN]],BBDD[],24,FALSE))</f>
        <v/>
      </c>
      <c r="AI74" s="13" t="str">
        <f>VLOOKUP(T_Voluntarios[[#This Row],[RUN]],BBDD[],28,FALSE)</f>
        <v>SI</v>
      </c>
      <c r="AJ74" s="13" t="str">
        <f>VLOOKUP(T_Voluntarios[[#This Row],[RUN]],BBDD[],28,FALSE)</f>
        <v>SI</v>
      </c>
      <c r="AK74" s="32">
        <f>IF(T_Voluntarios[[#This Row],[ROL]]="Participante",SUMIFS(T_Cuotas[[#All],[Total]],T_Cuotas[[#All],[RUN]],T_Voluntarios[[#This Row],[RUN]]),-1)</f>
        <v>50000</v>
      </c>
      <c r="AL74" s="13" t="s">
        <v>1</v>
      </c>
      <c r="AM74" s="13" t="s">
        <v>2029</v>
      </c>
      <c r="AP74" s="2" t="str">
        <f>MID(T_Voluntarios[[#This Row],[E_MAIL]],SEARCH("@",T_Voluntarios[[#This Row],[E_MAIL]],1),LEN(T_Voluntarios[[#This Row],[E_MAIL]]))</f>
        <v>@gmail.com</v>
      </c>
      <c r="AQ74" s="13" t="str">
        <f>VLOOKUP(T_Voluntarios[[#This Row],[RUN]],BBDD[],37,FALSE)</f>
        <v>30</v>
      </c>
      <c r="AR74" s="2" t="str">
        <f>VLOOKUP(T_Voluntarios[[#This Row],[RUN]],BBDD[],29,FALSE)</f>
        <v>T.U AGROPECUARIA</v>
      </c>
      <c r="AS74" s="2" t="str">
        <f>VLOOKUP(T_Voluntarios[[#This Row],[RUN]],BBDD[],30,FALSE)</f>
        <v>No fui beneficiario</v>
      </c>
      <c r="AT74" s="2" t="str">
        <f>VLOOKUP(T_Voluntarios[[#This Row],[RUN]],BBDD[],31,FALSE)</f>
        <v>6 meses</v>
      </c>
      <c r="AU74" s="2" t="str">
        <f>VLOOKUP(T_Voluntarios[[#This Row],[RUN]],BBDD[],32,FALSE)</f>
        <v>Soltero(a)</v>
      </c>
      <c r="AV74" s="2" t="str">
        <f>VLOOKUP(T_Voluntarios[[#This Row],[RUN]],BBDD[],33,FALSE)</f>
        <v>Ninguna</v>
      </c>
      <c r="AW74" s="2" t="str">
        <f>VLOOKUP(T_Voluntarios[[#This Row],[RUN]],BBDD[],34,FALSE)</f>
        <v>Taly</v>
      </c>
      <c r="AX74" s="13" t="s">
        <v>733</v>
      </c>
      <c r="AY74" s="76">
        <f>VLOOKUP(T_Voluntarios[[#This Row],[RUN]],BBDD[],2,FALSE)</f>
        <v>45785.801697646602</v>
      </c>
      <c r="AZ74" s="13" t="s">
        <v>3403</v>
      </c>
    </row>
    <row r="75" spans="1:52" ht="14.4" x14ac:dyDescent="0.3">
      <c r="A75" t="s">
        <v>1559</v>
      </c>
      <c r="B75" s="2" t="str">
        <f>VLOOKUP(T_Voluntarios[[#This Row],[RUN]],BBDD[],3,FALSE)</f>
        <v>karina.martinez.navarro@gmail.com</v>
      </c>
      <c r="C75" s="2" t="str">
        <f>VLOOKUP(T_Voluntarios[[#This Row],[RUN]],BBDD[],4,FALSE)</f>
        <v>Karina Belen Antonella Martinez Navarro</v>
      </c>
      <c r="D75" s="16">
        <f>VLOOKUP(T_Voluntarios[[#This Row],[RUN]],BBDD[],5,FALSE)</f>
        <v>38828</v>
      </c>
      <c r="E75" s="2" t="str">
        <f>VLOOKUP(T_Voluntarios[[#This Row],[RUN]],BBDD[],6,FALSE)</f>
        <v>Seminario 112</v>
      </c>
      <c r="F75" s="2" t="str">
        <f>VLOOKUP(T_Voluntarios[[#This Row],[RUN]],BBDD[],7,FALSE)</f>
        <v>Los Ángeles</v>
      </c>
      <c r="G75" s="2" t="str">
        <f>VLOOKUP(T_Voluntarios[[#This Row],[RUN]],BBDD[],8,FALSE)</f>
        <v>Celular</v>
      </c>
      <c r="H75" s="2" t="str">
        <f>IF(VLOOKUP(T_Voluntarios[[#This Row],[RUN]],BBDD[],9,FALSE)=0,"Falta",VLOOKUP(T_Voluntarios[[#This Row],[RUN]],BBDD[],9,FALSE))</f>
        <v>+56996814332</v>
      </c>
      <c r="I75" s="2" t="str">
        <f>VLOOKUP(T_Voluntarios[[#This Row],[RUN]],BBDD[],10,FALSE)</f>
        <v>Participante</v>
      </c>
      <c r="J75" s="2" t="str">
        <f>VLOOKUP(T_Voluntarios[[#This Row],[RUN]],BBDD[],11,FALSE)</f>
        <v>Sagrada Familia</v>
      </c>
      <c r="K75" s="2" t="str">
        <f>VLOOKUP(T_Voluntarios[[#This Row],[RUN]],BBDD[],12,FALSE)</f>
        <v>Lobatos</v>
      </c>
      <c r="L75" s="2" t="str">
        <f>VLOOKUP(T_Voluntarios[[#This Row],[RUN]],BBDD[],15,FALSE)</f>
        <v>Biobío</v>
      </c>
      <c r="M75" s="2" t="str">
        <f>VLOOKUP(T_Voluntarios[[#This Row],[RUN]],BBDD[],20,FALSE)</f>
        <v>Alimentación Tradicional</v>
      </c>
      <c r="N75" s="2" t="str">
        <f>VLOOKUP(T_Voluntarios[[#This Row],[RUN]],BBDD[],21,FALSE)</f>
        <v>Ninguna</v>
      </c>
      <c r="O75" s="2" t="str">
        <f>VLOOKUP(T_Voluntarios[[#This Row],[RUN]],BBDD[],22,FALSE)</f>
        <v>Asma</v>
      </c>
      <c r="P75" s="2" t="str">
        <f>VLOOKUP(T_Voluntarios[[#This Row],[RUN]],BBDD[],23,FALSE)</f>
        <v>Ana navarro 997273745</v>
      </c>
      <c r="Q75" s="2" t="str">
        <f>IF(VLOOKUP(T_Voluntarios[[#This Row],[RUN]],BBDD[],27,FALSE)=0,"",VLOOKUP(T_Voluntarios[[#This Row],[RUN]],BBDD[],27,FALSE))</f>
        <v/>
      </c>
      <c r="R75" s="2" t="str">
        <f>VLOOKUP(T_Voluntarios[[#This Row],[RUN]],BBDD[],36,FALSE)</f>
        <v>https://drive.google.com/open?id=1a10kQAh0hBbkRwZE0DPGtyl6LqfIrunf</v>
      </c>
      <c r="S75" s="2" t="str">
        <f>VLOOKUP(T_Voluntarios[[#This Row],[RUN]],BBDD[],16,FALSE)</f>
        <v>Ninguno</v>
      </c>
      <c r="T75" s="2" t="str">
        <f>VLOOKUP(T_Voluntarios[[#This Row],[RUN]],BBDD[],17,FALSE)</f>
        <v>Ninguno</v>
      </c>
      <c r="U75" s="2" t="str">
        <f>VLOOKUP(T_Voluntarios[[#This Row],[RUN]],BBDD[],18,FALSE)</f>
        <v>Ninguno</v>
      </c>
      <c r="V75" s="2" t="str">
        <f>VLOOKUP(T_Voluntarios[[#This Row],[RUN]],BBDD[],19,FALSE)</f>
        <v>Ninguno</v>
      </c>
      <c r="W75" s="13" t="str">
        <f>IF(OR(T_Voluntarios[[#This Row],[ROL]]="Formador(a)"),"SI","NO")</f>
        <v>NO</v>
      </c>
      <c r="X75" s="13" t="str">
        <f>IF(ISERROR(VLOOKUP(T_Voluntarios[[#This Row],[RUN]],BBDD_Formadores[],15,FALSE)),"NO",VLOOKUP(T_Voluntarios[[#This Row],[RUN]],BBDD_Formadores[],15,FALSE))</f>
        <v>NO</v>
      </c>
      <c r="Y75" s="13" t="str">
        <f>IF(ISERROR(VLOOKUP(T_Voluntarios[[#This Row],[RUN]],BBDD_Formadores[],16,FALSE)),"NO",VLOOKUP(T_Voluntarios[[#This Row],[RUN]],BBDD_Formadores[],16,FALSE))</f>
        <v>NO</v>
      </c>
      <c r="Z75" s="13" t="str">
        <f>IF(ISERROR(VLOOKUP(T_Voluntarios[[#This Row],[RUN]],BBDD_Formadores[],17,FALSE)),"NO",VLOOKUP(T_Voluntarios[[#This Row],[RUN]],BBDD_Formadores[],17,FALSE))</f>
        <v>NO</v>
      </c>
      <c r="AA75" s="13" t="str">
        <f>IF(ISERROR(VLOOKUP(T_Voluntarios[[#This Row],[RUN]],BBDD_Formadores[],18,FALSE)),"NO",VLOOKUP(T_Voluntarios[[#This Row],[RUN]],BBDD_Formadores[],18,FALSE))</f>
        <v>NO</v>
      </c>
      <c r="AB75" s="13">
        <v>1</v>
      </c>
      <c r="AC75" s="13" t="s">
        <v>1</v>
      </c>
      <c r="AD75" s="13" t="s">
        <v>77</v>
      </c>
      <c r="AF75" s="2" t="str">
        <f>IF(VLOOKUP(T_Voluntarios[[#This Row],[RUN]],BBDD[],25,FALSE)=0,"",VLOOKUP(T_Voluntarios[[#This Row],[RUN]],BBDD[],25,FALSE))</f>
        <v/>
      </c>
      <c r="AG75" s="2" t="str">
        <f>IF(VLOOKUP(T_Voluntarios[[#This Row],[RUN]],BBDD[],26,FALSE)=0,"",VLOOKUP(T_Voluntarios[[#This Row],[RUN]],BBDD[],26,FALSE))</f>
        <v/>
      </c>
      <c r="AH75" s="2" t="str">
        <f>IF(VLOOKUP(T_Voluntarios[[#This Row],[RUN]],BBDD[],24,FALSE)=0,"",VLOOKUP(T_Voluntarios[[#This Row],[RUN]],BBDD[],24,FALSE))</f>
        <v/>
      </c>
      <c r="AI75" s="13" t="str">
        <f>VLOOKUP(T_Voluntarios[[#This Row],[RUN]],BBDD[],28,FALSE)</f>
        <v>No</v>
      </c>
      <c r="AJ75" s="13" t="str">
        <f>VLOOKUP(T_Voluntarios[[#This Row],[RUN]],BBDD[],28,FALSE)</f>
        <v>No</v>
      </c>
      <c r="AK75" s="32">
        <f>IF(T_Voluntarios[[#This Row],[ROL]]="Participante",SUMIFS(T_Cuotas[[#All],[Total]],T_Cuotas[[#All],[RUN]],T_Voluntarios[[#This Row],[RUN]]),-1)</f>
        <v>50000</v>
      </c>
      <c r="AL75" s="13" t="s">
        <v>1</v>
      </c>
      <c r="AM75" s="13" t="s">
        <v>2029</v>
      </c>
      <c r="AP75" s="2" t="str">
        <f>MID(T_Voluntarios[[#This Row],[E_MAIL]],SEARCH("@",T_Voluntarios[[#This Row],[E_MAIL]],1),LEN(T_Voluntarios[[#This Row],[E_MAIL]]))</f>
        <v>@gmail.com</v>
      </c>
      <c r="AQ75" s="13" t="str">
        <f>VLOOKUP(T_Voluntarios[[#This Row],[RUN]],BBDD[],37,FALSE)</f>
        <v>19</v>
      </c>
      <c r="AR75" s="2" t="str">
        <f>VLOOKUP(T_Voluntarios[[#This Row],[RUN]],BBDD[],29,FALSE)</f>
        <v>Estudiante de obstetricia</v>
      </c>
      <c r="AS75" s="2" t="str">
        <f>VLOOKUP(T_Voluntarios[[#This Row],[RUN]],BBDD[],30,FALSE)</f>
        <v>6 años</v>
      </c>
      <c r="AT75" s="2" t="str">
        <f>VLOOKUP(T_Voluntarios[[#This Row],[RUN]],BBDD[],31,FALSE)</f>
        <v>2 meses</v>
      </c>
      <c r="AU75" s="2" t="str">
        <f>VLOOKUP(T_Voluntarios[[#This Row],[RUN]],BBDD[],32,FALSE)</f>
        <v>Soltero(a)</v>
      </c>
      <c r="AV75" s="2" t="str">
        <f>VLOOKUP(T_Voluntarios[[#This Row],[RUN]],BBDD[],33,FALSE)</f>
        <v>Ninguna</v>
      </c>
      <c r="AW75" s="2" t="str">
        <f>VLOOKUP(T_Voluntarios[[#This Row],[RUN]],BBDD[],34,FALSE)</f>
        <v>Kari</v>
      </c>
      <c r="AX75" s="13" t="s">
        <v>733</v>
      </c>
      <c r="AY75" s="76">
        <f>VLOOKUP(T_Voluntarios[[#This Row],[RUN]],BBDD[],2,FALSE)</f>
        <v>45785.813260493829</v>
      </c>
      <c r="AZ75" s="13" t="s">
        <v>3403</v>
      </c>
    </row>
    <row r="76" spans="1:52" ht="14.4" x14ac:dyDescent="0.3">
      <c r="A76" t="s">
        <v>1521</v>
      </c>
      <c r="B76" s="2" t="str">
        <f>VLOOKUP(T_Voluntarios[[#This Row],[RUN]],BBDD[],3,FALSE)</f>
        <v>jocefinaloyola@gmail.com</v>
      </c>
      <c r="C76" s="2" t="str">
        <f>VLOOKUP(T_Voluntarios[[#This Row],[RUN]],BBDD[],4,FALSE)</f>
        <v>Jocefina Laura Noemí Loyola Díaz</v>
      </c>
      <c r="D76" s="16">
        <f>VLOOKUP(T_Voluntarios[[#This Row],[RUN]],BBDD[],5,FALSE)</f>
        <v>37505</v>
      </c>
      <c r="E76" s="2" t="str">
        <f>VLOOKUP(T_Voluntarios[[#This Row],[RUN]],BBDD[],6,FALSE)</f>
        <v>San Francisco 1295</v>
      </c>
      <c r="F76" s="2" t="str">
        <f>VLOOKUP(T_Voluntarios[[#This Row],[RUN]],BBDD[],7,FALSE)</f>
        <v>Los Ángeles</v>
      </c>
      <c r="G76" s="2" t="str">
        <f>VLOOKUP(T_Voluntarios[[#This Row],[RUN]],BBDD[],8,FALSE)</f>
        <v>Celular</v>
      </c>
      <c r="H76" s="2" t="str">
        <f>IF(VLOOKUP(T_Voluntarios[[#This Row],[RUN]],BBDD[],9,FALSE)=0,"Falta",VLOOKUP(T_Voluntarios[[#This Row],[RUN]],BBDD[],9,FALSE))</f>
        <v>+56975908017</v>
      </c>
      <c r="I76" s="2" t="str">
        <f>VLOOKUP(T_Voluntarios[[#This Row],[RUN]],BBDD[],10,FALSE)</f>
        <v>Participante</v>
      </c>
      <c r="J76" s="2" t="str">
        <f>VLOOKUP(T_Voluntarios[[#This Row],[RUN]],BBDD[],11,FALSE)</f>
        <v>Sagrada Familia</v>
      </c>
      <c r="K76" s="2" t="str">
        <f>VLOOKUP(T_Voluntarios[[#This Row],[RUN]],BBDD[],12,FALSE)</f>
        <v>Golondrinas</v>
      </c>
      <c r="L76" s="2" t="str">
        <f>VLOOKUP(T_Voluntarios[[#This Row],[RUN]],BBDD[],15,FALSE)</f>
        <v>Biobío</v>
      </c>
      <c r="M76" s="2" t="str">
        <f>VLOOKUP(T_Voluntarios[[#This Row],[RUN]],BBDD[],20,FALSE)</f>
        <v>Alimentación Tradicional</v>
      </c>
      <c r="N76" s="2" t="str">
        <f>VLOOKUP(T_Voluntarios[[#This Row],[RUN]],BBDD[],21,FALSE)</f>
        <v>Alergia a los productos del mar, excepto pescados</v>
      </c>
      <c r="O76" s="2" t="str">
        <f>VLOOKUP(T_Voluntarios[[#This Row],[RUN]],BBDD[],22,FALSE)</f>
        <v>Asma</v>
      </c>
      <c r="P76" s="2" t="str">
        <f>VLOOKUP(T_Voluntarios[[#This Row],[RUN]],BBDD[],23,FALSE)</f>
        <v>990521472</v>
      </c>
      <c r="Q76" s="2" t="str">
        <f>IF(VLOOKUP(T_Voluntarios[[#This Row],[RUN]],BBDD[],27,FALSE)=0,"",VLOOKUP(T_Voluntarios[[#This Row],[RUN]],BBDD[],27,FALSE))</f>
        <v/>
      </c>
      <c r="R76" s="2" t="str">
        <f>VLOOKUP(T_Voluntarios[[#This Row],[RUN]],BBDD[],36,FALSE)</f>
        <v>https://drive.google.com/open?id=14H1ZhokNpf8DEe5LYX8Ou5xQGaO0frWx</v>
      </c>
      <c r="S76" s="2" t="str">
        <f>VLOOKUP(T_Voluntarios[[#This Row],[RUN]],BBDD[],16,FALSE)</f>
        <v>Inicial</v>
      </c>
      <c r="T76" s="2" t="str">
        <f>VLOOKUP(T_Voluntarios[[#This Row],[RUN]],BBDD[],17,FALSE)</f>
        <v>Ninguno</v>
      </c>
      <c r="U76" s="2" t="str">
        <f>VLOOKUP(T_Voluntarios[[#This Row],[RUN]],BBDD[],18,FALSE)</f>
        <v>Ninguno</v>
      </c>
      <c r="V76" s="2" t="str">
        <f>VLOOKUP(T_Voluntarios[[#This Row],[RUN]],BBDD[],19,FALSE)</f>
        <v>Ninguno</v>
      </c>
      <c r="W76" s="13" t="str">
        <f>IF(OR(T_Voluntarios[[#This Row],[ROL]]="Formador(a)"),"SI","NO")</f>
        <v>NO</v>
      </c>
      <c r="X76" s="13" t="str">
        <f>IF(ISERROR(VLOOKUP(T_Voluntarios[[#This Row],[RUN]],BBDD_Formadores[],15,FALSE)),"NO",VLOOKUP(T_Voluntarios[[#This Row],[RUN]],BBDD_Formadores[],15,FALSE))</f>
        <v>NO</v>
      </c>
      <c r="Y76" s="13" t="str">
        <f>IF(ISERROR(VLOOKUP(T_Voluntarios[[#This Row],[RUN]],BBDD_Formadores[],16,FALSE)),"NO",VLOOKUP(T_Voluntarios[[#This Row],[RUN]],BBDD_Formadores[],16,FALSE))</f>
        <v>NO</v>
      </c>
      <c r="Z76" s="13" t="str">
        <f>IF(ISERROR(VLOOKUP(T_Voluntarios[[#This Row],[RUN]],BBDD_Formadores[],17,FALSE)),"NO",VLOOKUP(T_Voluntarios[[#This Row],[RUN]],BBDD_Formadores[],17,FALSE))</f>
        <v>NO</v>
      </c>
      <c r="AA76" s="13" t="str">
        <f>IF(ISERROR(VLOOKUP(T_Voluntarios[[#This Row],[RUN]],BBDD_Formadores[],18,FALSE)),"NO",VLOOKUP(T_Voluntarios[[#This Row],[RUN]],BBDD_Formadores[],18,FALSE))</f>
        <v>NO</v>
      </c>
      <c r="AB76" s="13">
        <v>1</v>
      </c>
      <c r="AC76" s="13" t="s">
        <v>1</v>
      </c>
      <c r="AD76" s="13" t="s">
        <v>77</v>
      </c>
      <c r="AF76" s="2" t="str">
        <f>IF(VLOOKUP(T_Voluntarios[[#This Row],[RUN]],BBDD[],25,FALSE)=0,"",VLOOKUP(T_Voluntarios[[#This Row],[RUN]],BBDD[],25,FALSE))</f>
        <v/>
      </c>
      <c r="AG76" s="2" t="str">
        <f>IF(VLOOKUP(T_Voluntarios[[#This Row],[RUN]],BBDD[],26,FALSE)=0,"",VLOOKUP(T_Voluntarios[[#This Row],[RUN]],BBDD[],26,FALSE))</f>
        <v/>
      </c>
      <c r="AH76" s="2" t="str">
        <f>IF(VLOOKUP(T_Voluntarios[[#This Row],[RUN]],BBDD[],24,FALSE)=0,"",VLOOKUP(T_Voluntarios[[#This Row],[RUN]],BBDD[],24,FALSE))</f>
        <v/>
      </c>
      <c r="AI76" s="13" t="str">
        <f>VLOOKUP(T_Voluntarios[[#This Row],[RUN]],BBDD[],28,FALSE)</f>
        <v>No</v>
      </c>
      <c r="AJ76" s="13" t="str">
        <f>VLOOKUP(T_Voluntarios[[#This Row],[RUN]],BBDD[],28,FALSE)</f>
        <v>No</v>
      </c>
      <c r="AK76" s="32">
        <f>IF(T_Voluntarios[[#This Row],[ROL]]="Participante",SUMIFS(T_Cuotas[[#All],[Total]],T_Cuotas[[#All],[RUN]],T_Voluntarios[[#This Row],[RUN]]),-1)</f>
        <v>50000</v>
      </c>
      <c r="AL76" s="13" t="s">
        <v>1</v>
      </c>
      <c r="AM76" s="13" t="s">
        <v>2029</v>
      </c>
      <c r="AP76" s="2" t="str">
        <f>MID(T_Voluntarios[[#This Row],[E_MAIL]],SEARCH("@",T_Voluntarios[[#This Row],[E_MAIL]],1),LEN(T_Voluntarios[[#This Row],[E_MAIL]]))</f>
        <v>@gmail.com</v>
      </c>
      <c r="AQ76" s="13" t="str">
        <f>VLOOKUP(T_Voluntarios[[#This Row],[RUN]],BBDD[],37,FALSE)</f>
        <v>22</v>
      </c>
      <c r="AR76" s="2" t="str">
        <f>VLOOKUP(T_Voluntarios[[#This Row],[RUN]],BBDD[],29,FALSE)</f>
        <v>Estudiante de Terapia Ocupacional</v>
      </c>
      <c r="AS76" s="2" t="str">
        <f>VLOOKUP(T_Voluntarios[[#This Row],[RUN]],BBDD[],30,FALSE)</f>
        <v>13 años</v>
      </c>
      <c r="AT76" s="2" t="str">
        <f>VLOOKUP(T_Voluntarios[[#This Row],[RUN]],BBDD[],31,FALSE)</f>
        <v>4 años</v>
      </c>
      <c r="AU76" s="2" t="str">
        <f>VLOOKUP(T_Voluntarios[[#This Row],[RUN]],BBDD[],32,FALSE)</f>
        <v>Soltero(a)</v>
      </c>
      <c r="AV76" s="2" t="str">
        <f>VLOOKUP(T_Voluntarios[[#This Row],[RUN]],BBDD[],33,FALSE)</f>
        <v>Católica</v>
      </c>
      <c r="AW76" s="2" t="str">
        <f>VLOOKUP(T_Voluntarios[[#This Row],[RUN]],BBDD[],34,FALSE)</f>
        <v>Jocee</v>
      </c>
      <c r="AX76" s="13" t="s">
        <v>733</v>
      </c>
      <c r="AY76" s="76">
        <f>VLOOKUP(T_Voluntarios[[#This Row],[RUN]],BBDD[],2,FALSE)</f>
        <v>45785.88137229938</v>
      </c>
      <c r="AZ76" s="13" t="s">
        <v>3403</v>
      </c>
    </row>
    <row r="77" spans="1:52" ht="14.4" x14ac:dyDescent="0.3">
      <c r="A77" t="s">
        <v>1531</v>
      </c>
      <c r="B77" s="2" t="str">
        <f>VLOOKUP(T_Voluntarios[[#This Row],[RUN]],BBDD[],3,FALSE)</f>
        <v>wprambs@gmail.com</v>
      </c>
      <c r="C77" s="2" t="str">
        <f>VLOOKUP(T_Voluntarios[[#This Row],[RUN]],BBDD[],4,FALSE)</f>
        <v>Waleska Elizabeth Prambs Levín</v>
      </c>
      <c r="D77" s="16">
        <f>VLOOKUP(T_Voluntarios[[#This Row],[RUN]],BBDD[],5,FALSE)</f>
        <v>30346</v>
      </c>
      <c r="E77" s="2" t="str">
        <f>VLOOKUP(T_Voluntarios[[#This Row],[RUN]],BBDD[],6,FALSE)</f>
        <v>Martinez de Rosas 137</v>
      </c>
      <c r="F77" s="2" t="str">
        <f>VLOOKUP(T_Voluntarios[[#This Row],[RUN]],BBDD[],7,FALSE)</f>
        <v>Purranque</v>
      </c>
      <c r="G77" s="2" t="str">
        <f>VLOOKUP(T_Voluntarios[[#This Row],[RUN]],BBDD[],8,FALSE)</f>
        <v>Celular</v>
      </c>
      <c r="H77" s="2" t="str">
        <f>IF(VLOOKUP(T_Voluntarios[[#This Row],[RUN]],BBDD[],9,FALSE)=0,"Falta",VLOOKUP(T_Voluntarios[[#This Row],[RUN]],BBDD[],9,FALSE))</f>
        <v>+56994861311</v>
      </c>
      <c r="I77" s="2" t="str">
        <f>VLOOKUP(T_Voluntarios[[#This Row],[RUN]],BBDD[],10,FALSE)</f>
        <v>Participante</v>
      </c>
      <c r="J77" s="2" t="str">
        <f>VLOOKUP(T_Voluntarios[[#This Row],[RUN]],BBDD[],11,FALSE)</f>
        <v>San Mateo</v>
      </c>
      <c r="K77" s="2" t="str">
        <f>VLOOKUP(T_Voluntarios[[#This Row],[RUN]],BBDD[],12,FALSE)</f>
        <v>Golondrinas</v>
      </c>
      <c r="L77" s="2" t="str">
        <f>VLOOKUP(T_Voluntarios[[#This Row],[RUN]],BBDD[],15,FALSE)</f>
        <v>Zona Los Lagos</v>
      </c>
      <c r="M77" s="2" t="str">
        <f>VLOOKUP(T_Voluntarios[[#This Row],[RUN]],BBDD[],20,FALSE)</f>
        <v>Alimentación Tradicional</v>
      </c>
      <c r="N77" s="2" t="str">
        <f>VLOOKUP(T_Voluntarios[[#This Row],[RUN]],BBDD[],21,FALSE)</f>
        <v>Ninguna</v>
      </c>
      <c r="O77" s="2" t="str">
        <f>VLOOKUP(T_Voluntarios[[#This Row],[RUN]],BBDD[],22,FALSE)</f>
        <v>Ninguna</v>
      </c>
      <c r="P77" s="2" t="str">
        <f>VLOOKUP(T_Voluntarios[[#This Row],[RUN]],BBDD[],23,FALSE)</f>
        <v>Magdalena Carrasco +56942184138</v>
      </c>
      <c r="Q77" s="2" t="str">
        <f>IF(VLOOKUP(T_Voluntarios[[#This Row],[RUN]],BBDD[],27,FALSE)=0,"",VLOOKUP(T_Voluntarios[[#This Row],[RUN]],BBDD[],27,FALSE))</f>
        <v>No</v>
      </c>
      <c r="R77" s="2" t="str">
        <f>VLOOKUP(T_Voluntarios[[#This Row],[RUN]],BBDD[],36,FALSE)</f>
        <v>https://drive.google.com/open?id=1PHmpNamQeRdMP63N3qo2uEEpcyMO4_6C</v>
      </c>
      <c r="S77" s="2" t="str">
        <f>VLOOKUP(T_Voluntarios[[#This Row],[RUN]],BBDD[],16,FALSE)</f>
        <v>Inicial</v>
      </c>
      <c r="T77" s="2" t="str">
        <f>VLOOKUP(T_Voluntarios[[#This Row],[RUN]],BBDD[],17,FALSE)</f>
        <v>Ninguno</v>
      </c>
      <c r="U77" s="2" t="str">
        <f>VLOOKUP(T_Voluntarios[[#This Row],[RUN]],BBDD[],18,FALSE)</f>
        <v>Golondrinas</v>
      </c>
      <c r="V77" s="2" t="str">
        <f>VLOOKUP(T_Voluntarios[[#This Row],[RUN]],BBDD[],19,FALSE)</f>
        <v>Ninguno</v>
      </c>
      <c r="W77" s="13" t="str">
        <f>IF(OR(T_Voluntarios[[#This Row],[ROL]]="Formador(a)"),"SI","NO")</f>
        <v>NO</v>
      </c>
      <c r="X77" s="13" t="str">
        <f>IF(ISERROR(VLOOKUP(T_Voluntarios[[#This Row],[RUN]],BBDD_Formadores[],15,FALSE)),"NO",VLOOKUP(T_Voluntarios[[#This Row],[RUN]],BBDD_Formadores[],15,FALSE))</f>
        <v>NO</v>
      </c>
      <c r="Y77" s="13" t="str">
        <f>IF(ISERROR(VLOOKUP(T_Voluntarios[[#This Row],[RUN]],BBDD_Formadores[],16,FALSE)),"NO",VLOOKUP(T_Voluntarios[[#This Row],[RUN]],BBDD_Formadores[],16,FALSE))</f>
        <v>NO</v>
      </c>
      <c r="Z77" s="13" t="str">
        <f>IF(ISERROR(VLOOKUP(T_Voluntarios[[#This Row],[RUN]],BBDD_Formadores[],17,FALSE)),"NO",VLOOKUP(T_Voluntarios[[#This Row],[RUN]],BBDD_Formadores[],17,FALSE))</f>
        <v>NO</v>
      </c>
      <c r="AA77" s="13" t="str">
        <f>IF(ISERROR(VLOOKUP(T_Voluntarios[[#This Row],[RUN]],BBDD_Formadores[],18,FALSE)),"NO",VLOOKUP(T_Voluntarios[[#This Row],[RUN]],BBDD_Formadores[],18,FALSE))</f>
        <v>NO</v>
      </c>
      <c r="AB77" s="13">
        <v>1</v>
      </c>
      <c r="AC77" s="13" t="s">
        <v>1597</v>
      </c>
      <c r="AD77" s="13" t="s">
        <v>78</v>
      </c>
      <c r="AF77" s="2" t="str">
        <f>IF(VLOOKUP(T_Voluntarios[[#This Row],[RUN]],BBDD[],25,FALSE)=0,"",VLOOKUP(T_Voluntarios[[#This Row],[RUN]],BBDD[],25,FALSE))</f>
        <v>Skoda</v>
      </c>
      <c r="AG77" s="2" t="str">
        <f>IF(VLOOKUP(T_Voluntarios[[#This Row],[RUN]],BBDD[],26,FALSE)=0,"",VLOOKUP(T_Voluntarios[[#This Row],[RUN]],BBDD[],26,FALSE))</f>
        <v>QODIAK</v>
      </c>
      <c r="AH77" s="2" t="str">
        <f>IF(VLOOKUP(T_Voluntarios[[#This Row],[RUN]],BBDD[],24,FALSE)=0,"",VLOOKUP(T_Voluntarios[[#This Row],[RUN]],BBDD[],24,FALSE))</f>
        <v>SXYH17</v>
      </c>
      <c r="AI77" s="13" t="str">
        <f>VLOOKUP(T_Voluntarios[[#This Row],[RUN]],BBDD[],28,FALSE)</f>
        <v>No</v>
      </c>
      <c r="AJ77" s="13" t="str">
        <f>VLOOKUP(T_Voluntarios[[#This Row],[RUN]],BBDD[],28,FALSE)</f>
        <v>No</v>
      </c>
      <c r="AK77" s="32">
        <f>IF(T_Voluntarios[[#This Row],[ROL]]="Participante",SUMIFS(T_Cuotas[[#All],[Total]],T_Cuotas[[#All],[RUN]],T_Voluntarios[[#This Row],[RUN]]),-1)</f>
        <v>0</v>
      </c>
      <c r="AL77" s="13" t="s">
        <v>78</v>
      </c>
      <c r="AM77" s="13" t="s">
        <v>733</v>
      </c>
      <c r="AP77" s="2" t="str">
        <f>MID(T_Voluntarios[[#This Row],[E_MAIL]],SEARCH("@",T_Voluntarios[[#This Row],[E_MAIL]],1),LEN(T_Voluntarios[[#This Row],[E_MAIL]]))</f>
        <v>@gmail.com</v>
      </c>
      <c r="AQ77" s="13" t="str">
        <f>VLOOKUP(T_Voluntarios[[#This Row],[RUN]],BBDD[],37,FALSE)</f>
        <v>42</v>
      </c>
      <c r="AR77" s="2" t="str">
        <f>VLOOKUP(T_Voluntarios[[#This Row],[RUN]],BBDD[],29,FALSE)</f>
        <v>Ingeniero Civil en Informática</v>
      </c>
      <c r="AS77" s="2" t="str">
        <f>VLOOKUP(T_Voluntarios[[#This Row],[RUN]],BBDD[],30,FALSE)</f>
        <v>3 años</v>
      </c>
      <c r="AT77" s="2" t="str">
        <f>VLOOKUP(T_Voluntarios[[#This Row],[RUN]],BBDD[],31,FALSE)</f>
        <v>No</v>
      </c>
      <c r="AU77" s="2" t="str">
        <f>VLOOKUP(T_Voluntarios[[#This Row],[RUN]],BBDD[],32,FALSE)</f>
        <v>Casado(a)</v>
      </c>
      <c r="AV77" s="2" t="str">
        <f>VLOOKUP(T_Voluntarios[[#This Row],[RUN]],BBDD[],33,FALSE)</f>
        <v>Católica</v>
      </c>
      <c r="AW77" s="2" t="str">
        <f>VLOOKUP(T_Voluntarios[[#This Row],[RUN]],BBDD[],34,FALSE)</f>
        <v>Waleska</v>
      </c>
      <c r="AX77" s="13" t="s">
        <v>733</v>
      </c>
      <c r="AY77" s="76">
        <f>VLOOKUP(T_Voluntarios[[#This Row],[RUN]],BBDD[],2,FALSE)</f>
        <v>45786.410861033954</v>
      </c>
      <c r="AZ77" s="13" t="s">
        <v>2</v>
      </c>
    </row>
    <row r="78" spans="1:52" ht="14.4" x14ac:dyDescent="0.3">
      <c r="A78" t="s">
        <v>1542</v>
      </c>
      <c r="B78" s="2" t="str">
        <f>VLOOKUP(T_Voluntarios[[#This Row],[RUN]],BBDD[],3,FALSE)</f>
        <v>stephany.concha@virginiogomez.cl</v>
      </c>
      <c r="C78" s="2" t="str">
        <f>VLOOKUP(T_Voluntarios[[#This Row],[RUN]],BBDD[],4,FALSE)</f>
        <v>Stephany Alejandra Concha Zapata</v>
      </c>
      <c r="D78" s="16">
        <f>VLOOKUP(T_Voluntarios[[#This Row],[RUN]],BBDD[],5,FALSE)</f>
        <v>32059</v>
      </c>
      <c r="E78" s="2" t="str">
        <f>VLOOKUP(T_Voluntarios[[#This Row],[RUN]],BBDD[],6,FALSE)</f>
        <v>Pasaje tres, 865 salinas talcahuano</v>
      </c>
      <c r="F78" s="2" t="str">
        <f>VLOOKUP(T_Voluntarios[[#This Row],[RUN]],BBDD[],7,FALSE)</f>
        <v>Talcahuano</v>
      </c>
      <c r="G78" s="2" t="str">
        <f>VLOOKUP(T_Voluntarios[[#This Row],[RUN]],BBDD[],8,FALSE)</f>
        <v>Celular</v>
      </c>
      <c r="H78" s="2" t="str">
        <f>IF(VLOOKUP(T_Voluntarios[[#This Row],[RUN]],BBDD[],9,FALSE)=0,"Falta",VLOOKUP(T_Voluntarios[[#This Row],[RUN]],BBDD[],9,FALSE))</f>
        <v>+56947608082</v>
      </c>
      <c r="I78" s="2" t="str">
        <f>VLOOKUP(T_Voluntarios[[#This Row],[RUN]],BBDD[],10,FALSE)</f>
        <v>Participante</v>
      </c>
      <c r="J78" s="2" t="str">
        <f>VLOOKUP(T_Voluntarios[[#This Row],[RUN]],BBDD[],11,FALSE)</f>
        <v>Espíritu Santo</v>
      </c>
      <c r="K78" s="2" t="str">
        <f>VLOOKUP(T_Voluntarios[[#This Row],[RUN]],BBDD[],12,FALSE)</f>
        <v>Guias</v>
      </c>
      <c r="L78" s="2" t="str">
        <f>VLOOKUP(T_Voluntarios[[#This Row],[RUN]],BBDD[],15,FALSE)</f>
        <v>Talcahuano - Hualpén</v>
      </c>
      <c r="M78" s="2" t="str">
        <f>VLOOKUP(T_Voluntarios[[#This Row],[RUN]],BBDD[],20,FALSE)</f>
        <v>Sin Almuerzo</v>
      </c>
      <c r="N78" s="2" t="str">
        <f>VLOOKUP(T_Voluntarios[[#This Row],[RUN]],BBDD[],21,FALSE)</f>
        <v>Ninguna</v>
      </c>
      <c r="O78" s="2" t="str">
        <f>VLOOKUP(T_Voluntarios[[#This Row],[RUN]],BBDD[],22,FALSE)</f>
        <v>Ninguna</v>
      </c>
      <c r="P78" s="2" t="str">
        <f>VLOOKUP(T_Voluntarios[[#This Row],[RUN]],BBDD[],23,FALSE)</f>
        <v>Pablo Marín +56926339785</v>
      </c>
      <c r="Q78" s="2" t="str">
        <f>IF(VLOOKUP(T_Voluntarios[[#This Row],[RUN]],BBDD[],27,FALSE)=0,"",VLOOKUP(T_Voluntarios[[#This Row],[RUN]],BBDD[],27,FALSE))</f>
        <v/>
      </c>
      <c r="R78" s="2" t="str">
        <f>VLOOKUP(T_Voluntarios[[#This Row],[RUN]],BBDD[],36,FALSE)</f>
        <v>https://drive.google.com/open?id=18hh0XoJq1pTMFkOP_3sogBchbwCgWNsZ</v>
      </c>
      <c r="S78" s="2" t="str">
        <f>VLOOKUP(T_Voluntarios[[#This Row],[RUN]],BBDD[],16,FALSE)</f>
        <v>Inicial</v>
      </c>
      <c r="T78" s="2" t="str">
        <f>VLOOKUP(T_Voluntarios[[#This Row],[RUN]],BBDD[],17,FALSE)</f>
        <v>Ninguno</v>
      </c>
      <c r="U78" s="2" t="str">
        <f>VLOOKUP(T_Voluntarios[[#This Row],[RUN]],BBDD[],18,FALSE)</f>
        <v>Ninguno</v>
      </c>
      <c r="V78" s="2" t="str">
        <f>VLOOKUP(T_Voluntarios[[#This Row],[RUN]],BBDD[],19,FALSE)</f>
        <v>Ninguno</v>
      </c>
      <c r="W78" s="13" t="str">
        <f>IF(OR(T_Voluntarios[[#This Row],[ROL]]="Formador(a)"),"SI","NO")</f>
        <v>NO</v>
      </c>
      <c r="X78" s="13" t="str">
        <f>IF(ISERROR(VLOOKUP(T_Voluntarios[[#This Row],[RUN]],BBDD_Formadores[],15,FALSE)),"NO",VLOOKUP(T_Voluntarios[[#This Row],[RUN]],BBDD_Formadores[],15,FALSE))</f>
        <v>NO</v>
      </c>
      <c r="Y78" s="13" t="str">
        <f>IF(ISERROR(VLOOKUP(T_Voluntarios[[#This Row],[RUN]],BBDD_Formadores[],16,FALSE)),"NO",VLOOKUP(T_Voluntarios[[#This Row],[RUN]],BBDD_Formadores[],16,FALSE))</f>
        <v>NO</v>
      </c>
      <c r="Z78" s="13" t="str">
        <f>IF(ISERROR(VLOOKUP(T_Voluntarios[[#This Row],[RUN]],BBDD_Formadores[],17,FALSE)),"NO",VLOOKUP(T_Voluntarios[[#This Row],[RUN]],BBDD_Formadores[],17,FALSE))</f>
        <v>NO</v>
      </c>
      <c r="AA78" s="13" t="str">
        <f>IF(ISERROR(VLOOKUP(T_Voluntarios[[#This Row],[RUN]],BBDD_Formadores[],18,FALSE)),"NO",VLOOKUP(T_Voluntarios[[#This Row],[RUN]],BBDD_Formadores[],18,FALSE))</f>
        <v>NO</v>
      </c>
      <c r="AB78" s="13">
        <v>1</v>
      </c>
      <c r="AC78" s="13" t="s">
        <v>1</v>
      </c>
      <c r="AD78" s="13" t="s">
        <v>77</v>
      </c>
      <c r="AF78" s="2" t="str">
        <f>IF(VLOOKUP(T_Voluntarios[[#This Row],[RUN]],BBDD[],25,FALSE)=0,"",VLOOKUP(T_Voluntarios[[#This Row],[RUN]],BBDD[],25,FALSE))</f>
        <v/>
      </c>
      <c r="AG78" s="2" t="str">
        <f>IF(VLOOKUP(T_Voluntarios[[#This Row],[RUN]],BBDD[],26,FALSE)=0,"",VLOOKUP(T_Voluntarios[[#This Row],[RUN]],BBDD[],26,FALSE))</f>
        <v/>
      </c>
      <c r="AH78" s="2" t="str">
        <f>IF(VLOOKUP(T_Voluntarios[[#This Row],[RUN]],BBDD[],24,FALSE)=0,"",VLOOKUP(T_Voluntarios[[#This Row],[RUN]],BBDD[],24,FALSE))</f>
        <v/>
      </c>
      <c r="AI78" s="13" t="str">
        <f>VLOOKUP(T_Voluntarios[[#This Row],[RUN]],BBDD[],28,FALSE)</f>
        <v>No</v>
      </c>
      <c r="AJ78" s="13" t="str">
        <f>VLOOKUP(T_Voluntarios[[#This Row],[RUN]],BBDD[],28,FALSE)</f>
        <v>No</v>
      </c>
      <c r="AK78" s="32">
        <f>IF(T_Voluntarios[[#This Row],[ROL]]="Participante",SUMIFS(T_Cuotas[[#All],[Total]],T_Cuotas[[#All],[RUN]],T_Voluntarios[[#This Row],[RUN]]),-1)</f>
        <v>36500</v>
      </c>
      <c r="AL78" s="13" t="s">
        <v>1</v>
      </c>
      <c r="AM78" s="13" t="s">
        <v>2029</v>
      </c>
      <c r="AP78" s="2" t="str">
        <f>MID(T_Voluntarios[[#This Row],[E_MAIL]],SEARCH("@",T_Voluntarios[[#This Row],[E_MAIL]],1),LEN(T_Voluntarios[[#This Row],[E_MAIL]]))</f>
        <v>@virginiogomez.cl</v>
      </c>
      <c r="AQ78" s="13" t="str">
        <f>VLOOKUP(T_Voluntarios[[#This Row],[RUN]],BBDD[],37,FALSE)</f>
        <v>37</v>
      </c>
      <c r="AR78" s="2" t="str">
        <f>VLOOKUP(T_Voluntarios[[#This Row],[RUN]],BBDD[],29,FALSE)</f>
        <v>Prevencionista de riesgos</v>
      </c>
      <c r="AS78" s="2" t="str">
        <f>VLOOKUP(T_Voluntarios[[#This Row],[RUN]],BBDD[],30,FALSE)</f>
        <v>4</v>
      </c>
      <c r="AT78" s="2" t="str">
        <f>VLOOKUP(T_Voluntarios[[#This Row],[RUN]],BBDD[],31,FALSE)</f>
        <v>2</v>
      </c>
      <c r="AU78" s="2" t="str">
        <f>VLOOKUP(T_Voluntarios[[#This Row],[RUN]],BBDD[],32,FALSE)</f>
        <v>Soltero(a)</v>
      </c>
      <c r="AV78" s="2" t="str">
        <f>VLOOKUP(T_Voluntarios[[#This Row],[RUN]],BBDD[],33,FALSE)</f>
        <v>Católica</v>
      </c>
      <c r="AW78" s="2" t="str">
        <f>VLOOKUP(T_Voluntarios[[#This Row],[RUN]],BBDD[],34,FALSE)</f>
        <v>Stefy</v>
      </c>
      <c r="AX78" s="13" t="s">
        <v>733</v>
      </c>
      <c r="AY78" s="76">
        <f>VLOOKUP(T_Voluntarios[[#This Row],[RUN]],BBDD[],2,FALSE)</f>
        <v>45786.634864544751</v>
      </c>
      <c r="AZ78" s="13" t="s">
        <v>3403</v>
      </c>
    </row>
    <row r="79" spans="1:52" x14ac:dyDescent="0.3">
      <c r="A79" s="2" t="s">
        <v>1628</v>
      </c>
      <c r="B79" s="2" t="str">
        <f>VLOOKUP(T_Voluntarios[[#This Row],[RUN]],BBDD[],3,FALSE)</f>
        <v>pablo.marin.05@gmail.com</v>
      </c>
      <c r="C79" s="2" t="str">
        <f>VLOOKUP(T_Voluntarios[[#This Row],[RUN]],BBDD[],4,FALSE)</f>
        <v>Pablo Andres Marin Mansilla</v>
      </c>
      <c r="D79" s="16">
        <f>VLOOKUP(T_Voluntarios[[#This Row],[RUN]],BBDD[],5,FALSE)</f>
        <v>31412</v>
      </c>
      <c r="E79" s="2" t="str">
        <f>VLOOKUP(T_Voluntarios[[#This Row],[RUN]],BBDD[],6,FALSE)</f>
        <v>calle biobio, pasaje 2 casa 1625</v>
      </c>
      <c r="F79" s="2" t="str">
        <f>VLOOKUP(T_Voluntarios[[#This Row],[RUN]],BBDD[],7,FALSE)</f>
        <v>Chiguayante</v>
      </c>
      <c r="G79" s="2" t="str">
        <f>VLOOKUP(T_Voluntarios[[#This Row],[RUN]],BBDD[],8,FALSE)</f>
        <v>Celular</v>
      </c>
      <c r="H79" s="2" t="str">
        <f>IF(VLOOKUP(T_Voluntarios[[#This Row],[RUN]],BBDD[],9,FALSE)=0,"Falta",VLOOKUP(T_Voluntarios[[#This Row],[RUN]],BBDD[],9,FALSE))</f>
        <v>+56926339785</v>
      </c>
      <c r="I79" s="2" t="str">
        <f>VLOOKUP(T_Voluntarios[[#This Row],[RUN]],BBDD[],10,FALSE)</f>
        <v>Participante</v>
      </c>
      <c r="J79" s="2" t="str">
        <f>VLOOKUP(T_Voluntarios[[#This Row],[RUN]],BBDD[],11,FALSE)</f>
        <v>Espíritu Santo</v>
      </c>
      <c r="K79" s="2" t="str">
        <f>VLOOKUP(T_Voluntarios[[#This Row],[RUN]],BBDD[],12,FALSE)</f>
        <v>Scouts</v>
      </c>
      <c r="L79" s="2" t="str">
        <f>VLOOKUP(T_Voluntarios[[#This Row],[RUN]],BBDD[],15,FALSE)</f>
        <v>Talcahuano - Hualpén</v>
      </c>
      <c r="M79" s="2" t="str">
        <f>VLOOKUP(T_Voluntarios[[#This Row],[RUN]],BBDD[],20,FALSE)</f>
        <v>Alimentación Tradicional</v>
      </c>
      <c r="N79" s="2" t="str">
        <f>VLOOKUP(T_Voluntarios[[#This Row],[RUN]],BBDD[],21,FALSE)</f>
        <v>Ninguna</v>
      </c>
      <c r="O79" s="2" t="str">
        <f>VLOOKUP(T_Voluntarios[[#This Row],[RUN]],BBDD[],22,FALSE)</f>
        <v>Ninguna</v>
      </c>
      <c r="P79" s="2" t="str">
        <f>VLOOKUP(T_Voluntarios[[#This Row],[RUN]],BBDD[],23,FALSE)</f>
        <v>victor Marin 978792562</v>
      </c>
      <c r="Q79" s="2" t="str">
        <f>IF(VLOOKUP(T_Voluntarios[[#This Row],[RUN]],BBDD[],27,FALSE)=0,"",VLOOKUP(T_Voluntarios[[#This Row],[RUN]],BBDD[],27,FALSE))</f>
        <v/>
      </c>
      <c r="R79" s="2" t="str">
        <f>VLOOKUP(T_Voluntarios[[#This Row],[RUN]],BBDD[],36,FALSE)</f>
        <v>https://drive.google.com/open?id=18yZhnbb7GAo6sQc-oa9L28tByIe4w4Pz</v>
      </c>
      <c r="S79" s="2" t="str">
        <f>VLOOKUP(T_Voluntarios[[#This Row],[RUN]],BBDD[],16,FALSE)</f>
        <v>Ninguno</v>
      </c>
      <c r="T79" s="2" t="str">
        <f>VLOOKUP(T_Voluntarios[[#This Row],[RUN]],BBDD[],17,FALSE)</f>
        <v>Ninguno</v>
      </c>
      <c r="U79" s="2" t="str">
        <f>VLOOKUP(T_Voluntarios[[#This Row],[RUN]],BBDD[],18,FALSE)</f>
        <v>Ninguno</v>
      </c>
      <c r="V79" s="2" t="str">
        <f>VLOOKUP(T_Voluntarios[[#This Row],[RUN]],BBDD[],19,FALSE)</f>
        <v>Ninguno</v>
      </c>
      <c r="W79" s="13" t="str">
        <f>IF(OR(T_Voluntarios[[#This Row],[ROL]]="Formador(a)"),"SI","NO")</f>
        <v>NO</v>
      </c>
      <c r="X79" s="13" t="str">
        <f>IF(ISERROR(VLOOKUP(T_Voluntarios[[#This Row],[RUN]],BBDD_Formadores[],15,FALSE)),"NO",VLOOKUP(T_Voluntarios[[#This Row],[RUN]],BBDD_Formadores[],15,FALSE))</f>
        <v>NO</v>
      </c>
      <c r="Y79" s="13" t="str">
        <f>IF(ISERROR(VLOOKUP(T_Voluntarios[[#This Row],[RUN]],BBDD_Formadores[],16,FALSE)),"NO",VLOOKUP(T_Voluntarios[[#This Row],[RUN]],BBDD_Formadores[],16,FALSE))</f>
        <v>NO</v>
      </c>
      <c r="Z79" s="13" t="str">
        <f>IF(ISERROR(VLOOKUP(T_Voluntarios[[#This Row],[RUN]],BBDD_Formadores[],17,FALSE)),"NO",VLOOKUP(T_Voluntarios[[#This Row],[RUN]],BBDD_Formadores[],17,FALSE))</f>
        <v>NO</v>
      </c>
      <c r="AA79" s="13" t="str">
        <f>IF(ISERROR(VLOOKUP(T_Voluntarios[[#This Row],[RUN]],BBDD_Formadores[],18,FALSE)),"NO",VLOOKUP(T_Voluntarios[[#This Row],[RUN]],BBDD_Formadores[],18,FALSE))</f>
        <v>NO</v>
      </c>
      <c r="AB79" s="13">
        <v>1</v>
      </c>
      <c r="AC79" s="13" t="s">
        <v>1</v>
      </c>
      <c r="AD79" s="13" t="s">
        <v>77</v>
      </c>
      <c r="AF79" s="2" t="str">
        <f>IF(VLOOKUP(T_Voluntarios[[#This Row],[RUN]],BBDD[],25,FALSE)=0,"",VLOOKUP(T_Voluntarios[[#This Row],[RUN]],BBDD[],25,FALSE))</f>
        <v>changan</v>
      </c>
      <c r="AG79" s="2" t="str">
        <f>IF(VLOOKUP(T_Voluntarios[[#This Row],[RUN]],BBDD[],26,FALSE)=0,"",VLOOKUP(T_Voluntarios[[#This Row],[RUN]],BBDD[],26,FALSE))</f>
        <v>cx70</v>
      </c>
      <c r="AH79" s="2" t="str">
        <f>IF(VLOOKUP(T_Voluntarios[[#This Row],[RUN]],BBDD[],24,FALSE)=0,"",VLOOKUP(T_Voluntarios[[#This Row],[RUN]],BBDD[],24,FALSE))</f>
        <v>lkxd-13</v>
      </c>
      <c r="AI79" s="13" t="str">
        <f>VLOOKUP(T_Voluntarios[[#This Row],[RUN]],BBDD[],28,FALSE)</f>
        <v>No</v>
      </c>
      <c r="AJ79" s="13" t="str">
        <f>VLOOKUP(T_Voluntarios[[#This Row],[RUN]],BBDD[],28,FALSE)</f>
        <v>No</v>
      </c>
      <c r="AK79" s="32">
        <f>IF(T_Voluntarios[[#This Row],[ROL]]="Participante",SUMIFS(T_Cuotas[[#All],[Total]],T_Cuotas[[#All],[RUN]],T_Voluntarios[[#This Row],[RUN]]),-1)</f>
        <v>50000</v>
      </c>
      <c r="AL79" s="13" t="s">
        <v>1</v>
      </c>
      <c r="AM79" s="13" t="s">
        <v>2029</v>
      </c>
      <c r="AP79" s="2" t="str">
        <f>MID(T_Voluntarios[[#This Row],[E_MAIL]],SEARCH("@",T_Voluntarios[[#This Row],[E_MAIL]],1),LEN(T_Voluntarios[[#This Row],[E_MAIL]]))</f>
        <v>@gmail.com</v>
      </c>
      <c r="AQ79" s="13" t="str">
        <f>VLOOKUP(T_Voluntarios[[#This Row],[RUN]],BBDD[],37,FALSE)</f>
        <v>39</v>
      </c>
      <c r="AR79" s="2" t="str">
        <f>VLOOKUP(T_Voluntarios[[#This Row],[RUN]],BBDD[],29,FALSE)</f>
        <v>ninguna</v>
      </c>
      <c r="AS79" s="2" t="str">
        <f>VLOOKUP(T_Voluntarios[[#This Row],[RUN]],BBDD[],30,FALSE)</f>
        <v>no lo fui</v>
      </c>
      <c r="AT79" s="2" t="str">
        <f>VLOOKUP(T_Voluntarios[[#This Row],[RUN]],BBDD[],31,FALSE)</f>
        <v>1 año</v>
      </c>
      <c r="AU79" s="2" t="str">
        <f>VLOOKUP(T_Voluntarios[[#This Row],[RUN]],BBDD[],32,FALSE)</f>
        <v>Soltero(a)</v>
      </c>
      <c r="AV79" s="2" t="str">
        <f>VLOOKUP(T_Voluntarios[[#This Row],[RUN]],BBDD[],33,FALSE)</f>
        <v>Catolica</v>
      </c>
      <c r="AW79" s="2" t="str">
        <f>VLOOKUP(T_Voluntarios[[#This Row],[RUN]],BBDD[],34,FALSE)</f>
        <v>Pablo</v>
      </c>
      <c r="AX79" s="13" t="s">
        <v>733</v>
      </c>
      <c r="AY79" s="76">
        <f>VLOOKUP(T_Voluntarios[[#This Row],[RUN]],BBDD[],2,FALSE)</f>
        <v>45786.850502584879</v>
      </c>
      <c r="AZ79" s="13" t="s">
        <v>3402</v>
      </c>
    </row>
    <row r="80" spans="1:52" x14ac:dyDescent="0.3">
      <c r="A80" s="2" t="s">
        <v>1602</v>
      </c>
      <c r="B80" s="2" t="str">
        <f>VLOOKUP(T_Voluntarios[[#This Row],[RUN]],BBDD[],3,FALSE)</f>
        <v>thiareazapata@gmail.com</v>
      </c>
      <c r="C80" s="2" t="str">
        <f>VLOOKUP(T_Voluntarios[[#This Row],[RUN]],BBDD[],4,FALSE)</f>
        <v>Thiare Aylin Aguilera Zapata</v>
      </c>
      <c r="D80" s="16">
        <f>VLOOKUP(T_Voluntarios[[#This Row],[RUN]],BBDD[],5,FALSE)</f>
        <v>35728</v>
      </c>
      <c r="E80" s="2" t="str">
        <f>VLOOKUP(T_Voluntarios[[#This Row],[RUN]],BBDD[],6,FALSE)</f>
        <v>av octavio jara wolff 2080 casa 44</v>
      </c>
      <c r="F80" s="2" t="str">
        <f>VLOOKUP(T_Voluntarios[[#This Row],[RUN]],BBDD[],7,FALSE)</f>
        <v>Los Ángeles</v>
      </c>
      <c r="G80" s="2" t="str">
        <f>VLOOKUP(T_Voluntarios[[#This Row],[RUN]],BBDD[],8,FALSE)</f>
        <v>Celular</v>
      </c>
      <c r="H80" s="2" t="str">
        <f>IF(VLOOKUP(T_Voluntarios[[#This Row],[RUN]],BBDD[],9,FALSE)=0,"Falta",VLOOKUP(T_Voluntarios[[#This Row],[RUN]],BBDD[],9,FALSE))</f>
        <v>+56968146979</v>
      </c>
      <c r="I80" s="2" t="str">
        <f>VLOOKUP(T_Voluntarios[[#This Row],[RUN]],BBDD[],10,FALSE)</f>
        <v>Participante</v>
      </c>
      <c r="J80" s="2" t="str">
        <f>VLOOKUP(T_Voluntarios[[#This Row],[RUN]],BBDD[],11,FALSE)</f>
        <v>Mahuidanche</v>
      </c>
      <c r="K80" s="2" t="str">
        <f>VLOOKUP(T_Voluntarios[[#This Row],[RUN]],BBDD[],12,FALSE)</f>
        <v>Caminantes</v>
      </c>
      <c r="L80" s="2" t="str">
        <f>VLOOKUP(T_Voluntarios[[#This Row],[RUN]],BBDD[],15,FALSE)</f>
        <v>Biobío</v>
      </c>
      <c r="M80" s="2" t="str">
        <f>VLOOKUP(T_Voluntarios[[#This Row],[RUN]],BBDD[],20,FALSE)</f>
        <v>Alimentación Vegetariana</v>
      </c>
      <c r="N80" s="2" t="str">
        <f>VLOOKUP(T_Voluntarios[[#This Row],[RUN]],BBDD[],21,FALSE)</f>
        <v>Ninguna</v>
      </c>
      <c r="O80" s="2" t="str">
        <f>VLOOKUP(T_Voluntarios[[#This Row],[RUN]],BBDD[],22,FALSE)</f>
        <v>Ninguna</v>
      </c>
      <c r="P80" s="2" t="str">
        <f>VLOOKUP(T_Voluntarios[[#This Row],[RUN]],BBDD[],23,FALSE)</f>
        <v>989071365 (Eugenia zapata)</v>
      </c>
      <c r="Q80" s="2" t="str">
        <f>IF(VLOOKUP(T_Voluntarios[[#This Row],[RUN]],BBDD[],27,FALSE)=0,"",VLOOKUP(T_Voluntarios[[#This Row],[RUN]],BBDD[],27,FALSE))</f>
        <v/>
      </c>
      <c r="R80" s="2" t="str">
        <f>VLOOKUP(T_Voluntarios[[#This Row],[RUN]],BBDD[],36,FALSE)</f>
        <v>https://drive.google.com/open?id=1_2qswd7ztXBBKxMoQm1riGMbRwLnfbMA</v>
      </c>
      <c r="S80" s="2" t="str">
        <f>VLOOKUP(T_Voluntarios[[#This Row],[RUN]],BBDD[],16,FALSE)</f>
        <v>Inicial</v>
      </c>
      <c r="T80" s="2" t="str">
        <f>VLOOKUP(T_Voluntarios[[#This Row],[RUN]],BBDD[],17,FALSE)</f>
        <v>Ninguno</v>
      </c>
      <c r="U80" s="2" t="str">
        <f>VLOOKUP(T_Voluntarios[[#This Row],[RUN]],BBDD[],18,FALSE)</f>
        <v>Ninguno</v>
      </c>
      <c r="V80" s="2" t="str">
        <f>VLOOKUP(T_Voluntarios[[#This Row],[RUN]],BBDD[],19,FALSE)</f>
        <v>Ninguno</v>
      </c>
      <c r="W80" s="13" t="str">
        <f>IF(OR(T_Voluntarios[[#This Row],[ROL]]="Formador(a)"),"SI","NO")</f>
        <v>NO</v>
      </c>
      <c r="X80" s="13" t="str">
        <f>IF(ISERROR(VLOOKUP(T_Voluntarios[[#This Row],[RUN]],BBDD_Formadores[],15,FALSE)),"NO",VLOOKUP(T_Voluntarios[[#This Row],[RUN]],BBDD_Formadores[],15,FALSE))</f>
        <v>NO</v>
      </c>
      <c r="Y80" s="13" t="str">
        <f>IF(ISERROR(VLOOKUP(T_Voluntarios[[#This Row],[RUN]],BBDD_Formadores[],16,FALSE)),"NO",VLOOKUP(T_Voluntarios[[#This Row],[RUN]],BBDD_Formadores[],16,FALSE))</f>
        <v>NO</v>
      </c>
      <c r="Z80" s="13" t="str">
        <f>IF(ISERROR(VLOOKUP(T_Voluntarios[[#This Row],[RUN]],BBDD_Formadores[],17,FALSE)),"NO",VLOOKUP(T_Voluntarios[[#This Row],[RUN]],BBDD_Formadores[],17,FALSE))</f>
        <v>NO</v>
      </c>
      <c r="AA80" s="13" t="str">
        <f>IF(ISERROR(VLOOKUP(T_Voluntarios[[#This Row],[RUN]],BBDD_Formadores[],18,FALSE)),"NO",VLOOKUP(T_Voluntarios[[#This Row],[RUN]],BBDD_Formadores[],18,FALSE))</f>
        <v>NO</v>
      </c>
      <c r="AB80" s="13">
        <v>1</v>
      </c>
      <c r="AC80" s="13" t="s">
        <v>1</v>
      </c>
      <c r="AD80" s="13" t="s">
        <v>77</v>
      </c>
      <c r="AF80" s="2" t="str">
        <f>IF(VLOOKUP(T_Voluntarios[[#This Row],[RUN]],BBDD[],25,FALSE)=0,"",VLOOKUP(T_Voluntarios[[#This Row],[RUN]],BBDD[],25,FALSE))</f>
        <v/>
      </c>
      <c r="AG80" s="2" t="str">
        <f>IF(VLOOKUP(T_Voluntarios[[#This Row],[RUN]],BBDD[],26,FALSE)=0,"",VLOOKUP(T_Voluntarios[[#This Row],[RUN]],BBDD[],26,FALSE))</f>
        <v/>
      </c>
      <c r="AH80" s="2" t="str">
        <f>IF(VLOOKUP(T_Voluntarios[[#This Row],[RUN]],BBDD[],24,FALSE)=0,"",VLOOKUP(T_Voluntarios[[#This Row],[RUN]],BBDD[],24,FALSE))</f>
        <v/>
      </c>
      <c r="AI80" s="13" t="str">
        <f>VLOOKUP(T_Voluntarios[[#This Row],[RUN]],BBDD[],28,FALSE)</f>
        <v>SI</v>
      </c>
      <c r="AJ80" s="13" t="str">
        <f>VLOOKUP(T_Voluntarios[[#This Row],[RUN]],BBDD[],28,FALSE)</f>
        <v>SI</v>
      </c>
      <c r="AK80" s="32">
        <f>IF(T_Voluntarios[[#This Row],[ROL]]="Participante",SUMIFS(T_Cuotas[[#All],[Total]],T_Cuotas[[#All],[RUN]],T_Voluntarios[[#This Row],[RUN]]),-1)</f>
        <v>50000</v>
      </c>
      <c r="AL80" s="13" t="s">
        <v>1</v>
      </c>
      <c r="AM80" s="13" t="s">
        <v>733</v>
      </c>
      <c r="AP80" s="2" t="str">
        <f>MID(T_Voluntarios[[#This Row],[E_MAIL]],SEARCH("@",T_Voluntarios[[#This Row],[E_MAIL]],1),LEN(T_Voluntarios[[#This Row],[E_MAIL]]))</f>
        <v>@gmail.com</v>
      </c>
      <c r="AQ80" s="13" t="str">
        <f>VLOOKUP(T_Voluntarios[[#This Row],[RUN]],BBDD[],37,FALSE)</f>
        <v>27</v>
      </c>
      <c r="AR80" s="2" t="str">
        <f>VLOOKUP(T_Voluntarios[[#This Row],[RUN]],BBDD[],29,FALSE)</f>
        <v>Ing en biotecnologia vegetal</v>
      </c>
      <c r="AS80" s="2" t="str">
        <f>VLOOKUP(T_Voluntarios[[#This Row],[RUN]],BBDD[],30,FALSE)</f>
        <v>8 años</v>
      </c>
      <c r="AT80" s="2" t="str">
        <f>VLOOKUP(T_Voluntarios[[#This Row],[RUN]],BBDD[],31,FALSE)</f>
        <v>No</v>
      </c>
      <c r="AU80" s="2" t="str">
        <f>VLOOKUP(T_Voluntarios[[#This Row],[RUN]],BBDD[],32,FALSE)</f>
        <v>Soltero(a)</v>
      </c>
      <c r="AV80" s="2" t="str">
        <f>VLOOKUP(T_Voluntarios[[#This Row],[RUN]],BBDD[],33,FALSE)</f>
        <v>Ninguna</v>
      </c>
      <c r="AW80" s="2" t="str">
        <f>VLOOKUP(T_Voluntarios[[#This Row],[RUN]],BBDD[],34,FALSE)</f>
        <v>Thiare</v>
      </c>
      <c r="AX80" s="13" t="s">
        <v>733</v>
      </c>
      <c r="AY80" s="76">
        <f>VLOOKUP(T_Voluntarios[[#This Row],[RUN]],BBDD[],2,FALSE)</f>
        <v>45786.858616898149</v>
      </c>
      <c r="AZ80" s="13" t="s">
        <v>3403</v>
      </c>
    </row>
    <row r="81" spans="1:52" x14ac:dyDescent="0.3">
      <c r="A81" s="2" t="s">
        <v>1611</v>
      </c>
      <c r="B81" s="2" t="str">
        <f>VLOOKUP(T_Voluntarios[[#This Row],[RUN]],BBDD[],3,FALSE)</f>
        <v>ralarconn3@gmail.com</v>
      </c>
      <c r="C81" s="2" t="str">
        <f>VLOOKUP(T_Voluntarios[[#This Row],[RUN]],BBDD[],4,FALSE)</f>
        <v>Renata Valentina Alarcón Muñoz</v>
      </c>
      <c r="D81" s="16">
        <f>VLOOKUP(T_Voluntarios[[#This Row],[RUN]],BBDD[],5,FALSE)</f>
        <v>36853</v>
      </c>
      <c r="E81" s="2" t="str">
        <f>VLOOKUP(T_Voluntarios[[#This Row],[RUN]],BBDD[],6,FALSE)</f>
        <v>Pasaje 12 casa 916 Villa Huascar</v>
      </c>
      <c r="F81" s="2" t="str">
        <f>VLOOKUP(T_Voluntarios[[#This Row],[RUN]],BBDD[],7,FALSE)</f>
        <v>Concepción</v>
      </c>
      <c r="G81" s="2" t="str">
        <f>VLOOKUP(T_Voluntarios[[#This Row],[RUN]],BBDD[],8,FALSE)</f>
        <v>Celular</v>
      </c>
      <c r="H81" s="2" t="str">
        <f>IF(VLOOKUP(T_Voluntarios[[#This Row],[RUN]],BBDD[],9,FALSE)=0,"Falta",VLOOKUP(T_Voluntarios[[#This Row],[RUN]],BBDD[],9,FALSE))</f>
        <v>+56990138737</v>
      </c>
      <c r="I81" s="2" t="str">
        <f>VLOOKUP(T_Voluntarios[[#This Row],[RUN]],BBDD[],10,FALSE)</f>
        <v>Participante</v>
      </c>
      <c r="J81" s="2" t="str">
        <f>VLOOKUP(T_Voluntarios[[#This Row],[RUN]],BBDD[],11,FALSE)</f>
        <v>Santa Bárbara</v>
      </c>
      <c r="K81" s="2" t="str">
        <f>VLOOKUP(T_Voluntarios[[#This Row],[RUN]],BBDD[],12,FALSE)</f>
        <v>Golondrinas</v>
      </c>
      <c r="L81" s="2" t="str">
        <f>VLOOKUP(T_Voluntarios[[#This Row],[RUN]],BBDD[],15,FALSE)</f>
        <v>Rio Andalién</v>
      </c>
      <c r="M81" s="2" t="str">
        <f>VLOOKUP(T_Voluntarios[[#This Row],[RUN]],BBDD[],20,FALSE)</f>
        <v>Alimentación Tradicional</v>
      </c>
      <c r="N81" s="2" t="str">
        <f>VLOOKUP(T_Voluntarios[[#This Row],[RUN]],BBDD[],21,FALSE)</f>
        <v>Ninguna</v>
      </c>
      <c r="O81" s="2" t="str">
        <f>VLOOKUP(T_Voluntarios[[#This Row],[RUN]],BBDD[],22,FALSE)</f>
        <v>Ninguna</v>
      </c>
      <c r="P81" s="2" t="str">
        <f>VLOOKUP(T_Voluntarios[[#This Row],[RUN]],BBDD[],23,FALSE)</f>
        <v>Hector Alarcón +56994120784</v>
      </c>
      <c r="Q81" s="2" t="str">
        <f>IF(VLOOKUP(T_Voluntarios[[#This Row],[RUN]],BBDD[],27,FALSE)=0,"",VLOOKUP(T_Voluntarios[[#This Row],[RUN]],BBDD[],27,FALSE))</f>
        <v>No consumo lactosa</v>
      </c>
      <c r="R81" s="2" t="str">
        <f>VLOOKUP(T_Voluntarios[[#This Row],[RUN]],BBDD[],36,FALSE)</f>
        <v>https://drive.google.com/open?id=1vNA_wBq1KFmmoH8oGCvWuC0Ku-zNQTQ_</v>
      </c>
      <c r="S81" s="2" t="str">
        <f>VLOOKUP(T_Voluntarios[[#This Row],[RUN]],BBDD[],16,FALSE)</f>
        <v>Inicial</v>
      </c>
      <c r="T81" s="2" t="str">
        <f>VLOOKUP(T_Voluntarios[[#This Row],[RUN]],BBDD[],17,FALSE)</f>
        <v>Ninguno</v>
      </c>
      <c r="U81" s="2" t="str">
        <f>VLOOKUP(T_Voluntarios[[#This Row],[RUN]],BBDD[],18,FALSE)</f>
        <v>Ninguno</v>
      </c>
      <c r="V81" s="2" t="str">
        <f>VLOOKUP(T_Voluntarios[[#This Row],[RUN]],BBDD[],19,FALSE)</f>
        <v>Ninguno</v>
      </c>
      <c r="W81" s="13" t="str">
        <f>IF(OR(T_Voluntarios[[#This Row],[ROL]]="Formador(a)"),"SI","NO")</f>
        <v>NO</v>
      </c>
      <c r="X81" s="13" t="str">
        <f>IF(ISERROR(VLOOKUP(T_Voluntarios[[#This Row],[RUN]],BBDD_Formadores[],15,FALSE)),"NO",VLOOKUP(T_Voluntarios[[#This Row],[RUN]],BBDD_Formadores[],15,FALSE))</f>
        <v>NO</v>
      </c>
      <c r="Y81" s="13" t="str">
        <f>IF(ISERROR(VLOOKUP(T_Voluntarios[[#This Row],[RUN]],BBDD_Formadores[],16,FALSE)),"NO",VLOOKUP(T_Voluntarios[[#This Row],[RUN]],BBDD_Formadores[],16,FALSE))</f>
        <v>NO</v>
      </c>
      <c r="Z81" s="13" t="str">
        <f>IF(ISERROR(VLOOKUP(T_Voluntarios[[#This Row],[RUN]],BBDD_Formadores[],17,FALSE)),"NO",VLOOKUP(T_Voluntarios[[#This Row],[RUN]],BBDD_Formadores[],17,FALSE))</f>
        <v>NO</v>
      </c>
      <c r="AA81" s="13" t="str">
        <f>IF(ISERROR(VLOOKUP(T_Voluntarios[[#This Row],[RUN]],BBDD_Formadores[],18,FALSE)),"NO",VLOOKUP(T_Voluntarios[[#This Row],[RUN]],BBDD_Formadores[],18,FALSE))</f>
        <v>NO</v>
      </c>
      <c r="AB81" s="13">
        <v>1</v>
      </c>
      <c r="AC81" s="13" t="s">
        <v>1</v>
      </c>
      <c r="AD81" s="13" t="s">
        <v>77</v>
      </c>
      <c r="AF81" s="2" t="str">
        <f>IF(VLOOKUP(T_Voluntarios[[#This Row],[RUN]],BBDD[],25,FALSE)=0,"",VLOOKUP(T_Voluntarios[[#This Row],[RUN]],BBDD[],25,FALSE))</f>
        <v/>
      </c>
      <c r="AG81" s="2" t="str">
        <f>IF(VLOOKUP(T_Voluntarios[[#This Row],[RUN]],BBDD[],26,FALSE)=0,"",VLOOKUP(T_Voluntarios[[#This Row],[RUN]],BBDD[],26,FALSE))</f>
        <v/>
      </c>
      <c r="AH81" s="2" t="str">
        <f>IF(VLOOKUP(T_Voluntarios[[#This Row],[RUN]],BBDD[],24,FALSE)=0,"",VLOOKUP(T_Voluntarios[[#This Row],[RUN]],BBDD[],24,FALSE))</f>
        <v/>
      </c>
      <c r="AI81" s="13" t="str">
        <f>VLOOKUP(T_Voluntarios[[#This Row],[RUN]],BBDD[],28,FALSE)</f>
        <v>SI</v>
      </c>
      <c r="AJ81" s="13" t="str">
        <f>VLOOKUP(T_Voluntarios[[#This Row],[RUN]],BBDD[],28,FALSE)</f>
        <v>SI</v>
      </c>
      <c r="AK81" s="32">
        <f>IF(T_Voluntarios[[#This Row],[ROL]]="Participante",SUMIFS(T_Cuotas[[#All],[Total]],T_Cuotas[[#All],[RUN]],T_Voluntarios[[#This Row],[RUN]]),-1)</f>
        <v>50000</v>
      </c>
      <c r="AL81" s="13" t="s">
        <v>1</v>
      </c>
      <c r="AM81" s="13" t="s">
        <v>2029</v>
      </c>
      <c r="AP81" s="2" t="str">
        <f>MID(T_Voluntarios[[#This Row],[E_MAIL]],SEARCH("@",T_Voluntarios[[#This Row],[E_MAIL]],1),LEN(T_Voluntarios[[#This Row],[E_MAIL]]))</f>
        <v>@gmail.com</v>
      </c>
      <c r="AQ81" s="13" t="str">
        <f>VLOOKUP(T_Voluntarios[[#This Row],[RUN]],BBDD[],37,FALSE)</f>
        <v>24</v>
      </c>
      <c r="AR81" s="2" t="str">
        <f>VLOOKUP(T_Voluntarios[[#This Row],[RUN]],BBDD[],29,FALSE)</f>
        <v>Estudiante</v>
      </c>
      <c r="AS81" s="2" t="str">
        <f>VLOOKUP(T_Voluntarios[[#This Row],[RUN]],BBDD[],30,FALSE)</f>
        <v>4 años</v>
      </c>
      <c r="AT81" s="2" t="str">
        <f>VLOOKUP(T_Voluntarios[[#This Row],[RUN]],BBDD[],31,FALSE)</f>
        <v>3 años</v>
      </c>
      <c r="AU81" s="2" t="str">
        <f>VLOOKUP(T_Voluntarios[[#This Row],[RUN]],BBDD[],32,FALSE)</f>
        <v>Soltero(a)</v>
      </c>
      <c r="AV81" s="2" t="str">
        <f>VLOOKUP(T_Voluntarios[[#This Row],[RUN]],BBDD[],33,FALSE)</f>
        <v>Ninguna</v>
      </c>
      <c r="AW81" s="2" t="str">
        <f>VLOOKUP(T_Voluntarios[[#This Row],[RUN]],BBDD[],34,FALSE)</f>
        <v>Reno</v>
      </c>
      <c r="AX81" s="13" t="s">
        <v>733</v>
      </c>
      <c r="AY81" s="76">
        <f>VLOOKUP(T_Voluntarios[[#This Row],[RUN]],BBDD[],2,FALSE)</f>
        <v>45786.880946373458</v>
      </c>
      <c r="AZ81" s="13" t="s">
        <v>3403</v>
      </c>
    </row>
    <row r="82" spans="1:52" ht="14.4" x14ac:dyDescent="0.3">
      <c r="A82" s="2" t="s">
        <v>1620</v>
      </c>
      <c r="B82" s="2" t="str">
        <f>VLOOKUP(T_Voluntarios[[#This Row],[RUN]],BBDD[],3,FALSE)</f>
        <v>constanza.mora.r16@gmail.com</v>
      </c>
      <c r="C82" s="2" t="str">
        <f>VLOOKUP(T_Voluntarios[[#This Row],[RUN]],BBDD[],4,FALSE)</f>
        <v>Constanza Muriel Mora Robles</v>
      </c>
      <c r="D82" s="16">
        <f>VLOOKUP(T_Voluntarios[[#This Row],[RUN]],BBDD[],5,FALSE)</f>
        <v>37437</v>
      </c>
      <c r="E82" s="2" t="str">
        <f>VLOOKUP(T_Voluntarios[[#This Row],[RUN]],BBDD[],6,FALSE)</f>
        <v>Luz Alcazar 769 villa los profesores</v>
      </c>
      <c r="F82" s="2" t="str">
        <f>VLOOKUP(T_Voluntarios[[#This Row],[RUN]],BBDD[],7,FALSE)</f>
        <v>Los Ángeles</v>
      </c>
      <c r="G82" s="2" t="str">
        <f>VLOOKUP(T_Voluntarios[[#This Row],[RUN]],BBDD[],8,FALSE)</f>
        <v>Celular</v>
      </c>
      <c r="H82" s="2" t="str">
        <f>IF(VLOOKUP(T_Voluntarios[[#This Row],[RUN]],BBDD[],9,FALSE)=0,"Falta",VLOOKUP(T_Voluntarios[[#This Row],[RUN]],BBDD[],9,FALSE))</f>
        <v>+56988947281</v>
      </c>
      <c r="I82" s="2" t="str">
        <f>VLOOKUP(T_Voluntarios[[#This Row],[RUN]],BBDD[],10,FALSE)</f>
        <v>Participante</v>
      </c>
      <c r="J82" s="2" t="str">
        <f>VLOOKUP(T_Voluntarios[[#This Row],[RUN]],BBDD[],11,FALSE)</f>
        <v>Mahuidanche</v>
      </c>
      <c r="K82" s="2" t="str">
        <f>VLOOKUP(T_Voluntarios[[#This Row],[RUN]],BBDD[],12,FALSE)</f>
        <v>Guias</v>
      </c>
      <c r="L82" s="2" t="str">
        <f>VLOOKUP(T_Voluntarios[[#This Row],[RUN]],BBDD[],15,FALSE)</f>
        <v>Biobío</v>
      </c>
      <c r="M82" s="2" t="str">
        <f>VLOOKUP(T_Voluntarios[[#This Row],[RUN]],BBDD[],20,FALSE)</f>
        <v>Alimentación Tradicional</v>
      </c>
      <c r="N82" s="2" t="str">
        <f>VLOOKUP(T_Voluntarios[[#This Row],[RUN]],BBDD[],21,FALSE)</f>
        <v>Ninguna</v>
      </c>
      <c r="O82" s="2" t="str">
        <f>VLOOKUP(T_Voluntarios[[#This Row],[RUN]],BBDD[],22,FALSE)</f>
        <v>Asma</v>
      </c>
      <c r="P82" s="2" t="str">
        <f>VLOOKUP(T_Voluntarios[[#This Row],[RUN]],BBDD[],23,FALSE)</f>
        <v>Nancy robles y 997789939</v>
      </c>
      <c r="Q82" s="2" t="str">
        <f>IF(VLOOKUP(T_Voluntarios[[#This Row],[RUN]],BBDD[],27,FALSE)=0,"",VLOOKUP(T_Voluntarios[[#This Row],[RUN]],BBDD[],27,FALSE))</f>
        <v/>
      </c>
      <c r="R82" s="2" t="str">
        <f>VLOOKUP(T_Voluntarios[[#This Row],[RUN]],BBDD[],36,FALSE)</f>
        <v>https://drive.google.com/open?id=1okOSesvkEXVG5O8RemgE-ZiVeD9CjNr-ARWW6whavoI</v>
      </c>
      <c r="S82" s="2" t="str">
        <f>VLOOKUP(T_Voluntarios[[#This Row],[RUN]],BBDD[],16,FALSE)</f>
        <v>Ninguno</v>
      </c>
      <c r="T82" s="2" t="str">
        <f>VLOOKUP(T_Voluntarios[[#This Row],[RUN]],BBDD[],17,FALSE)</f>
        <v>Ninguno</v>
      </c>
      <c r="U82" s="2" t="str">
        <f>VLOOKUP(T_Voluntarios[[#This Row],[RUN]],BBDD[],18,FALSE)</f>
        <v>Ninguno</v>
      </c>
      <c r="V82" s="2" t="str">
        <f>VLOOKUP(T_Voluntarios[[#This Row],[RUN]],BBDD[],19,FALSE)</f>
        <v>Ninguno</v>
      </c>
      <c r="W82" s="13" t="str">
        <f>IF(OR(T_Voluntarios[[#This Row],[ROL]]="Formador(a)"),"SI","NO")</f>
        <v>NO</v>
      </c>
      <c r="X82" s="13" t="str">
        <f>IF(ISERROR(VLOOKUP(T_Voluntarios[[#This Row],[RUN]],BBDD_Formadores[],15,FALSE)),"NO",VLOOKUP(T_Voluntarios[[#This Row],[RUN]],BBDD_Formadores[],15,FALSE))</f>
        <v>NO</v>
      </c>
      <c r="Y82" s="13" t="str">
        <f>IF(ISERROR(VLOOKUP(T_Voluntarios[[#This Row],[RUN]],BBDD_Formadores[],16,FALSE)),"NO",VLOOKUP(T_Voluntarios[[#This Row],[RUN]],BBDD_Formadores[],16,FALSE))</f>
        <v>NO</v>
      </c>
      <c r="Z82" s="13" t="str">
        <f>IF(ISERROR(VLOOKUP(T_Voluntarios[[#This Row],[RUN]],BBDD_Formadores[],17,FALSE)),"NO",VLOOKUP(T_Voluntarios[[#This Row],[RUN]],BBDD_Formadores[],17,FALSE))</f>
        <v>NO</v>
      </c>
      <c r="AA82" s="13" t="str">
        <f>IF(ISERROR(VLOOKUP(T_Voluntarios[[#This Row],[RUN]],BBDD_Formadores[],18,FALSE)),"NO",VLOOKUP(T_Voluntarios[[#This Row],[RUN]],BBDD_Formadores[],18,FALSE))</f>
        <v>NO</v>
      </c>
      <c r="AB82" s="13">
        <v>1</v>
      </c>
      <c r="AC82" s="13" t="s">
        <v>1597</v>
      </c>
      <c r="AD82" s="13" t="s">
        <v>78</v>
      </c>
      <c r="AF82" s="2" t="str">
        <f>IF(VLOOKUP(T_Voluntarios[[#This Row],[RUN]],BBDD[],25,FALSE)=0,"",VLOOKUP(T_Voluntarios[[#This Row],[RUN]],BBDD[],25,FALSE))</f>
        <v/>
      </c>
      <c r="AG82" s="2" t="str">
        <f>IF(VLOOKUP(T_Voluntarios[[#This Row],[RUN]],BBDD[],26,FALSE)=0,"",VLOOKUP(T_Voluntarios[[#This Row],[RUN]],BBDD[],26,FALSE))</f>
        <v/>
      </c>
      <c r="AH82" s="2" t="str">
        <f>IF(VLOOKUP(T_Voluntarios[[#This Row],[RUN]],BBDD[],24,FALSE)=0,"",VLOOKUP(T_Voluntarios[[#This Row],[RUN]],BBDD[],24,FALSE))</f>
        <v/>
      </c>
      <c r="AI82" s="13" t="str">
        <f>VLOOKUP(T_Voluntarios[[#This Row],[RUN]],BBDD[],28,FALSE)</f>
        <v>SI</v>
      </c>
      <c r="AJ82" s="13" t="str">
        <f>VLOOKUP(T_Voluntarios[[#This Row],[RUN]],BBDD[],28,FALSE)</f>
        <v>SI</v>
      </c>
      <c r="AK82" s="32">
        <f>IF(T_Voluntarios[[#This Row],[ROL]]="Participante",SUMIFS(T_Cuotas[[#All],[Total]],T_Cuotas[[#All],[RUN]],T_Voluntarios[[#This Row],[RUN]]),-1)</f>
        <v>15000</v>
      </c>
      <c r="AL82" s="1" t="s">
        <v>78</v>
      </c>
      <c r="AM82" s="13" t="s">
        <v>733</v>
      </c>
      <c r="AP82" s="2" t="str">
        <f>MID(T_Voluntarios[[#This Row],[E_MAIL]],SEARCH("@",T_Voluntarios[[#This Row],[E_MAIL]],1),LEN(T_Voluntarios[[#This Row],[E_MAIL]]))</f>
        <v>@gmail.com</v>
      </c>
      <c r="AQ82" s="13" t="str">
        <f>VLOOKUP(T_Voluntarios[[#This Row],[RUN]],BBDD[],37,FALSE)</f>
        <v>23</v>
      </c>
      <c r="AR82" s="2" t="str">
        <f>VLOOKUP(T_Voluntarios[[#This Row],[RUN]],BBDD[],29,FALSE)</f>
        <v>Estudiante</v>
      </c>
      <c r="AS82" s="2" t="str">
        <f>VLOOKUP(T_Voluntarios[[#This Row],[RUN]],BBDD[],30,FALSE)</f>
        <v>13 años</v>
      </c>
      <c r="AT82" s="2" t="str">
        <f>VLOOKUP(T_Voluntarios[[#This Row],[RUN]],BBDD[],31,FALSE)</f>
        <v>1 año</v>
      </c>
      <c r="AU82" s="2" t="str">
        <f>VLOOKUP(T_Voluntarios[[#This Row],[RUN]],BBDD[],32,FALSE)</f>
        <v>Soltero(a)</v>
      </c>
      <c r="AV82" s="2" t="str">
        <f>VLOOKUP(T_Voluntarios[[#This Row],[RUN]],BBDD[],33,FALSE)</f>
        <v>Ninguna</v>
      </c>
      <c r="AW82" s="2" t="str">
        <f>VLOOKUP(T_Voluntarios[[#This Row],[RUN]],BBDD[],34,FALSE)</f>
        <v>Coni mora</v>
      </c>
      <c r="AX82" s="13" t="s">
        <v>733</v>
      </c>
      <c r="AY82" s="76">
        <f>VLOOKUP(T_Voluntarios[[#This Row],[RUN]],BBDD[],2,FALSE)</f>
        <v>45787.023777739196</v>
      </c>
      <c r="AZ82" s="13" t="s">
        <v>2</v>
      </c>
    </row>
    <row r="83" spans="1:52" x14ac:dyDescent="0.3">
      <c r="A83" s="2" t="s">
        <v>1642</v>
      </c>
      <c r="B83" s="2" t="str">
        <f>VLOOKUP(T_Voluntarios[[#This Row],[RUN]],BBDD[],3,FALSE)</f>
        <v>hermosillasebastian8@gmail.com</v>
      </c>
      <c r="C83" s="2" t="str">
        <f>VLOOKUP(T_Voluntarios[[#This Row],[RUN]],BBDD[],4,FALSE)</f>
        <v>Sebastián Gilberto Hermosilla Miño</v>
      </c>
      <c r="D83" s="16">
        <f>VLOOKUP(T_Voluntarios[[#This Row],[RUN]],BBDD[],5,FALSE)</f>
        <v>35596</v>
      </c>
      <c r="E83" s="2" t="str">
        <f>VLOOKUP(T_Voluntarios[[#This Row],[RUN]],BBDD[],6,FALSE)</f>
        <v>Jaime Repullo 1315</v>
      </c>
      <c r="F83" s="2" t="str">
        <f>VLOOKUP(T_Voluntarios[[#This Row],[RUN]],BBDD[],7,FALSE)</f>
        <v>Talcahuano</v>
      </c>
      <c r="G83" s="2" t="str">
        <f>VLOOKUP(T_Voluntarios[[#This Row],[RUN]],BBDD[],8,FALSE)</f>
        <v>Celular</v>
      </c>
      <c r="H83" s="2" t="str">
        <f>IF(VLOOKUP(T_Voluntarios[[#This Row],[RUN]],BBDD[],9,FALSE)=0,"Falta",VLOOKUP(T_Voluntarios[[#This Row],[RUN]],BBDD[],9,FALSE))</f>
        <v>+56967391936</v>
      </c>
      <c r="I83" s="2" t="str">
        <f>VLOOKUP(T_Voluntarios[[#This Row],[RUN]],BBDD[],10,FALSE)</f>
        <v>Participante</v>
      </c>
      <c r="J83" s="2" t="str">
        <f>VLOOKUP(T_Voluntarios[[#This Row],[RUN]],BBDD[],11,FALSE)</f>
        <v>Inmaculada Concepción de Talcahuano</v>
      </c>
      <c r="K83" s="2" t="str">
        <f>VLOOKUP(T_Voluntarios[[#This Row],[RUN]],BBDD[],12,FALSE)</f>
        <v>Caminantes</v>
      </c>
      <c r="L83" s="2" t="str">
        <f>VLOOKUP(T_Voluntarios[[#This Row],[RUN]],BBDD[],15,FALSE)</f>
        <v>Talcahuano - Hualpén</v>
      </c>
      <c r="M83" s="2" t="str">
        <f>VLOOKUP(T_Voluntarios[[#This Row],[RUN]],BBDD[],20,FALSE)</f>
        <v>Alimentación Tradicional</v>
      </c>
      <c r="N83" s="2" t="str">
        <f>VLOOKUP(T_Voluntarios[[#This Row],[RUN]],BBDD[],21,FALSE)</f>
        <v>Ninguna</v>
      </c>
      <c r="O83" s="2" t="str">
        <f>VLOOKUP(T_Voluntarios[[#This Row],[RUN]],BBDD[],22,FALSE)</f>
        <v>Ninguna</v>
      </c>
      <c r="P83" s="2" t="str">
        <f>VLOOKUP(T_Voluntarios[[#This Row],[RUN]],BBDD[],23,FALSE)</f>
        <v>Gilberto Hermosilla +56957785426</v>
      </c>
      <c r="Q83" s="2" t="str">
        <f>IF(VLOOKUP(T_Voluntarios[[#This Row],[RUN]],BBDD[],27,FALSE)=0,"",VLOOKUP(T_Voluntarios[[#This Row],[RUN]],BBDD[],27,FALSE))</f>
        <v/>
      </c>
      <c r="R83" s="2" t="str">
        <f>VLOOKUP(T_Voluntarios[[#This Row],[RUN]],BBDD[],36,FALSE)</f>
        <v>https://drive.google.com/open?id=1TIZk6L0-rtdlIFZccajKWRtdx9V-R4Hy</v>
      </c>
      <c r="S83" s="2" t="str">
        <f>VLOOKUP(T_Voluntarios[[#This Row],[RUN]],BBDD[],16,FALSE)</f>
        <v>Medio</v>
      </c>
      <c r="T83" s="2" t="str">
        <f>VLOOKUP(T_Voluntarios[[#This Row],[RUN]],BBDD[],17,FALSE)</f>
        <v>10529</v>
      </c>
      <c r="U83" s="2" t="str">
        <f>VLOOKUP(T_Voluntarios[[#This Row],[RUN]],BBDD[],18,FALSE)</f>
        <v>Scouts</v>
      </c>
      <c r="V83" s="2" t="str">
        <f>VLOOKUP(T_Voluntarios[[#This Row],[RUN]],BBDD[],19,FALSE)</f>
        <v>Ninguno</v>
      </c>
      <c r="W83" s="13" t="str">
        <f>IF(OR(T_Voluntarios[[#This Row],[ROL]]="Formador(a)"),"SI","NO")</f>
        <v>NO</v>
      </c>
      <c r="X83" s="13" t="str">
        <f>IF(ISERROR(VLOOKUP(T_Voluntarios[[#This Row],[RUN]],BBDD_Formadores[],15,FALSE)),"NO",VLOOKUP(T_Voluntarios[[#This Row],[RUN]],BBDD_Formadores[],15,FALSE))</f>
        <v>NO</v>
      </c>
      <c r="Y83" s="13" t="str">
        <f>IF(ISERROR(VLOOKUP(T_Voluntarios[[#This Row],[RUN]],BBDD_Formadores[],16,FALSE)),"NO",VLOOKUP(T_Voluntarios[[#This Row],[RUN]],BBDD_Formadores[],16,FALSE))</f>
        <v>NO</v>
      </c>
      <c r="Z83" s="13" t="str">
        <f>IF(ISERROR(VLOOKUP(T_Voluntarios[[#This Row],[RUN]],BBDD_Formadores[],17,FALSE)),"NO",VLOOKUP(T_Voluntarios[[#This Row],[RUN]],BBDD_Formadores[],17,FALSE))</f>
        <v>NO</v>
      </c>
      <c r="AA83" s="13" t="str">
        <f>IF(ISERROR(VLOOKUP(T_Voluntarios[[#This Row],[RUN]],BBDD_Formadores[],18,FALSE)),"NO",VLOOKUP(T_Voluntarios[[#This Row],[RUN]],BBDD_Formadores[],18,FALSE))</f>
        <v>NO</v>
      </c>
      <c r="AB83" s="13">
        <v>1</v>
      </c>
      <c r="AC83" s="13" t="s">
        <v>1</v>
      </c>
      <c r="AD83" s="13" t="s">
        <v>77</v>
      </c>
      <c r="AF83" s="2" t="str">
        <f>IF(VLOOKUP(T_Voluntarios[[#This Row],[RUN]],BBDD[],25,FALSE)=0,"",VLOOKUP(T_Voluntarios[[#This Row],[RUN]],BBDD[],25,FALSE))</f>
        <v>Nissan</v>
      </c>
      <c r="AG83" s="2" t="str">
        <f>IF(VLOOKUP(T_Voluntarios[[#This Row],[RUN]],BBDD[],26,FALSE)=0,"",VLOOKUP(T_Voluntarios[[#This Row],[RUN]],BBDD[],26,FALSE))</f>
        <v>Qashqai</v>
      </c>
      <c r="AH83" s="2" t="str">
        <f>IF(VLOOKUP(T_Voluntarios[[#This Row],[RUN]],BBDD[],24,FALSE)=0,"",VLOOKUP(T_Voluntarios[[#This Row],[RUN]],BBDD[],24,FALSE))</f>
        <v>LY FL 50</v>
      </c>
      <c r="AI83" s="13" t="str">
        <f>VLOOKUP(T_Voluntarios[[#This Row],[RUN]],BBDD[],28,FALSE)</f>
        <v>SI</v>
      </c>
      <c r="AJ83" s="13" t="str">
        <f>VLOOKUP(T_Voluntarios[[#This Row],[RUN]],BBDD[],28,FALSE)</f>
        <v>SI</v>
      </c>
      <c r="AK83" s="32">
        <f>IF(T_Voluntarios[[#This Row],[ROL]]="Participante",SUMIFS(T_Cuotas[[#All],[Total]],T_Cuotas[[#All],[RUN]],T_Voluntarios[[#This Row],[RUN]]),-1)</f>
        <v>50000</v>
      </c>
      <c r="AL83" s="13" t="s">
        <v>1</v>
      </c>
      <c r="AM83" s="13" t="s">
        <v>2029</v>
      </c>
      <c r="AP83" s="2" t="str">
        <f>MID(T_Voluntarios[[#This Row],[E_MAIL]],SEARCH("@",T_Voluntarios[[#This Row],[E_MAIL]],1),LEN(T_Voluntarios[[#This Row],[E_MAIL]]))</f>
        <v>@gmail.com</v>
      </c>
      <c r="AQ83" s="13" t="str">
        <f>VLOOKUP(T_Voluntarios[[#This Row],[RUN]],BBDD[],37,FALSE)</f>
        <v>28</v>
      </c>
      <c r="AR83" s="2" t="str">
        <f>VLOOKUP(T_Voluntarios[[#This Row],[RUN]],BBDD[],29,FALSE)</f>
        <v>Ingeniero de Ejecución en Mecánica</v>
      </c>
      <c r="AS83" s="2" t="str">
        <f>VLOOKUP(T_Voluntarios[[#This Row],[RUN]],BBDD[],30,FALSE)</f>
        <v>4 años</v>
      </c>
      <c r="AT83" s="2" t="str">
        <f>VLOOKUP(T_Voluntarios[[#This Row],[RUN]],BBDD[],31,FALSE)</f>
        <v>8 años</v>
      </c>
      <c r="AU83" s="2" t="str">
        <f>VLOOKUP(T_Voluntarios[[#This Row],[RUN]],BBDD[],32,FALSE)</f>
        <v>Soltero(a)</v>
      </c>
      <c r="AV83" s="2" t="str">
        <f>VLOOKUP(T_Voluntarios[[#This Row],[RUN]],BBDD[],33,FALSE)</f>
        <v>Ninguna</v>
      </c>
      <c r="AW83" s="2" t="str">
        <f>VLOOKUP(T_Voluntarios[[#This Row],[RUN]],BBDD[],34,FALSE)</f>
        <v>Seba</v>
      </c>
      <c r="AX83" s="13" t="s">
        <v>733</v>
      </c>
      <c r="AY83" s="76">
        <f>VLOOKUP(T_Voluntarios[[#This Row],[RUN]],BBDD[],2,FALSE)</f>
        <v>45788.95881585648</v>
      </c>
      <c r="AZ83" s="13" t="s">
        <v>3403</v>
      </c>
    </row>
    <row r="84" spans="1:52" x14ac:dyDescent="0.3">
      <c r="A84" s="2" t="s">
        <v>282</v>
      </c>
      <c r="B84" s="2" t="str">
        <f>VLOOKUP(T_Voluntarios[[#This Row],[RUN]],BBDD[],3,FALSE)</f>
        <v>shormazabalm7@gmail.com</v>
      </c>
      <c r="C84" s="2" t="str">
        <f>VLOOKUP(T_Voluntarios[[#This Row],[RUN]],BBDD[],4,FALSE)</f>
        <v>Sebastián Hormazábal Madrid</v>
      </c>
      <c r="D84" s="16">
        <f>VLOOKUP(T_Voluntarios[[#This Row],[RUN]],BBDD[],5,FALSE)</f>
        <v>35493</v>
      </c>
      <c r="E84" s="2" t="str">
        <f>VLOOKUP(T_Voluntarios[[#This Row],[RUN]],BBDD[],6,FALSE)</f>
        <v>Camino a Reposo S/N, Km 0780</v>
      </c>
      <c r="F84" s="2" t="str">
        <f>VLOOKUP(T_Voluntarios[[#This Row],[RUN]],BBDD[],7,FALSE)</f>
        <v>Cañete</v>
      </c>
      <c r="G84" s="2" t="str">
        <f>VLOOKUP(T_Voluntarios[[#This Row],[RUN]],BBDD[],8,FALSE)</f>
        <v>Celular</v>
      </c>
      <c r="H84" s="2" t="str">
        <f>IF(VLOOKUP(T_Voluntarios[[#This Row],[RUN]],BBDD[],9,FALSE)=0,"Falta",VLOOKUP(T_Voluntarios[[#This Row],[RUN]],BBDD[],9,FALSE))</f>
        <v>+56993326025</v>
      </c>
      <c r="I84" s="2" t="str">
        <f>VLOOKUP(T_Voluntarios[[#This Row],[RUN]],BBDD[],10,FALSE)</f>
        <v>Formador(a)</v>
      </c>
      <c r="J84" s="2" t="str">
        <f>VLOOKUP(T_Voluntarios[[#This Row],[RUN]],BBDD[],11,FALSE)</f>
        <v>Namuncura</v>
      </c>
      <c r="K84" s="2" t="str">
        <f>VLOOKUP(T_Voluntarios[[#This Row],[RUN]],BBDD[],12,FALSE)</f>
        <v>Pioneros</v>
      </c>
      <c r="L84" s="2" t="str">
        <f>VLOOKUP(T_Voluntarios[[#This Row],[RUN]],BBDD[],15,FALSE)</f>
        <v>Nahuelbuta</v>
      </c>
      <c r="M84" s="2" t="str">
        <f>VLOOKUP(T_Voluntarios[[#This Row],[RUN]],BBDD[],20,FALSE)</f>
        <v>Alimentación Tradicional</v>
      </c>
      <c r="N84" s="2" t="str">
        <f>VLOOKUP(T_Voluntarios[[#This Row],[RUN]],BBDD[],21,FALSE)</f>
        <v>Ninguna</v>
      </c>
      <c r="O84" s="2" t="str">
        <f>VLOOKUP(T_Voluntarios[[#This Row],[RUN]],BBDD[],22,FALSE)</f>
        <v>Ninguna</v>
      </c>
      <c r="P84" s="2" t="str">
        <f>VLOOKUP(T_Voluntarios[[#This Row],[RUN]],BBDD[],23,FALSE)</f>
        <v>Scarleth Jara //+56 9 9142 9448</v>
      </c>
      <c r="Q84" s="2" t="str">
        <f>IF(VLOOKUP(T_Voluntarios[[#This Row],[RUN]],BBDD[],27,FALSE)=0,"",VLOOKUP(T_Voluntarios[[#This Row],[RUN]],BBDD[],27,FALSE))</f>
        <v/>
      </c>
      <c r="R84" s="2" t="str">
        <f>VLOOKUP(T_Voluntarios[[#This Row],[RUN]],BBDD[],36,FALSE)</f>
        <v>https://drive.google.com/open?id=1ONfmyM3ZbOiI-iikMpP9fw_bjPhec9nt</v>
      </c>
      <c r="S84" s="2" t="str">
        <f>VLOOKUP(T_Voluntarios[[#This Row],[RUN]],BBDD[],16,FALSE)</f>
        <v>Avanzado</v>
      </c>
      <c r="T84" s="2" t="str">
        <f>VLOOKUP(T_Voluntarios[[#This Row],[RUN]],BBDD[],17,FALSE)</f>
        <v>9207</v>
      </c>
      <c r="U84" s="2" t="str">
        <f>VLOOKUP(T_Voluntarios[[#This Row],[RUN]],BBDD[],18,FALSE)</f>
        <v>Pioneros</v>
      </c>
      <c r="V84" s="2" t="str">
        <f>VLOOKUP(T_Voluntarios[[#This Row],[RUN]],BBDD[],19,FALSE)</f>
        <v>Pioneros</v>
      </c>
      <c r="W84" s="13" t="str">
        <f>IF(OR(T_Voluntarios[[#This Row],[ROL]]="Formador(a)"),"SI","NO")</f>
        <v>SI</v>
      </c>
      <c r="X84" s="13" t="str">
        <f>IF(ISERROR(VLOOKUP(T_Voluntarios[[#This Row],[RUN]],BBDD_Formadores[],15,FALSE)),"NO",VLOOKUP(T_Voluntarios[[#This Row],[RUN]],BBDD_Formadores[],15,FALSE))</f>
        <v>SI</v>
      </c>
      <c r="Y84" s="13" t="str">
        <f>IF(ISERROR(VLOOKUP(T_Voluntarios[[#This Row],[RUN]],BBDD_Formadores[],16,FALSE)),"NO",VLOOKUP(T_Voluntarios[[#This Row],[RUN]],BBDD_Formadores[],16,FALSE))</f>
        <v>Pioneros</v>
      </c>
      <c r="Z84" s="13" t="str">
        <f>IF(ISERROR(VLOOKUP(T_Voluntarios[[#This Row],[RUN]],BBDD_Formadores[],17,FALSE)),"NO",VLOOKUP(T_Voluntarios[[#This Row],[RUN]],BBDD_Formadores[],17,FALSE))</f>
        <v>Pioneros</v>
      </c>
      <c r="AA84" s="13" t="str">
        <f>IF(ISERROR(VLOOKUP(T_Voluntarios[[#This Row],[RUN]],BBDD_Formadores[],18,FALSE)),"NO",VLOOKUP(T_Voluntarios[[#This Row],[RUN]],BBDD_Formadores[],18,FALSE))</f>
        <v>NO</v>
      </c>
      <c r="AB84" s="13">
        <v>1</v>
      </c>
      <c r="AC84" s="13" t="s">
        <v>1</v>
      </c>
      <c r="AD84" s="13" t="s">
        <v>77</v>
      </c>
      <c r="AF84" s="2" t="str">
        <f>IF(VLOOKUP(T_Voluntarios[[#This Row],[RUN]],BBDD[],25,FALSE)=0,"",VLOOKUP(T_Voluntarios[[#This Row],[RUN]],BBDD[],25,FALSE))</f>
        <v/>
      </c>
      <c r="AG84" s="2" t="str">
        <f>IF(VLOOKUP(T_Voluntarios[[#This Row],[RUN]],BBDD[],26,FALSE)=0,"",VLOOKUP(T_Voluntarios[[#This Row],[RUN]],BBDD[],26,FALSE))</f>
        <v/>
      </c>
      <c r="AH84" s="2" t="str">
        <f>IF(VLOOKUP(T_Voluntarios[[#This Row],[RUN]],BBDD[],24,FALSE)=0,"",VLOOKUP(T_Voluntarios[[#This Row],[RUN]],BBDD[],24,FALSE))</f>
        <v/>
      </c>
      <c r="AI84" s="13" t="str">
        <f>VLOOKUP(T_Voluntarios[[#This Row],[RUN]],BBDD[],28,FALSE)</f>
        <v>No</v>
      </c>
      <c r="AJ84" s="13" t="str">
        <f>VLOOKUP(T_Voluntarios[[#This Row],[RUN]],BBDD[],28,FALSE)</f>
        <v>No</v>
      </c>
      <c r="AK84" s="32">
        <f>IF(T_Voluntarios[[#This Row],[ROL]]="Participante",SUMIFS(T_Cuotas[[#All],[Total]],T_Cuotas[[#All],[RUN]],T_Voluntarios[[#This Row],[RUN]]),-1)</f>
        <v>-1</v>
      </c>
      <c r="AL84" s="13" t="s">
        <v>1</v>
      </c>
      <c r="AM84" s="13" t="s">
        <v>2029</v>
      </c>
      <c r="AP84" s="2" t="str">
        <f>MID(T_Voluntarios[[#This Row],[E_MAIL]],SEARCH("@",T_Voluntarios[[#This Row],[E_MAIL]],1),LEN(T_Voluntarios[[#This Row],[E_MAIL]]))</f>
        <v>@gmail.com</v>
      </c>
      <c r="AQ84" s="13" t="str">
        <f>VLOOKUP(T_Voluntarios[[#This Row],[RUN]],BBDD[],37,FALSE)</f>
        <v>28</v>
      </c>
      <c r="AR84" s="2" t="str">
        <f>VLOOKUP(T_Voluntarios[[#This Row],[RUN]],BBDD[],29,FALSE)</f>
        <v>Ingeniero Ambiental</v>
      </c>
      <c r="AS84" s="2" t="str">
        <f>VLOOKUP(T_Voluntarios[[#This Row],[RUN]],BBDD[],30,FALSE)</f>
        <v>6</v>
      </c>
      <c r="AT84" s="2" t="str">
        <f>VLOOKUP(T_Voluntarios[[#This Row],[RUN]],BBDD[],31,FALSE)</f>
        <v>9</v>
      </c>
      <c r="AU84" s="2" t="str">
        <f>VLOOKUP(T_Voluntarios[[#This Row],[RUN]],BBDD[],32,FALSE)</f>
        <v>Soltero(a)</v>
      </c>
      <c r="AV84" s="2" t="str">
        <f>VLOOKUP(T_Voluntarios[[#This Row],[RUN]],BBDD[],33,FALSE)</f>
        <v>catolico</v>
      </c>
      <c r="AW84" s="2" t="str">
        <f>VLOOKUP(T_Voluntarios[[#This Row],[RUN]],BBDD[],34,FALSE)</f>
        <v>Seba</v>
      </c>
      <c r="AX84" s="13" t="s">
        <v>733</v>
      </c>
      <c r="AY84" s="76">
        <f>VLOOKUP(T_Voluntarios[[#This Row],[RUN]],BBDD[],2,FALSE)</f>
        <v>45789.508950270065</v>
      </c>
      <c r="AZ84" s="13" t="s">
        <v>2</v>
      </c>
    </row>
    <row r="85" spans="1:52" x14ac:dyDescent="0.3">
      <c r="A85" s="2" t="s">
        <v>221</v>
      </c>
      <c r="B85" s="2" t="str">
        <f>VLOOKUP(T_Voluntarios[[#This Row],[RUN]],BBDD[],3,FALSE)</f>
        <v>aldo.arevalo.rodriguez@gmail.com</v>
      </c>
      <c r="C85" s="2" t="str">
        <f>VLOOKUP(T_Voluntarios[[#This Row],[RUN]],BBDD[],4,FALSE)</f>
        <v>Aldo Felipe Arévalo Rodríguez</v>
      </c>
      <c r="D85" s="16">
        <f>VLOOKUP(T_Voluntarios[[#This Row],[RUN]],BBDD[],5,FALSE)</f>
        <v>29136</v>
      </c>
      <c r="E85" s="2" t="str">
        <f>VLOOKUP(T_Voluntarios[[#This Row],[RUN]],BBDD[],6,FALSE)</f>
        <v>Lope de Landa 1358</v>
      </c>
      <c r="F85" s="2" t="str">
        <f>VLOOKUP(T_Voluntarios[[#This Row],[RUN]],BBDD[],7,FALSE)</f>
        <v>San Pedro De La Paz</v>
      </c>
      <c r="G85" s="2" t="str">
        <f>VLOOKUP(T_Voluntarios[[#This Row],[RUN]],BBDD[],8,FALSE)</f>
        <v>Celular</v>
      </c>
      <c r="H85" s="2" t="str">
        <f>IF(VLOOKUP(T_Voluntarios[[#This Row],[RUN]],BBDD[],9,FALSE)=0,"Falta",VLOOKUP(T_Voluntarios[[#This Row],[RUN]],BBDD[],9,FALSE))</f>
        <v>+56987329470</v>
      </c>
      <c r="I85" s="2" t="str">
        <f>VLOOKUP(T_Voluntarios[[#This Row],[RUN]],BBDD[],10,FALSE)</f>
        <v>Formador(a)</v>
      </c>
      <c r="J85" s="2" t="str">
        <f>VLOOKUP(T_Voluntarios[[#This Row],[RUN]],BBDD[],11,FALSE)</f>
        <v>Huilliche</v>
      </c>
      <c r="K85" s="2" t="str">
        <f>VLOOKUP(T_Voluntarios[[#This Row],[RUN]],BBDD[],12,FALSE)</f>
        <v>Lobatos</v>
      </c>
      <c r="L85" s="2" t="str">
        <f>VLOOKUP(T_Voluntarios[[#This Row],[RUN]],BBDD[],15,FALSE)</f>
        <v>Nahuelbuta</v>
      </c>
      <c r="M85" s="2" t="str">
        <f>VLOOKUP(T_Voluntarios[[#This Row],[RUN]],BBDD[],20,FALSE)</f>
        <v>Alimentación Tradicional</v>
      </c>
      <c r="N85" s="2" t="str">
        <f>VLOOKUP(T_Voluntarios[[#This Row],[RUN]],BBDD[],21,FALSE)</f>
        <v>Ninguna</v>
      </c>
      <c r="O85" s="2" t="str">
        <f>VLOOKUP(T_Voluntarios[[#This Row],[RUN]],BBDD[],22,FALSE)</f>
        <v>Asma</v>
      </c>
      <c r="P85" s="2" t="str">
        <f>VLOOKUP(T_Voluntarios[[#This Row],[RUN]],BBDD[],23,FALSE)</f>
        <v>Carolina Sepúlveda  - +56987329470</v>
      </c>
      <c r="Q85" s="2" t="str">
        <f>IF(VLOOKUP(T_Voluntarios[[#This Row],[RUN]],BBDD[],27,FALSE)=0,"",VLOOKUP(T_Voluntarios[[#This Row],[RUN]],BBDD[],27,FALSE))</f>
        <v/>
      </c>
      <c r="R85" s="2" t="str">
        <f>VLOOKUP(T_Voluntarios[[#This Row],[RUN]],BBDD[],36,FALSE)</f>
        <v>https://drive.google.com/open?id=1totP1UkP_cXVtSXUxnPWcNZMI23NMxgI</v>
      </c>
      <c r="S85" s="2" t="str">
        <f>VLOOKUP(T_Voluntarios[[#This Row],[RUN]],BBDD[],16,FALSE)</f>
        <v>Medio</v>
      </c>
      <c r="T85" s="2" t="str">
        <f>VLOOKUP(T_Voluntarios[[#This Row],[RUN]],BBDD[],17,FALSE)</f>
        <v>7771</v>
      </c>
      <c r="U85" s="2" t="str">
        <f>VLOOKUP(T_Voluntarios[[#This Row],[RUN]],BBDD[],18,FALSE)</f>
        <v>Lobatos</v>
      </c>
      <c r="V85" s="2" t="str">
        <f>VLOOKUP(T_Voluntarios[[#This Row],[RUN]],BBDD[],19,FALSE)</f>
        <v>Ninguno</v>
      </c>
      <c r="W85" s="13" t="str">
        <f>IF(OR(T_Voluntarios[[#This Row],[ROL]]="Formador(a)"),"SI","NO")</f>
        <v>SI</v>
      </c>
      <c r="X85" s="13" t="str">
        <f>IF(ISERROR(VLOOKUP(T_Voluntarios[[#This Row],[RUN]],BBDD_Formadores[],15,FALSE)),"NO",VLOOKUP(T_Voluntarios[[#This Row],[RUN]],BBDD_Formadores[],15,FALSE))</f>
        <v>SI</v>
      </c>
      <c r="Y85" s="13" t="str">
        <f>IF(ISERROR(VLOOKUP(T_Voluntarios[[#This Row],[RUN]],BBDD_Formadores[],16,FALSE)),"NO",VLOOKUP(T_Voluntarios[[#This Row],[RUN]],BBDD_Formadores[],16,FALSE))</f>
        <v>Lobatos</v>
      </c>
      <c r="Z85" s="13" t="str">
        <f>IF(ISERROR(VLOOKUP(T_Voluntarios[[#This Row],[RUN]],BBDD_Formadores[],17,FALSE)),"NO",VLOOKUP(T_Voluntarios[[#This Row],[RUN]],BBDD_Formadores[],17,FALSE))</f>
        <v>Lobatos</v>
      </c>
      <c r="AA85" s="13" t="str">
        <f>IF(ISERROR(VLOOKUP(T_Voluntarios[[#This Row],[RUN]],BBDD_Formadores[],18,FALSE)),"NO",VLOOKUP(T_Voluntarios[[#This Row],[RUN]],BBDD_Formadores[],18,FALSE))</f>
        <v>SI</v>
      </c>
      <c r="AB85" s="13">
        <v>1</v>
      </c>
      <c r="AC85" s="13" t="s">
        <v>1</v>
      </c>
      <c r="AD85" s="13" t="s">
        <v>77</v>
      </c>
      <c r="AF85" s="2" t="str">
        <f>IF(VLOOKUP(T_Voluntarios[[#This Row],[RUN]],BBDD[],25,FALSE)=0,"",VLOOKUP(T_Voluntarios[[#This Row],[RUN]],BBDD[],25,FALSE))</f>
        <v>Mitsubishi</v>
      </c>
      <c r="AG85" s="2" t="str">
        <f>IF(VLOOKUP(T_Voluntarios[[#This Row],[RUN]],BBDD[],26,FALSE)=0,"",VLOOKUP(T_Voluntarios[[#This Row],[RUN]],BBDD[],26,FALSE))</f>
        <v>Lancer</v>
      </c>
      <c r="AH85" s="2" t="str">
        <f>IF(VLOOKUP(T_Voluntarios[[#This Row],[RUN]],BBDD[],24,FALSE)=0,"",VLOOKUP(T_Voluntarios[[#This Row],[RUN]],BBDD[],24,FALSE))</f>
        <v>BFDH62</v>
      </c>
      <c r="AI85" s="13" t="str">
        <f>VLOOKUP(T_Voluntarios[[#This Row],[RUN]],BBDD[],28,FALSE)</f>
        <v>No</v>
      </c>
      <c r="AJ85" s="13" t="str">
        <f>VLOOKUP(T_Voluntarios[[#This Row],[RUN]],BBDD[],28,FALSE)</f>
        <v>No</v>
      </c>
      <c r="AK85" s="32">
        <f>IF(T_Voluntarios[[#This Row],[ROL]]="Participante",SUMIFS(T_Cuotas[[#All],[Total]],T_Cuotas[[#All],[RUN]],T_Voluntarios[[#This Row],[RUN]]),-1)</f>
        <v>-1</v>
      </c>
      <c r="AL85" s="13" t="s">
        <v>1</v>
      </c>
      <c r="AM85" s="13" t="s">
        <v>2029</v>
      </c>
      <c r="AP85" s="2" t="str">
        <f>MID(T_Voluntarios[[#This Row],[E_MAIL]],SEARCH("@",T_Voluntarios[[#This Row],[E_MAIL]],1),LEN(T_Voluntarios[[#This Row],[E_MAIL]]))</f>
        <v>@gmail.com</v>
      </c>
      <c r="AQ85" s="13" t="str">
        <f>VLOOKUP(T_Voluntarios[[#This Row],[RUN]],BBDD[],37,FALSE)</f>
        <v>45</v>
      </c>
      <c r="AR85" s="2" t="str">
        <f>VLOOKUP(T_Voluntarios[[#This Row],[RUN]],BBDD[],29,FALSE)</f>
        <v>Ingeniero en Computación e Informática</v>
      </c>
      <c r="AS85" s="2" t="str">
        <f>VLOOKUP(T_Voluntarios[[#This Row],[RUN]],BBDD[],30,FALSE)</f>
        <v>12 años</v>
      </c>
      <c r="AT85" s="2" t="str">
        <f>VLOOKUP(T_Voluntarios[[#This Row],[RUN]],BBDD[],31,FALSE)</f>
        <v>24 años</v>
      </c>
      <c r="AU85" s="2" t="str">
        <f>VLOOKUP(T_Voluntarios[[#This Row],[RUN]],BBDD[],32,FALSE)</f>
        <v>Soltero(a)</v>
      </c>
      <c r="AV85" s="2" t="str">
        <f>VLOOKUP(T_Voluntarios[[#This Row],[RUN]],BBDD[],33,FALSE)</f>
        <v>Ninguna</v>
      </c>
      <c r="AW85" s="2" t="str">
        <f>VLOOKUP(T_Voluntarios[[#This Row],[RUN]],BBDD[],34,FALSE)</f>
        <v>Aldo</v>
      </c>
      <c r="AX85" s="13" t="s">
        <v>733</v>
      </c>
      <c r="AY85" s="76">
        <f>VLOOKUP(T_Voluntarios[[#This Row],[RUN]],BBDD[],2,FALSE)</f>
        <v>45789.520107716053</v>
      </c>
      <c r="AZ85" s="13" t="s">
        <v>2</v>
      </c>
    </row>
    <row r="86" spans="1:52" x14ac:dyDescent="0.3">
      <c r="A86" s="2" t="s">
        <v>501</v>
      </c>
      <c r="B86" s="2" t="str">
        <f>VLOOKUP(T_Voluntarios[[#This Row],[RUN]],BBDD[],3,FALSE)</f>
        <v>cchavez.mon@gmail.com</v>
      </c>
      <c r="C86" s="2" t="str">
        <f>VLOOKUP(T_Voluntarios[[#This Row],[RUN]],BBDD[],4,FALSE)</f>
        <v>Cristóbal Tomás Chávez Montoya</v>
      </c>
      <c r="D86" s="16">
        <f>VLOOKUP(T_Voluntarios[[#This Row],[RUN]],BBDD[],5,FALSE)</f>
        <v>36574</v>
      </c>
      <c r="E86" s="2" t="str">
        <f>VLOOKUP(T_Voluntarios[[#This Row],[RUN]],BBDD[],6,FALSE)</f>
        <v>Quinchamalí 9322 Parque Biobío</v>
      </c>
      <c r="F86" s="2" t="str">
        <f>VLOOKUP(T_Voluntarios[[#This Row],[RUN]],BBDD[],7,FALSE)</f>
        <v>Hualpén</v>
      </c>
      <c r="G86" s="2" t="str">
        <f>VLOOKUP(T_Voluntarios[[#This Row],[RUN]],BBDD[],8,FALSE)</f>
        <v>Celular</v>
      </c>
      <c r="H86" s="2" t="str">
        <f>IF(VLOOKUP(T_Voluntarios[[#This Row],[RUN]],BBDD[],9,FALSE)=0,"Falta",VLOOKUP(T_Voluntarios[[#This Row],[RUN]],BBDD[],9,FALSE))</f>
        <v>+56983409835</v>
      </c>
      <c r="I86" s="2" t="str">
        <f>VLOOKUP(T_Voluntarios[[#This Row],[RUN]],BBDD[],10,FALSE)</f>
        <v>Formador(a)</v>
      </c>
      <c r="J86" s="2" t="str">
        <f>VLOOKUP(T_Voluntarios[[#This Row],[RUN]],BBDD[],11,FALSE)</f>
        <v>Salesiano</v>
      </c>
      <c r="K86" s="2" t="str">
        <f>VLOOKUP(T_Voluntarios[[#This Row],[RUN]],BBDD[],12,FALSE)</f>
        <v>Pioneros</v>
      </c>
      <c r="L86" s="2" t="str">
        <f>VLOOKUP(T_Voluntarios[[#This Row],[RUN]],BBDD[],15,FALSE)</f>
        <v>Rio Andalién</v>
      </c>
      <c r="M86" s="2" t="str">
        <f>VLOOKUP(T_Voluntarios[[#This Row],[RUN]],BBDD[],20,FALSE)</f>
        <v>Alimentación Tradicional</v>
      </c>
      <c r="N86" s="2" t="str">
        <f>VLOOKUP(T_Voluntarios[[#This Row],[RUN]],BBDD[],21,FALSE)</f>
        <v>Ninguna</v>
      </c>
      <c r="O86" s="2" t="str">
        <f>VLOOKUP(T_Voluntarios[[#This Row],[RUN]],BBDD[],22,FALSE)</f>
        <v>Ninguna</v>
      </c>
      <c r="P86" s="2" t="str">
        <f>VLOOKUP(T_Voluntarios[[#This Row],[RUN]],BBDD[],23,FALSE)</f>
        <v>Victor Chavez +56992721014</v>
      </c>
      <c r="Q86" s="2" t="str">
        <f>IF(VLOOKUP(T_Voluntarios[[#This Row],[RUN]],BBDD[],27,FALSE)=0,"",VLOOKUP(T_Voluntarios[[#This Row],[RUN]],BBDD[],27,FALSE))</f>
        <v/>
      </c>
      <c r="R86" s="2" t="str">
        <f>VLOOKUP(T_Voluntarios[[#This Row],[RUN]],BBDD[],36,FALSE)</f>
        <v>https://drive.google.com/open?id=1r0WuaHydDZ0276D-L2M7KOprXg3Hy1a8</v>
      </c>
      <c r="S86" s="2" t="str">
        <f>VLOOKUP(T_Voluntarios[[#This Row],[RUN]],BBDD[],16,FALSE)</f>
        <v>Medio</v>
      </c>
      <c r="T86" s="2" t="str">
        <f>VLOOKUP(T_Voluntarios[[#This Row],[RUN]],BBDD[],17,FALSE)</f>
        <v>10571</v>
      </c>
      <c r="U86" s="2" t="str">
        <f>VLOOKUP(T_Voluntarios[[#This Row],[RUN]],BBDD[],18,FALSE)</f>
        <v>Pioneros</v>
      </c>
      <c r="V86" s="2" t="str">
        <f>VLOOKUP(T_Voluntarios[[#This Row],[RUN]],BBDD[],19,FALSE)</f>
        <v>Ninguno</v>
      </c>
      <c r="W86" s="13" t="str">
        <f>IF(OR(T_Voluntarios[[#This Row],[ROL]]="Formador(a)"),"SI","NO")</f>
        <v>SI</v>
      </c>
      <c r="X86" s="13" t="str">
        <f>IF(ISERROR(VLOOKUP(T_Voluntarios[[#This Row],[RUN]],BBDD_Formadores[],15,FALSE)),"NO",VLOOKUP(T_Voluntarios[[#This Row],[RUN]],BBDD_Formadores[],15,FALSE))</f>
        <v>SI</v>
      </c>
      <c r="Y86" s="13" t="str">
        <f>IF(ISERROR(VLOOKUP(T_Voluntarios[[#This Row],[RUN]],BBDD_Formadores[],16,FALSE)),"NO",VLOOKUP(T_Voluntarios[[#This Row],[RUN]],BBDD_Formadores[],16,FALSE))</f>
        <v>Pioneros</v>
      </c>
      <c r="Z86" s="13" t="str">
        <f>IF(ISERROR(VLOOKUP(T_Voluntarios[[#This Row],[RUN]],BBDD_Formadores[],17,FALSE)),"NO",VLOOKUP(T_Voluntarios[[#This Row],[RUN]],BBDD_Formadores[],17,FALSE))</f>
        <v>Pioneros</v>
      </c>
      <c r="AA86" s="13" t="str">
        <f>IF(ISERROR(VLOOKUP(T_Voluntarios[[#This Row],[RUN]],BBDD_Formadores[],18,FALSE)),"NO",VLOOKUP(T_Voluntarios[[#This Row],[RUN]],BBDD_Formadores[],18,FALSE))</f>
        <v>SI</v>
      </c>
      <c r="AB86" s="13">
        <v>1</v>
      </c>
      <c r="AC86" s="13" t="s">
        <v>1</v>
      </c>
      <c r="AD86" s="13" t="s">
        <v>77</v>
      </c>
      <c r="AF86" s="2" t="str">
        <f>IF(VLOOKUP(T_Voluntarios[[#This Row],[RUN]],BBDD[],25,FALSE)=0,"",VLOOKUP(T_Voluntarios[[#This Row],[RUN]],BBDD[],25,FALSE))</f>
        <v>Chery</v>
      </c>
      <c r="AG86" s="2" t="str">
        <f>IF(VLOOKUP(T_Voluntarios[[#This Row],[RUN]],BBDD[],26,FALSE)=0,"",VLOOKUP(T_Voluntarios[[#This Row],[RUN]],BBDD[],26,FALSE))</f>
        <v>Tiggo 2</v>
      </c>
      <c r="AH86" s="2" t="str">
        <f>IF(VLOOKUP(T_Voluntarios[[#This Row],[RUN]],BBDD[],24,FALSE)=0,"",VLOOKUP(T_Voluntarios[[#This Row],[RUN]],BBDD[],24,FALSE))</f>
        <v>RSFP-38</v>
      </c>
      <c r="AI86" s="13" t="str">
        <f>VLOOKUP(T_Voluntarios[[#This Row],[RUN]],BBDD[],28,FALSE)</f>
        <v>No</v>
      </c>
      <c r="AJ86" s="13" t="str">
        <f>VLOOKUP(T_Voluntarios[[#This Row],[RUN]],BBDD[],28,FALSE)</f>
        <v>No</v>
      </c>
      <c r="AK86" s="32">
        <f>IF(T_Voluntarios[[#This Row],[ROL]]="Participante",SUMIFS(T_Cuotas[[#All],[Total]],T_Cuotas[[#All],[RUN]],T_Voluntarios[[#This Row],[RUN]]),-1)</f>
        <v>-1</v>
      </c>
      <c r="AL86" s="13" t="s">
        <v>1</v>
      </c>
      <c r="AM86" s="13" t="s">
        <v>2029</v>
      </c>
      <c r="AP86" s="2" t="str">
        <f>MID(T_Voluntarios[[#This Row],[E_MAIL]],SEARCH("@",T_Voluntarios[[#This Row],[E_MAIL]],1),LEN(T_Voluntarios[[#This Row],[E_MAIL]]))</f>
        <v>@gmail.com</v>
      </c>
      <c r="AQ86" s="13" t="str">
        <f>VLOOKUP(T_Voluntarios[[#This Row],[RUN]],BBDD[],37,FALSE)</f>
        <v>25</v>
      </c>
      <c r="AR86" s="2" t="str">
        <f>VLOOKUP(T_Voluntarios[[#This Row],[RUN]],BBDD[],29,FALSE)</f>
        <v>Ingeniero Civil Industrial</v>
      </c>
      <c r="AS86" s="2" t="str">
        <f>VLOOKUP(T_Voluntarios[[#This Row],[RUN]],BBDD[],30,FALSE)</f>
        <v>10</v>
      </c>
      <c r="AT86" s="2" t="str">
        <f>VLOOKUP(T_Voluntarios[[#This Row],[RUN]],BBDD[],31,FALSE)</f>
        <v>5</v>
      </c>
      <c r="AU86" s="2" t="str">
        <f>VLOOKUP(T_Voluntarios[[#This Row],[RUN]],BBDD[],32,FALSE)</f>
        <v>Soltero(a)</v>
      </c>
      <c r="AV86" s="2" t="str">
        <f>VLOOKUP(T_Voluntarios[[#This Row],[RUN]],BBDD[],33,FALSE)</f>
        <v>Católica</v>
      </c>
      <c r="AW86" s="2" t="str">
        <f>VLOOKUP(T_Voluntarios[[#This Row],[RUN]],BBDD[],34,FALSE)</f>
        <v>Cris</v>
      </c>
      <c r="AX86" s="13" t="s">
        <v>733</v>
      </c>
      <c r="AY86" s="76">
        <f>VLOOKUP(T_Voluntarios[[#This Row],[RUN]],BBDD[],2,FALSE)</f>
        <v>45789.526901311729</v>
      </c>
      <c r="AZ86" s="13" t="s">
        <v>2</v>
      </c>
    </row>
    <row r="87" spans="1:52" x14ac:dyDescent="0.3">
      <c r="A87" s="2" t="s">
        <v>1709</v>
      </c>
      <c r="B87" s="2" t="str">
        <f>VLOOKUP(T_Voluntarios[[#This Row],[RUN]],BBDD[],3,FALSE)</f>
        <v>ivo.battaglia@gmail.com</v>
      </c>
      <c r="C87" s="2" t="str">
        <f>VLOOKUP(T_Voluntarios[[#This Row],[RUN]],BBDD[],4,FALSE)</f>
        <v>Ivo Pietro Battaglia Salinas</v>
      </c>
      <c r="D87" s="16">
        <f>VLOOKUP(T_Voluntarios[[#This Row],[RUN]],BBDD[],5,FALSE)</f>
        <v>32724</v>
      </c>
      <c r="E87" s="2" t="str">
        <f>VLOOKUP(T_Voluntarios[[#This Row],[RUN]],BBDD[],6,FALSE)</f>
        <v>Los Cristales 316</v>
      </c>
      <c r="F87" s="2" t="str">
        <f>VLOOKUP(T_Voluntarios[[#This Row],[RUN]],BBDD[],7,FALSE)</f>
        <v>Los Ángeles</v>
      </c>
      <c r="G87" s="2" t="str">
        <f>VLOOKUP(T_Voluntarios[[#This Row],[RUN]],BBDD[],8,FALSE)</f>
        <v>Celular</v>
      </c>
      <c r="H87" s="2" t="str">
        <f>IF(VLOOKUP(T_Voluntarios[[#This Row],[RUN]],BBDD[],9,FALSE)=0,"Falta",VLOOKUP(T_Voluntarios[[#This Row],[RUN]],BBDD[],9,FALSE))</f>
        <v>+56978235800</v>
      </c>
      <c r="I87" s="2" t="str">
        <f>VLOOKUP(T_Voluntarios[[#This Row],[RUN]],BBDD[],10,FALSE)</f>
        <v>Formador(a)</v>
      </c>
      <c r="J87" s="2" t="str">
        <f>VLOOKUP(T_Voluntarios[[#This Row],[RUN]],BBDD[],11,FALSE)</f>
        <v>Sagrada Familia</v>
      </c>
      <c r="K87" s="2" t="str">
        <f>VLOOKUP(T_Voluntarios[[#This Row],[RUN]],BBDD[],12,FALSE)</f>
        <v>Scouts</v>
      </c>
      <c r="L87" s="2" t="str">
        <f>VLOOKUP(T_Voluntarios[[#This Row],[RUN]],BBDD[],15,FALSE)</f>
        <v>Biobío</v>
      </c>
      <c r="M87" s="2" t="str">
        <f>VLOOKUP(T_Voluntarios[[#This Row],[RUN]],BBDD[],20,FALSE)</f>
        <v>Alimentación Tradicional</v>
      </c>
      <c r="N87" s="2" t="str">
        <f>VLOOKUP(T_Voluntarios[[#This Row],[RUN]],BBDD[],21,FALSE)</f>
        <v>Ninguna</v>
      </c>
      <c r="O87" s="2" t="str">
        <f>VLOOKUP(T_Voluntarios[[#This Row],[RUN]],BBDD[],22,FALSE)</f>
        <v>Ninguna</v>
      </c>
      <c r="P87" s="2" t="str">
        <f>VLOOKUP(T_Voluntarios[[#This Row],[RUN]],BBDD[],23,FALSE)</f>
        <v>Ana Pajarito 969171548</v>
      </c>
      <c r="Q87" s="2" t="str">
        <f>IF(VLOOKUP(T_Voluntarios[[#This Row],[RUN]],BBDD[],27,FALSE)=0,"",VLOOKUP(T_Voluntarios[[#This Row],[RUN]],BBDD[],27,FALSE))</f>
        <v/>
      </c>
      <c r="R87" s="2" t="str">
        <f>VLOOKUP(T_Voluntarios[[#This Row],[RUN]],BBDD[],36,FALSE)</f>
        <v>https://drive.google.com/open?id=1TRr1XCtHPS7GYLvDLNY19i_QSSuIeGyb</v>
      </c>
      <c r="S87" s="2" t="str">
        <f>VLOOKUP(T_Voluntarios[[#This Row],[RUN]],BBDD[],16,FALSE)</f>
        <v>Medio</v>
      </c>
      <c r="T87" s="2" t="str">
        <f>VLOOKUP(T_Voluntarios[[#This Row],[RUN]],BBDD[],17,FALSE)</f>
        <v>10211</v>
      </c>
      <c r="U87" s="2" t="str">
        <f>VLOOKUP(T_Voluntarios[[#This Row],[RUN]],BBDD[],18,FALSE)</f>
        <v>Scouts</v>
      </c>
      <c r="V87" s="2" t="str">
        <f>VLOOKUP(T_Voluntarios[[#This Row],[RUN]],BBDD[],19,FALSE)</f>
        <v>Ninguno</v>
      </c>
      <c r="W87" s="13" t="str">
        <f>IF(OR(T_Voluntarios[[#This Row],[ROL]]="Formador(a)"),"SI","NO")</f>
        <v>SI</v>
      </c>
      <c r="X87" s="13" t="str">
        <f>IF(ISERROR(VLOOKUP(T_Voluntarios[[#This Row],[RUN]],BBDD_Formadores[],15,FALSE)),"NO",VLOOKUP(T_Voluntarios[[#This Row],[RUN]],BBDD_Formadores[],15,FALSE))</f>
        <v>SI</v>
      </c>
      <c r="Y87" s="13" t="str">
        <f>IF(ISERROR(VLOOKUP(T_Voluntarios[[#This Row],[RUN]],BBDD_Formadores[],16,FALSE)),"NO",VLOOKUP(T_Voluntarios[[#This Row],[RUN]],BBDD_Formadores[],16,FALSE))</f>
        <v>Scouts</v>
      </c>
      <c r="Z87" s="13" t="str">
        <f>IF(ISERROR(VLOOKUP(T_Voluntarios[[#This Row],[RUN]],BBDD_Formadores[],17,FALSE)),"NO",VLOOKUP(T_Voluntarios[[#This Row],[RUN]],BBDD_Formadores[],17,FALSE))</f>
        <v>Scouts</v>
      </c>
      <c r="AA87" s="13" t="str">
        <f>IF(ISERROR(VLOOKUP(T_Voluntarios[[#This Row],[RUN]],BBDD_Formadores[],18,FALSE)),"NO",VLOOKUP(T_Voluntarios[[#This Row],[RUN]],BBDD_Formadores[],18,FALSE))</f>
        <v>NO</v>
      </c>
      <c r="AB87" s="13">
        <v>1</v>
      </c>
      <c r="AC87" s="13" t="s">
        <v>1</v>
      </c>
      <c r="AD87" s="13" t="s">
        <v>77</v>
      </c>
      <c r="AF87" s="2" t="str">
        <f>IF(VLOOKUP(T_Voluntarios[[#This Row],[RUN]],BBDD[],25,FALSE)=0,"",VLOOKUP(T_Voluntarios[[#This Row],[RUN]],BBDD[],25,FALSE))</f>
        <v>Chery</v>
      </c>
      <c r="AG87" s="2" t="str">
        <f>IF(VLOOKUP(T_Voluntarios[[#This Row],[RUN]],BBDD[],26,FALSE)=0,"",VLOOKUP(T_Voluntarios[[#This Row],[RUN]],BBDD[],26,FALSE))</f>
        <v>Tiggo 2</v>
      </c>
      <c r="AH87" s="2" t="str">
        <f>IF(VLOOKUP(T_Voluntarios[[#This Row],[RUN]],BBDD[],24,FALSE)=0,"",VLOOKUP(T_Voluntarios[[#This Row],[RUN]],BBDD[],24,FALSE))</f>
        <v>JGHR52</v>
      </c>
      <c r="AI87" s="13" t="str">
        <f>VLOOKUP(T_Voluntarios[[#This Row],[RUN]],BBDD[],28,FALSE)</f>
        <v>No</v>
      </c>
      <c r="AJ87" s="13" t="str">
        <f>VLOOKUP(T_Voluntarios[[#This Row],[RUN]],BBDD[],28,FALSE)</f>
        <v>No</v>
      </c>
      <c r="AK87" s="32">
        <f>IF(T_Voluntarios[[#This Row],[ROL]]="Participante",SUMIFS(T_Cuotas[[#All],[Total]],T_Cuotas[[#All],[RUN]],T_Voluntarios[[#This Row],[RUN]]),-1)</f>
        <v>-1</v>
      </c>
      <c r="AL87" s="13" t="s">
        <v>1</v>
      </c>
      <c r="AM87" s="13" t="s">
        <v>2029</v>
      </c>
      <c r="AP87" s="2" t="str">
        <f>MID(T_Voluntarios[[#This Row],[E_MAIL]],SEARCH("@",T_Voluntarios[[#This Row],[E_MAIL]],1),LEN(T_Voluntarios[[#This Row],[E_MAIL]]))</f>
        <v>@gmail.com</v>
      </c>
      <c r="AQ87" s="13" t="str">
        <f>VLOOKUP(T_Voluntarios[[#This Row],[RUN]],BBDD[],37,FALSE)</f>
        <v>35</v>
      </c>
      <c r="AR87" s="2" t="str">
        <f>VLOOKUP(T_Voluntarios[[#This Row],[RUN]],BBDD[],29,FALSE)</f>
        <v>Ingeniero Geomático</v>
      </c>
      <c r="AS87" s="2" t="str">
        <f>VLOOKUP(T_Voluntarios[[#This Row],[RUN]],BBDD[],30,FALSE)</f>
        <v>9</v>
      </c>
      <c r="AT87" s="2" t="str">
        <f>VLOOKUP(T_Voluntarios[[#This Row],[RUN]],BBDD[],31,FALSE)</f>
        <v>10</v>
      </c>
      <c r="AU87" s="2" t="str">
        <f>VLOOKUP(T_Voluntarios[[#This Row],[RUN]],BBDD[],32,FALSE)</f>
        <v>Casado(a)</v>
      </c>
      <c r="AV87" s="2" t="str">
        <f>VLOOKUP(T_Voluntarios[[#This Row],[RUN]],BBDD[],33,FALSE)</f>
        <v>Ninguna</v>
      </c>
      <c r="AW87" s="2" t="str">
        <f>VLOOKUP(T_Voluntarios[[#This Row],[RUN]],BBDD[],34,FALSE)</f>
        <v>Ivo B.</v>
      </c>
      <c r="AX87" s="13" t="s">
        <v>733</v>
      </c>
      <c r="AY87" s="76">
        <f>VLOOKUP(T_Voluntarios[[#This Row],[RUN]],BBDD[],2,FALSE)</f>
        <v>45789.52796265432</v>
      </c>
      <c r="AZ87" s="13" t="s">
        <v>2</v>
      </c>
    </row>
    <row r="88" spans="1:52" x14ac:dyDescent="0.3">
      <c r="A88" s="2" t="s">
        <v>203</v>
      </c>
      <c r="B88" s="2" t="str">
        <f>VLOOKUP(T_Voluntarios[[#This Row],[RUN]],BBDD[],3,FALSE)</f>
        <v>chormazabal@guiasyscoutschile.cl</v>
      </c>
      <c r="C88" s="2" t="str">
        <f>VLOOKUP(T_Voluntarios[[#This Row],[RUN]],BBDD[],4,FALSE)</f>
        <v>Carlos Gerardo Hormazábal Saez</v>
      </c>
      <c r="D88" s="16">
        <f>VLOOKUP(T_Voluntarios[[#This Row],[RUN]],BBDD[],5,FALSE)</f>
        <v>26680</v>
      </c>
      <c r="E88" s="2" t="str">
        <f>VLOOKUP(T_Voluntarios[[#This Row],[RUN]],BBDD[],6,FALSE)</f>
        <v>Villa Cayucupil 696. Km12. Cañete</v>
      </c>
      <c r="F88" s="2" t="str">
        <f>VLOOKUP(T_Voluntarios[[#This Row],[RUN]],BBDD[],7,FALSE)</f>
        <v>Cañete</v>
      </c>
      <c r="G88" s="2" t="str">
        <f>VLOOKUP(T_Voluntarios[[#This Row],[RUN]],BBDD[],8,FALSE)</f>
        <v>Celular</v>
      </c>
      <c r="H88" s="2" t="str">
        <f>IF(VLOOKUP(T_Voluntarios[[#This Row],[RUN]],BBDD[],9,FALSE)=0,"Falta",VLOOKUP(T_Voluntarios[[#This Row],[RUN]],BBDD[],9,FALSE))</f>
        <v>+56962191513</v>
      </c>
      <c r="I88" s="2" t="str">
        <f>VLOOKUP(T_Voluntarios[[#This Row],[RUN]],BBDD[],10,FALSE)</f>
        <v>Formador(a)</v>
      </c>
      <c r="J88" s="2" t="str">
        <f>VLOOKUP(T_Voluntarios[[#This Row],[RUN]],BBDD[],11,FALSE)</f>
        <v>Namuncura</v>
      </c>
      <c r="K88" s="2" t="str">
        <f>VLOOKUP(T_Voluntarios[[#This Row],[RUN]],BBDD[],12,FALSE)</f>
        <v>Scouts</v>
      </c>
      <c r="L88" s="2" t="str">
        <f>VLOOKUP(T_Voluntarios[[#This Row],[RUN]],BBDD[],15,FALSE)</f>
        <v>Nahuelbuta</v>
      </c>
      <c r="M88" s="2" t="str">
        <f>VLOOKUP(T_Voluntarios[[#This Row],[RUN]],BBDD[],20,FALSE)</f>
        <v>Alimentación Tradicional</v>
      </c>
      <c r="N88" s="2" t="str">
        <f>VLOOKUP(T_Voluntarios[[#This Row],[RUN]],BBDD[],21,FALSE)</f>
        <v>Diabetes - Hipertensión - Colesterol Alto</v>
      </c>
      <c r="O88" s="2" t="str">
        <f>VLOOKUP(T_Voluntarios[[#This Row],[RUN]],BBDD[],22,FALSE)</f>
        <v>Ninguna</v>
      </c>
      <c r="P88" s="2" t="str">
        <f>VLOOKUP(T_Voluntarios[[#This Row],[RUN]],BBDD[],23,FALSE)</f>
        <v>Anita Madrid 993598234</v>
      </c>
      <c r="Q88" s="2" t="str">
        <f>IF(VLOOKUP(T_Voluntarios[[#This Row],[RUN]],BBDD[],27,FALSE)=0,"",VLOOKUP(T_Voluntarios[[#This Row],[RUN]],BBDD[],27,FALSE))</f>
        <v/>
      </c>
      <c r="R88" s="2" t="str">
        <f>VLOOKUP(T_Voluntarios[[#This Row],[RUN]],BBDD[],36,FALSE)</f>
        <v>https://drive.google.com/open?id=1T9uEXqPh8Nwzq-6i4dnjq9P1PoWG1Yg6</v>
      </c>
      <c r="S88" s="2" t="str">
        <f>VLOOKUP(T_Voluntarios[[#This Row],[RUN]],BBDD[],16,FALSE)</f>
        <v>Avanzado</v>
      </c>
      <c r="T88" s="2" t="str">
        <f>VLOOKUP(T_Voluntarios[[#This Row],[RUN]],BBDD[],17,FALSE)</f>
        <v>8666</v>
      </c>
      <c r="U88" s="2" t="str">
        <f>VLOOKUP(T_Voluntarios[[#This Row],[RUN]],BBDD[],18,FALSE)</f>
        <v>Scouts</v>
      </c>
      <c r="V88" s="2" t="str">
        <f>VLOOKUP(T_Voluntarios[[#This Row],[RUN]],BBDD[],19,FALSE)</f>
        <v>Scouts</v>
      </c>
      <c r="W88" s="13" t="str">
        <f>IF(OR(T_Voluntarios[[#This Row],[ROL]]="Formador(a)"),"SI","NO")</f>
        <v>SI</v>
      </c>
      <c r="X88" s="13" t="str">
        <f>IF(ISERROR(VLOOKUP(T_Voluntarios[[#This Row],[RUN]],BBDD_Formadores[],15,FALSE)),"NO",VLOOKUP(T_Voluntarios[[#This Row],[RUN]],BBDD_Formadores[],15,FALSE))</f>
        <v>SI</v>
      </c>
      <c r="Y88" s="13" t="str">
        <f>IF(ISERROR(VLOOKUP(T_Voluntarios[[#This Row],[RUN]],BBDD_Formadores[],16,FALSE)),"NO",VLOOKUP(T_Voluntarios[[#This Row],[RUN]],BBDD_Formadores[],16,FALSE))</f>
        <v>Scouts</v>
      </c>
      <c r="Z88" s="13" t="str">
        <f>IF(ISERROR(VLOOKUP(T_Voluntarios[[#This Row],[RUN]],BBDD_Formadores[],17,FALSE)),"NO",VLOOKUP(T_Voluntarios[[#This Row],[RUN]],BBDD_Formadores[],17,FALSE))</f>
        <v>Scouts</v>
      </c>
      <c r="AA88" s="13" t="str">
        <f>IF(ISERROR(VLOOKUP(T_Voluntarios[[#This Row],[RUN]],BBDD_Formadores[],18,FALSE)),"NO",VLOOKUP(T_Voluntarios[[#This Row],[RUN]],BBDD_Formadores[],18,FALSE))</f>
        <v>SI</v>
      </c>
      <c r="AB88" s="13">
        <v>1</v>
      </c>
      <c r="AC88" s="13" t="s">
        <v>1</v>
      </c>
      <c r="AD88" s="13" t="s">
        <v>77</v>
      </c>
      <c r="AF88" s="2" t="str">
        <f>IF(VLOOKUP(T_Voluntarios[[#This Row],[RUN]],BBDD[],25,FALSE)=0,"",VLOOKUP(T_Voluntarios[[#This Row],[RUN]],BBDD[],25,FALSE))</f>
        <v/>
      </c>
      <c r="AG88" s="2" t="str">
        <f>IF(VLOOKUP(T_Voluntarios[[#This Row],[RUN]],BBDD[],26,FALSE)=0,"",VLOOKUP(T_Voluntarios[[#This Row],[RUN]],BBDD[],26,FALSE))</f>
        <v/>
      </c>
      <c r="AH88" s="2" t="str">
        <f>IF(VLOOKUP(T_Voluntarios[[#This Row],[RUN]],BBDD[],24,FALSE)=0,"",VLOOKUP(T_Voluntarios[[#This Row],[RUN]],BBDD[],24,FALSE))</f>
        <v/>
      </c>
      <c r="AI88" s="13" t="str">
        <f>VLOOKUP(T_Voluntarios[[#This Row],[RUN]],BBDD[],28,FALSE)</f>
        <v>SI</v>
      </c>
      <c r="AJ88" s="13" t="str">
        <f>VLOOKUP(T_Voluntarios[[#This Row],[RUN]],BBDD[],28,FALSE)</f>
        <v>SI</v>
      </c>
      <c r="AK88" s="32">
        <f>IF(T_Voluntarios[[#This Row],[ROL]]="Participante",SUMIFS(T_Cuotas[[#All],[Total]],T_Cuotas[[#All],[RUN]],T_Voluntarios[[#This Row],[RUN]]),-1)</f>
        <v>-1</v>
      </c>
      <c r="AL88" s="13" t="s">
        <v>1</v>
      </c>
      <c r="AM88" s="13" t="s">
        <v>2029</v>
      </c>
      <c r="AP88" s="2" t="str">
        <f>MID(T_Voluntarios[[#This Row],[E_MAIL]],SEARCH("@",T_Voluntarios[[#This Row],[E_MAIL]],1),LEN(T_Voluntarios[[#This Row],[E_MAIL]]))</f>
        <v>@guiasyscoutschile.cl</v>
      </c>
      <c r="AQ88" s="13" t="str">
        <f>VLOOKUP(T_Voluntarios[[#This Row],[RUN]],BBDD[],37,FALSE)</f>
        <v>52</v>
      </c>
      <c r="AR88" s="2" t="str">
        <f>VLOOKUP(T_Voluntarios[[#This Row],[RUN]],BBDD[],29,FALSE)</f>
        <v>Psicólogo</v>
      </c>
      <c r="AS88" s="2" t="str">
        <f>VLOOKUP(T_Voluntarios[[#This Row],[RUN]],BBDD[],30,FALSE)</f>
        <v>ninguno</v>
      </c>
      <c r="AT88" s="2" t="str">
        <f>VLOOKUP(T_Voluntarios[[#This Row],[RUN]],BBDD[],31,FALSE)</f>
        <v>14 años</v>
      </c>
      <c r="AU88" s="2" t="str">
        <f>VLOOKUP(T_Voluntarios[[#This Row],[RUN]],BBDD[],32,FALSE)</f>
        <v>Casado(a)</v>
      </c>
      <c r="AV88" s="2" t="str">
        <f>VLOOKUP(T_Voluntarios[[#This Row],[RUN]],BBDD[],33,FALSE)</f>
        <v>Católico</v>
      </c>
      <c r="AW88" s="2" t="str">
        <f>VLOOKUP(T_Voluntarios[[#This Row],[RUN]],BBDD[],34,FALSE)</f>
        <v>Carlos</v>
      </c>
      <c r="AX88" s="13" t="s">
        <v>733</v>
      </c>
      <c r="AY88" s="76">
        <f>VLOOKUP(T_Voluntarios[[#This Row],[RUN]],BBDD[],2,FALSE)</f>
        <v>45789.539836612654</v>
      </c>
      <c r="AZ88" s="13" t="s">
        <v>2</v>
      </c>
    </row>
    <row r="89" spans="1:52" x14ac:dyDescent="0.3">
      <c r="A89" s="2" t="s">
        <v>1720</v>
      </c>
      <c r="B89" s="2" t="str">
        <f>VLOOKUP(T_Voluntarios[[#This Row],[RUN]],BBDD[],3,FALSE)</f>
        <v>alonsovillablancaf@gmail.com</v>
      </c>
      <c r="C89" s="2" t="str">
        <f>VLOOKUP(T_Voluntarios[[#This Row],[RUN]],BBDD[],4,FALSE)</f>
        <v>Alonso Javier Villablanca Figueroa</v>
      </c>
      <c r="D89" s="16">
        <f>VLOOKUP(T_Voluntarios[[#This Row],[RUN]],BBDD[],5,FALSE)</f>
        <v>37041</v>
      </c>
      <c r="E89" s="2" t="str">
        <f>VLOOKUP(T_Voluntarios[[#This Row],[RUN]],BBDD[],6,FALSE)</f>
        <v>Pedro Aguirre Cerda 1699 Dpto H.</v>
      </c>
      <c r="F89" s="2" t="str">
        <f>VLOOKUP(T_Voluntarios[[#This Row],[RUN]],BBDD[],7,FALSE)</f>
        <v>San Pedro De La Paz</v>
      </c>
      <c r="G89" s="2" t="str">
        <f>VLOOKUP(T_Voluntarios[[#This Row],[RUN]],BBDD[],8,FALSE)</f>
        <v>Celular</v>
      </c>
      <c r="H89" s="2" t="str">
        <f>IF(VLOOKUP(T_Voluntarios[[#This Row],[RUN]],BBDD[],9,FALSE)=0,"Falta",VLOOKUP(T_Voluntarios[[#This Row],[RUN]],BBDD[],9,FALSE))</f>
        <v>+56966862742</v>
      </c>
      <c r="I89" s="2" t="str">
        <f>VLOOKUP(T_Voluntarios[[#This Row],[RUN]],BBDD[],10,FALSE)</f>
        <v>Apoyo a Formadores</v>
      </c>
      <c r="J89" s="2" t="str">
        <f>VLOOKUP(T_Voluntarios[[#This Row],[RUN]],BBDD[],11,FALSE)</f>
        <v>Monte Kenya</v>
      </c>
      <c r="K89" s="2" t="str">
        <f>VLOOKUP(T_Voluntarios[[#This Row],[RUN]],BBDD[],12,FALSE)</f>
        <v>Scouts</v>
      </c>
      <c r="L89" s="2" t="str">
        <f>VLOOKUP(T_Voluntarios[[#This Row],[RUN]],BBDD[],15,FALSE)</f>
        <v>Nahuelbuta</v>
      </c>
      <c r="M89" s="2" t="str">
        <f>VLOOKUP(T_Voluntarios[[#This Row],[RUN]],BBDD[],20,FALSE)</f>
        <v>Alimentación Tradicional</v>
      </c>
      <c r="N89" s="2" t="str">
        <f>VLOOKUP(T_Voluntarios[[#This Row],[RUN]],BBDD[],21,FALSE)</f>
        <v>Ninguna</v>
      </c>
      <c r="O89" s="2" t="str">
        <f>VLOOKUP(T_Voluntarios[[#This Row],[RUN]],BBDD[],22,FALSE)</f>
        <v>Ninguna</v>
      </c>
      <c r="P89" s="2" t="str">
        <f>VLOOKUP(T_Voluntarios[[#This Row],[RUN]],BBDD[],23,FALSE)</f>
        <v>Marcia figueroa +56993515385</v>
      </c>
      <c r="Q89" s="2" t="str">
        <f>IF(VLOOKUP(T_Voluntarios[[#This Row],[RUN]],BBDD[],27,FALSE)=0,"",VLOOKUP(T_Voluntarios[[#This Row],[RUN]],BBDD[],27,FALSE))</f>
        <v/>
      </c>
      <c r="R89" s="2" t="str">
        <f>VLOOKUP(T_Voluntarios[[#This Row],[RUN]],BBDD[],36,FALSE)</f>
        <v>https://drive.google.com/open?id=1n3fdLYQPIPZbi-J8Nn3Yu5n4L1FzVOGR</v>
      </c>
      <c r="S89" s="2" t="str">
        <f>VLOOKUP(T_Voluntarios[[#This Row],[RUN]],BBDD[],16,FALSE)</f>
        <v>Medio</v>
      </c>
      <c r="T89" s="2" t="str">
        <f>VLOOKUP(T_Voluntarios[[#This Row],[RUN]],BBDD[],17,FALSE)</f>
        <v>10978</v>
      </c>
      <c r="U89" s="2" t="str">
        <f>VLOOKUP(T_Voluntarios[[#This Row],[RUN]],BBDD[],18,FALSE)</f>
        <v>Scouts</v>
      </c>
      <c r="V89" s="2" t="str">
        <f>VLOOKUP(T_Voluntarios[[#This Row],[RUN]],BBDD[],19,FALSE)</f>
        <v>Ninguno</v>
      </c>
      <c r="W89" s="13" t="str">
        <f>IF(OR(T_Voluntarios[[#This Row],[ROL]]="Formador(a)"),"SI","NO")</f>
        <v>NO</v>
      </c>
      <c r="X89" s="13" t="str">
        <f>IF(ISERROR(VLOOKUP(T_Voluntarios[[#This Row],[RUN]],BBDD_Formadores[],15,FALSE)),"NO",VLOOKUP(T_Voluntarios[[#This Row],[RUN]],BBDD_Formadores[],15,FALSE))</f>
        <v>NO</v>
      </c>
      <c r="Y89" s="13" t="str">
        <f>IF(ISERROR(VLOOKUP(T_Voluntarios[[#This Row],[RUN]],BBDD_Formadores[],16,FALSE)),"NO",VLOOKUP(T_Voluntarios[[#This Row],[RUN]],BBDD_Formadores[],16,FALSE))</f>
        <v>NO</v>
      </c>
      <c r="Z89" s="13" t="str">
        <f>IF(ISERROR(VLOOKUP(T_Voluntarios[[#This Row],[RUN]],BBDD_Formadores[],17,FALSE)),"NO",VLOOKUP(T_Voluntarios[[#This Row],[RUN]],BBDD_Formadores[],17,FALSE))</f>
        <v>NO</v>
      </c>
      <c r="AA89" s="13" t="str">
        <f>IF(ISERROR(VLOOKUP(T_Voluntarios[[#This Row],[RUN]],BBDD_Formadores[],18,FALSE)),"NO",VLOOKUP(T_Voluntarios[[#This Row],[RUN]],BBDD_Formadores[],18,FALSE))</f>
        <v>NO</v>
      </c>
      <c r="AB89" s="13">
        <v>1</v>
      </c>
      <c r="AC89" s="13" t="s">
        <v>1</v>
      </c>
      <c r="AD89" s="13" t="s">
        <v>77</v>
      </c>
      <c r="AF89" s="2" t="str">
        <f>IF(VLOOKUP(T_Voluntarios[[#This Row],[RUN]],BBDD[],25,FALSE)=0,"",VLOOKUP(T_Voluntarios[[#This Row],[RUN]],BBDD[],25,FALSE))</f>
        <v/>
      </c>
      <c r="AG89" s="2" t="str">
        <f>IF(VLOOKUP(T_Voluntarios[[#This Row],[RUN]],BBDD[],26,FALSE)=0,"",VLOOKUP(T_Voluntarios[[#This Row],[RUN]],BBDD[],26,FALSE))</f>
        <v/>
      </c>
      <c r="AH89" s="2" t="str">
        <f>IF(VLOOKUP(T_Voluntarios[[#This Row],[RUN]],BBDD[],24,FALSE)=0,"",VLOOKUP(T_Voluntarios[[#This Row],[RUN]],BBDD[],24,FALSE))</f>
        <v/>
      </c>
      <c r="AI89" s="13" t="str">
        <f>VLOOKUP(T_Voluntarios[[#This Row],[RUN]],BBDD[],28,FALSE)</f>
        <v>No</v>
      </c>
      <c r="AJ89" s="13" t="str">
        <f>VLOOKUP(T_Voluntarios[[#This Row],[RUN]],BBDD[],28,FALSE)</f>
        <v>No</v>
      </c>
      <c r="AK89" s="32">
        <f>IF(T_Voluntarios[[#This Row],[ROL]]="Participante",SUMIFS(T_Cuotas[[#All],[Total]],T_Cuotas[[#All],[RUN]],T_Voluntarios[[#This Row],[RUN]]),-1)</f>
        <v>-1</v>
      </c>
      <c r="AL89" s="13" t="s">
        <v>1</v>
      </c>
      <c r="AM89" s="13" t="s">
        <v>2029</v>
      </c>
      <c r="AP89" s="2" t="str">
        <f>MID(T_Voluntarios[[#This Row],[E_MAIL]],SEARCH("@",T_Voluntarios[[#This Row],[E_MAIL]],1),LEN(T_Voluntarios[[#This Row],[E_MAIL]]))</f>
        <v>@gmail.com</v>
      </c>
      <c r="AQ89" s="13" t="str">
        <f>VLOOKUP(T_Voluntarios[[#This Row],[RUN]],BBDD[],37,FALSE)</f>
        <v>24</v>
      </c>
      <c r="AR89" s="2" t="str">
        <f>VLOOKUP(T_Voluntarios[[#This Row],[RUN]],BBDD[],29,FALSE)</f>
        <v>Estudiante</v>
      </c>
      <c r="AS89" s="2" t="str">
        <f>VLOOKUP(T_Voluntarios[[#This Row],[RUN]],BBDD[],30,FALSE)</f>
        <v>4 años</v>
      </c>
      <c r="AT89" s="2" t="str">
        <f>VLOOKUP(T_Voluntarios[[#This Row],[RUN]],BBDD[],31,FALSE)</f>
        <v>4 años</v>
      </c>
      <c r="AU89" s="2" t="str">
        <f>VLOOKUP(T_Voluntarios[[#This Row],[RUN]],BBDD[],32,FALSE)</f>
        <v>Soltero(a)</v>
      </c>
      <c r="AV89" s="2" t="str">
        <f>VLOOKUP(T_Voluntarios[[#This Row],[RUN]],BBDD[],33,FALSE)</f>
        <v>Catolica</v>
      </c>
      <c r="AW89" s="2" t="str">
        <f>VLOOKUP(T_Voluntarios[[#This Row],[RUN]],BBDD[],34,FALSE)</f>
        <v>Alonsetee</v>
      </c>
      <c r="AX89" s="13" t="s">
        <v>733</v>
      </c>
      <c r="AY89" s="76">
        <f>VLOOKUP(T_Voluntarios[[#This Row],[RUN]],BBDD[],2,FALSE)</f>
        <v>45789.540013503087</v>
      </c>
      <c r="AZ89" s="13" t="s">
        <v>2</v>
      </c>
    </row>
    <row r="90" spans="1:52" x14ac:dyDescent="0.3">
      <c r="A90" s="2" t="s">
        <v>287</v>
      </c>
      <c r="B90" s="2" t="str">
        <f>VLOOKUP(T_Voluntarios[[#This Row],[RUN]],BBDD[],3,FALSE)</f>
        <v>orianasaezm@gmail.com</v>
      </c>
      <c r="C90" s="2" t="str">
        <f>VLOOKUP(T_Voluntarios[[#This Row],[RUN]],BBDD[],4,FALSE)</f>
        <v>Oriana Alejandra Saez Muñoz</v>
      </c>
      <c r="D90" s="16">
        <f>VLOOKUP(T_Voluntarios[[#This Row],[RUN]],BBDD[],5,FALSE)</f>
        <v>34396</v>
      </c>
      <c r="E90" s="2" t="str">
        <f>VLOOKUP(T_Voluntarios[[#This Row],[RUN]],BBDD[],6,FALSE)</f>
        <v>San Eulogio 416</v>
      </c>
      <c r="F90" s="2" t="str">
        <f>VLOOKUP(T_Voluntarios[[#This Row],[RUN]],BBDD[],7,FALSE)</f>
        <v>Concepción</v>
      </c>
      <c r="G90" s="2" t="str">
        <f>VLOOKUP(T_Voluntarios[[#This Row],[RUN]],BBDD[],8,FALSE)</f>
        <v>Celular</v>
      </c>
      <c r="H90" s="2" t="str">
        <f>IF(VLOOKUP(T_Voluntarios[[#This Row],[RUN]],BBDD[],9,FALSE)=0,"Falta",VLOOKUP(T_Voluntarios[[#This Row],[RUN]],BBDD[],9,FALSE))</f>
        <v>+56999300814</v>
      </c>
      <c r="I90" s="2" t="str">
        <f>VLOOKUP(T_Voluntarios[[#This Row],[RUN]],BBDD[],10,FALSE)</f>
        <v>Formador(a)</v>
      </c>
      <c r="J90" s="2" t="str">
        <f>VLOOKUP(T_Voluntarios[[#This Row],[RUN]],BBDD[],11,FALSE)</f>
        <v>Rañileufu</v>
      </c>
      <c r="K90" s="2" t="str">
        <f>VLOOKUP(T_Voluntarios[[#This Row],[RUN]],BBDD[],12,FALSE)</f>
        <v>Lobatos</v>
      </c>
      <c r="L90" s="2" t="str">
        <f>VLOOKUP(T_Voluntarios[[#This Row],[RUN]],BBDD[],15,FALSE)</f>
        <v>Concepción</v>
      </c>
      <c r="M90" s="2" t="str">
        <f>VLOOKUP(T_Voluntarios[[#This Row],[RUN]],BBDD[],20,FALSE)</f>
        <v>Alimentación para Celiac@s</v>
      </c>
      <c r="N90" s="2" t="str">
        <f>VLOOKUP(T_Voluntarios[[#This Row],[RUN]],BBDD[],21,FALSE)</f>
        <v>Ninguna</v>
      </c>
      <c r="O90" s="2" t="str">
        <f>VLOOKUP(T_Voluntarios[[#This Row],[RUN]],BBDD[],22,FALSE)</f>
        <v>Ninguna</v>
      </c>
      <c r="P90" s="2" t="str">
        <f>VLOOKUP(T_Voluntarios[[#This Row],[RUN]],BBDD[],23,FALSE)</f>
        <v>Aida Muñoz, madre +5667777454</v>
      </c>
      <c r="Q90" s="2" t="str">
        <f>IF(VLOOKUP(T_Voluntarios[[#This Row],[RUN]],BBDD[],27,FALSE)=0,"",VLOOKUP(T_Voluntarios[[#This Row],[RUN]],BBDD[],27,FALSE))</f>
        <v/>
      </c>
      <c r="R90" s="2" t="str">
        <f>VLOOKUP(T_Voluntarios[[#This Row],[RUN]],BBDD[],36,FALSE)</f>
        <v>https://drive.google.com/open?id=1bbhfQVbjzIFcPKWsXYwLkwVTImpv6xsxMwufXBgA3DY</v>
      </c>
      <c r="S90" s="2" t="str">
        <f>VLOOKUP(T_Voluntarios[[#This Row],[RUN]],BBDD[],16,FALSE)</f>
        <v>Medio</v>
      </c>
      <c r="T90" s="2" t="str">
        <f>VLOOKUP(T_Voluntarios[[#This Row],[RUN]],BBDD[],17,FALSE)</f>
        <v>9553</v>
      </c>
      <c r="U90" s="2" t="str">
        <f>VLOOKUP(T_Voluntarios[[#This Row],[RUN]],BBDD[],18,FALSE)</f>
        <v>Lobatos</v>
      </c>
      <c r="V90" s="2" t="str">
        <f>VLOOKUP(T_Voluntarios[[#This Row],[RUN]],BBDD[],19,FALSE)</f>
        <v>Ninguno</v>
      </c>
      <c r="W90" s="13" t="str">
        <f>IF(OR(T_Voluntarios[[#This Row],[ROL]]="Formador(a)"),"SI","NO")</f>
        <v>SI</v>
      </c>
      <c r="X90" s="13" t="str">
        <f>IF(ISERROR(VLOOKUP(T_Voluntarios[[#This Row],[RUN]],BBDD_Formadores[],15,FALSE)),"NO",VLOOKUP(T_Voluntarios[[#This Row],[RUN]],BBDD_Formadores[],15,FALSE))</f>
        <v>SI</v>
      </c>
      <c r="Y90" s="13" t="str">
        <f>IF(ISERROR(VLOOKUP(T_Voluntarios[[#This Row],[RUN]],BBDD_Formadores[],16,FALSE)),"NO",VLOOKUP(T_Voluntarios[[#This Row],[RUN]],BBDD_Formadores[],16,FALSE))</f>
        <v>Lobatos</v>
      </c>
      <c r="Z90" s="13" t="str">
        <f>IF(ISERROR(VLOOKUP(T_Voluntarios[[#This Row],[RUN]],BBDD_Formadores[],17,FALSE)),"NO",VLOOKUP(T_Voluntarios[[#This Row],[RUN]],BBDD_Formadores[],17,FALSE))</f>
        <v>Lobatos</v>
      </c>
      <c r="AA90" s="13" t="str">
        <f>IF(ISERROR(VLOOKUP(T_Voluntarios[[#This Row],[RUN]],BBDD_Formadores[],18,FALSE)),"NO",VLOOKUP(T_Voluntarios[[#This Row],[RUN]],BBDD_Formadores[],18,FALSE))</f>
        <v>NO</v>
      </c>
      <c r="AB90" s="13">
        <v>1</v>
      </c>
      <c r="AC90" s="13" t="s">
        <v>1</v>
      </c>
      <c r="AD90" s="13" t="s">
        <v>77</v>
      </c>
      <c r="AF90" s="2" t="str">
        <f>IF(VLOOKUP(T_Voluntarios[[#This Row],[RUN]],BBDD[],25,FALSE)=0,"",VLOOKUP(T_Voluntarios[[#This Row],[RUN]],BBDD[],25,FALSE))</f>
        <v>Suzuki</v>
      </c>
      <c r="AG90" s="2" t="str">
        <f>IF(VLOOKUP(T_Voluntarios[[#This Row],[RUN]],BBDD[],26,FALSE)=0,"",VLOOKUP(T_Voluntarios[[#This Row],[RUN]],BBDD[],26,FALSE))</f>
        <v>Grand Nomade</v>
      </c>
      <c r="AH90" s="2" t="str">
        <f>IF(VLOOKUP(T_Voluntarios[[#This Row],[RUN]],BBDD[],24,FALSE)=0,"",VLOOKUP(T_Voluntarios[[#This Row],[RUN]],BBDD[],24,FALSE))</f>
        <v>HDDF-12</v>
      </c>
      <c r="AI90" s="13" t="str">
        <f>VLOOKUP(T_Voluntarios[[#This Row],[RUN]],BBDD[],28,FALSE)</f>
        <v>No</v>
      </c>
      <c r="AJ90" s="13" t="str">
        <f>VLOOKUP(T_Voluntarios[[#This Row],[RUN]],BBDD[],28,FALSE)</f>
        <v>No</v>
      </c>
      <c r="AK90" s="32">
        <f>IF(T_Voluntarios[[#This Row],[ROL]]="Participante",SUMIFS(T_Cuotas[[#All],[Total]],T_Cuotas[[#All],[RUN]],T_Voluntarios[[#This Row],[RUN]]),-1)</f>
        <v>-1</v>
      </c>
      <c r="AL90" s="13" t="s">
        <v>1</v>
      </c>
      <c r="AM90" s="13" t="s">
        <v>2029</v>
      </c>
      <c r="AP90" s="2" t="str">
        <f>MID(T_Voluntarios[[#This Row],[E_MAIL]],SEARCH("@",T_Voluntarios[[#This Row],[E_MAIL]],1),LEN(T_Voluntarios[[#This Row],[E_MAIL]]))</f>
        <v>@gmail.com</v>
      </c>
      <c r="AQ90" s="13" t="str">
        <f>VLOOKUP(T_Voluntarios[[#This Row],[RUN]],BBDD[],37,FALSE)</f>
        <v>31</v>
      </c>
      <c r="AR90" s="2" t="str">
        <f>VLOOKUP(T_Voluntarios[[#This Row],[RUN]],BBDD[],29,FALSE)</f>
        <v>Kinesiologa</v>
      </c>
      <c r="AS90" s="2" t="str">
        <f>VLOOKUP(T_Voluntarios[[#This Row],[RUN]],BBDD[],30,FALSE)</f>
        <v>10 años</v>
      </c>
      <c r="AT90" s="2" t="str">
        <f>VLOOKUP(T_Voluntarios[[#This Row],[RUN]],BBDD[],31,FALSE)</f>
        <v>10 años</v>
      </c>
      <c r="AU90" s="2" t="str">
        <f>VLOOKUP(T_Voluntarios[[#This Row],[RUN]],BBDD[],32,FALSE)</f>
        <v>Soltero(a)</v>
      </c>
      <c r="AV90" s="2" t="str">
        <f>VLOOKUP(T_Voluntarios[[#This Row],[RUN]],BBDD[],33,FALSE)</f>
        <v>Ninguna</v>
      </c>
      <c r="AW90" s="2" t="str">
        <f>VLOOKUP(T_Voluntarios[[#This Row],[RUN]],BBDD[],34,FALSE)</f>
        <v>Ori</v>
      </c>
      <c r="AX90" s="13" t="s">
        <v>733</v>
      </c>
      <c r="AY90" s="76">
        <f>VLOOKUP(T_Voluntarios[[#This Row],[RUN]],BBDD[],2,FALSE)</f>
        <v>45789.596880709876</v>
      </c>
      <c r="AZ90" s="13" t="s">
        <v>2</v>
      </c>
    </row>
    <row r="91" spans="1:52" x14ac:dyDescent="0.3">
      <c r="A91" s="2" t="s">
        <v>264</v>
      </c>
      <c r="B91" s="2" t="str">
        <f>VLOOKUP(T_Voluntarios[[#This Row],[RUN]],BBDD[],3,FALSE)</f>
        <v>liset.alarcon4@gmail.com</v>
      </c>
      <c r="C91" s="2" t="str">
        <f>VLOOKUP(T_Voluntarios[[#This Row],[RUN]],BBDD[],4,FALSE)</f>
        <v>Liset Scarlet Alarcón Ortega</v>
      </c>
      <c r="D91" s="16">
        <f>VLOOKUP(T_Voluntarios[[#This Row],[RUN]],BBDD[],5,FALSE)</f>
        <v>36315</v>
      </c>
      <c r="E91" s="2" t="str">
        <f>VLOOKUP(T_Voluntarios[[#This Row],[RUN]],BBDD[],6,FALSE)</f>
        <v>Avenida Los Copihues 286</v>
      </c>
      <c r="F91" s="2" t="str">
        <f>VLOOKUP(T_Voluntarios[[#This Row],[RUN]],BBDD[],7,FALSE)</f>
        <v>Hualpén</v>
      </c>
      <c r="G91" s="2" t="str">
        <f>VLOOKUP(T_Voluntarios[[#This Row],[RUN]],BBDD[],8,FALSE)</f>
        <v>Celular</v>
      </c>
      <c r="H91" s="2" t="str">
        <f>IF(VLOOKUP(T_Voluntarios[[#This Row],[RUN]],BBDD[],9,FALSE)=0,"Falta",VLOOKUP(T_Voluntarios[[#This Row],[RUN]],BBDD[],9,FALSE))</f>
        <v>+56974928049</v>
      </c>
      <c r="I91" s="2" t="str">
        <f>VLOOKUP(T_Voluntarios[[#This Row],[RUN]],BBDD[],10,FALSE)</f>
        <v>Formador(a)</v>
      </c>
      <c r="J91" s="2" t="str">
        <f>VLOOKUP(T_Voluntarios[[#This Row],[RUN]],BBDD[],11,FALSE)</f>
        <v>Rucapeñihue</v>
      </c>
      <c r="K91" s="2" t="str">
        <f>VLOOKUP(T_Voluntarios[[#This Row],[RUN]],BBDD[],12,FALSE)</f>
        <v>Pioneros</v>
      </c>
      <c r="L91" s="2" t="str">
        <f>VLOOKUP(T_Voluntarios[[#This Row],[RUN]],BBDD[],15,FALSE)</f>
        <v>Equipo Zonal</v>
      </c>
      <c r="M91" s="2" t="str">
        <f>VLOOKUP(T_Voluntarios[[#This Row],[RUN]],BBDD[],20,FALSE)</f>
        <v>Alimentación Tradicional</v>
      </c>
      <c r="N91" s="2" t="str">
        <f>VLOOKUP(T_Voluntarios[[#This Row],[RUN]],BBDD[],21,FALSE)</f>
        <v>Morrón/Pimentón</v>
      </c>
      <c r="O91" s="2" t="str">
        <f>VLOOKUP(T_Voluntarios[[#This Row],[RUN]],BBDD[],22,FALSE)</f>
        <v>Ninguna</v>
      </c>
      <c r="P91" s="2" t="str">
        <f>VLOOKUP(T_Voluntarios[[#This Row],[RUN]],BBDD[],23,FALSE)</f>
        <v>Raúl Alarcón, 974909538</v>
      </c>
      <c r="Q91" s="2" t="str">
        <f>IF(VLOOKUP(T_Voluntarios[[#This Row],[RUN]],BBDD[],27,FALSE)=0,"",VLOOKUP(T_Voluntarios[[#This Row],[RUN]],BBDD[],27,FALSE))</f>
        <v/>
      </c>
      <c r="R91" s="2" t="str">
        <f>VLOOKUP(T_Voluntarios[[#This Row],[RUN]],BBDD[],36,FALSE)</f>
        <v>https://drive.google.com/open?id=1PlPQhl9tUGlMI1sGT-qRa_CxWkOvIwK2</v>
      </c>
      <c r="S91" s="2" t="str">
        <f>VLOOKUP(T_Voluntarios[[#This Row],[RUN]],BBDD[],16,FALSE)</f>
        <v>Medio</v>
      </c>
      <c r="T91" s="2" t="str">
        <f>VLOOKUP(T_Voluntarios[[#This Row],[RUN]],BBDD[],17,FALSE)</f>
        <v>9965</v>
      </c>
      <c r="U91" s="2" t="str">
        <f>VLOOKUP(T_Voluntarios[[#This Row],[RUN]],BBDD[],18,FALSE)</f>
        <v>Guias, Pioneros</v>
      </c>
      <c r="V91" s="2" t="str">
        <f>VLOOKUP(T_Voluntarios[[#This Row],[RUN]],BBDD[],19,FALSE)</f>
        <v>Ninguno</v>
      </c>
      <c r="W91" s="13" t="str">
        <f>IF(OR(T_Voluntarios[[#This Row],[ROL]]="Formador(a)"),"SI","NO")</f>
        <v>SI</v>
      </c>
      <c r="X91" s="13" t="str">
        <f>IF(ISERROR(VLOOKUP(T_Voluntarios[[#This Row],[RUN]],BBDD_Formadores[],15,FALSE)),"NO",VLOOKUP(T_Voluntarios[[#This Row],[RUN]],BBDD_Formadores[],15,FALSE))</f>
        <v>SI</v>
      </c>
      <c r="Y91" s="13" t="str">
        <f>IF(ISERROR(VLOOKUP(T_Voluntarios[[#This Row],[RUN]],BBDD_Formadores[],16,FALSE)),"NO",VLOOKUP(T_Voluntarios[[#This Row],[RUN]],BBDD_Formadores[],16,FALSE))</f>
        <v>Guias</v>
      </c>
      <c r="Z91" s="13" t="str">
        <f>IF(ISERROR(VLOOKUP(T_Voluntarios[[#This Row],[RUN]],BBDD_Formadores[],17,FALSE)),"NO",VLOOKUP(T_Voluntarios[[#This Row],[RUN]],BBDD_Formadores[],17,FALSE))</f>
        <v>Guias</v>
      </c>
      <c r="AA91" s="13" t="str">
        <f>IF(ISERROR(VLOOKUP(T_Voluntarios[[#This Row],[RUN]],BBDD_Formadores[],18,FALSE)),"NO",VLOOKUP(T_Voluntarios[[#This Row],[RUN]],BBDD_Formadores[],18,FALSE))</f>
        <v>NO</v>
      </c>
      <c r="AB91" s="13">
        <v>1</v>
      </c>
      <c r="AC91" s="13" t="s">
        <v>1</v>
      </c>
      <c r="AD91" s="13" t="s">
        <v>77</v>
      </c>
      <c r="AF91" s="2" t="str">
        <f>IF(VLOOKUP(T_Voluntarios[[#This Row],[RUN]],BBDD[],25,FALSE)=0,"",VLOOKUP(T_Voluntarios[[#This Row],[RUN]],BBDD[],25,FALSE))</f>
        <v>Kia</v>
      </c>
      <c r="AG91" s="2" t="str">
        <f>IF(VLOOKUP(T_Voluntarios[[#This Row],[RUN]],BBDD[],26,FALSE)=0,"",VLOOKUP(T_Voluntarios[[#This Row],[RUN]],BBDD[],26,FALSE))</f>
        <v>Morning</v>
      </c>
      <c r="AH91" s="2" t="str">
        <f>IF(VLOOKUP(T_Voluntarios[[#This Row],[RUN]],BBDD[],24,FALSE)=0,"",VLOOKUP(T_Voluntarios[[#This Row],[RUN]],BBDD[],24,FALSE))</f>
        <v>GRWX47</v>
      </c>
      <c r="AI91" s="13" t="str">
        <f>VLOOKUP(T_Voluntarios[[#This Row],[RUN]],BBDD[],28,FALSE)</f>
        <v>SI</v>
      </c>
      <c r="AJ91" s="13" t="str">
        <f>VLOOKUP(T_Voluntarios[[#This Row],[RUN]],BBDD[],28,FALSE)</f>
        <v>SI</v>
      </c>
      <c r="AK91" s="32">
        <f>IF(T_Voluntarios[[#This Row],[ROL]]="Participante",SUMIFS(T_Cuotas[[#All],[Total]],T_Cuotas[[#All],[RUN]],T_Voluntarios[[#This Row],[RUN]]),-1)</f>
        <v>-1</v>
      </c>
      <c r="AL91" s="13" t="s">
        <v>1</v>
      </c>
      <c r="AM91" s="13" t="s">
        <v>2029</v>
      </c>
      <c r="AP91" s="2" t="str">
        <f>MID(T_Voluntarios[[#This Row],[E_MAIL]],SEARCH("@",T_Voluntarios[[#This Row],[E_MAIL]],1),LEN(T_Voluntarios[[#This Row],[E_MAIL]]))</f>
        <v>@gmail.com</v>
      </c>
      <c r="AQ91" s="13" t="str">
        <f>VLOOKUP(T_Voluntarios[[#This Row],[RUN]],BBDD[],37,FALSE)</f>
        <v>26</v>
      </c>
      <c r="AR91" s="2" t="str">
        <f>VLOOKUP(T_Voluntarios[[#This Row],[RUN]],BBDD[],29,FALSE)</f>
        <v>Psicóloga</v>
      </c>
      <c r="AS91" s="2" t="str">
        <f>VLOOKUP(T_Voluntarios[[#This Row],[RUN]],BBDD[],30,FALSE)</f>
        <v>7 años</v>
      </c>
      <c r="AT91" s="2" t="str">
        <f>VLOOKUP(T_Voluntarios[[#This Row],[RUN]],BBDD[],31,FALSE)</f>
        <v>6 años</v>
      </c>
      <c r="AU91" s="2" t="str">
        <f>VLOOKUP(T_Voluntarios[[#This Row],[RUN]],BBDD[],32,FALSE)</f>
        <v>Soltero(a)</v>
      </c>
      <c r="AV91" s="2" t="str">
        <f>VLOOKUP(T_Voluntarios[[#This Row],[RUN]],BBDD[],33,FALSE)</f>
        <v>Ninguna</v>
      </c>
      <c r="AW91" s="2" t="str">
        <f>VLOOKUP(T_Voluntarios[[#This Row],[RUN]],BBDD[],34,FALSE)</f>
        <v>Liseet</v>
      </c>
      <c r="AX91" s="13" t="s">
        <v>733</v>
      </c>
      <c r="AY91" s="76">
        <f>VLOOKUP(T_Voluntarios[[#This Row],[RUN]],BBDD[],2,FALSE)</f>
        <v>45789.610606867282</v>
      </c>
      <c r="AZ91" s="13" t="s">
        <v>2</v>
      </c>
    </row>
    <row r="92" spans="1:52" x14ac:dyDescent="0.3">
      <c r="A92" s="2" t="s">
        <v>1883</v>
      </c>
      <c r="B92" s="2" t="str">
        <f>VLOOKUP(T_Voluntarios[[#This Row],[RUN]],BBDD[],3,FALSE)</f>
        <v>treycer_c@hotmail.com</v>
      </c>
      <c r="C92" s="2" t="str">
        <f>VLOOKUP(T_Voluntarios[[#This Row],[RUN]],BBDD[],4,FALSE)</f>
        <v>Treycer Nivor Castillo Rojas</v>
      </c>
      <c r="D92" s="16">
        <f>VLOOKUP(T_Voluntarios[[#This Row],[RUN]],BBDD[],5,FALSE)</f>
        <v>32085</v>
      </c>
      <c r="E92" s="2" t="str">
        <f>VLOOKUP(T_Voluntarios[[#This Row],[RUN]],BBDD[],6,FALSE)</f>
        <v>Minero Pedro Huerta Riquelme 2270 la peña coronel</v>
      </c>
      <c r="F92" s="2" t="str">
        <f>VLOOKUP(T_Voluntarios[[#This Row],[RUN]],BBDD[],7,FALSE)</f>
        <v>Coronel</v>
      </c>
      <c r="G92" s="2" t="str">
        <f>VLOOKUP(T_Voluntarios[[#This Row],[RUN]],BBDD[],8,FALSE)</f>
        <v>Celular</v>
      </c>
      <c r="H92" s="2" t="str">
        <f>IF(VLOOKUP(T_Voluntarios[[#This Row],[RUN]],BBDD[],9,FALSE)=0,"Falta",VLOOKUP(T_Voluntarios[[#This Row],[RUN]],BBDD[],9,FALSE))</f>
        <v>+56992368169</v>
      </c>
      <c r="I92" s="2" t="str">
        <f>VLOOKUP(T_Voluntarios[[#This Row],[RUN]],BBDD[],10,FALSE)</f>
        <v>Participante</v>
      </c>
      <c r="J92" s="2" t="str">
        <f>VLOOKUP(T_Voluntarios[[#This Row],[RUN]],BBDD[],11,FALSE)</f>
        <v>Huilliche</v>
      </c>
      <c r="K92" s="2" t="str">
        <f>VLOOKUP(T_Voluntarios[[#This Row],[RUN]],BBDD[],12,FALSE)</f>
        <v>Caminantes</v>
      </c>
      <c r="L92" s="2" t="str">
        <f>VLOOKUP(T_Voluntarios[[#This Row],[RUN]],BBDD[],15,FALSE)</f>
        <v>Nahuelbuta</v>
      </c>
      <c r="M92" s="2" t="str">
        <f>VLOOKUP(T_Voluntarios[[#This Row],[RUN]],BBDD[],20,FALSE)</f>
        <v>Alimentación Tradicional</v>
      </c>
      <c r="N92" s="2" t="str">
        <f>VLOOKUP(T_Voluntarios[[#This Row],[RUN]],BBDD[],21,FALSE)</f>
        <v>Ninguna</v>
      </c>
      <c r="O92" s="2" t="str">
        <f>VLOOKUP(T_Voluntarios[[#This Row],[RUN]],BBDD[],22,FALSE)</f>
        <v>Ninguna</v>
      </c>
      <c r="P92" s="2" t="str">
        <f>VLOOKUP(T_Voluntarios[[#This Row],[RUN]],BBDD[],23,FALSE)</f>
        <v>Amanda 949936315</v>
      </c>
      <c r="Q92" s="2" t="str">
        <f>IF(VLOOKUP(T_Voluntarios[[#This Row],[RUN]],BBDD[],27,FALSE)=0,"",VLOOKUP(T_Voluntarios[[#This Row],[RUN]],BBDD[],27,FALSE))</f>
        <v/>
      </c>
      <c r="R92" s="2" t="str">
        <f>VLOOKUP(T_Voluntarios[[#This Row],[RUN]],BBDD[],36,FALSE)</f>
        <v>https://drive.google.com/open?id=1-D5DpxyCJuiDZ98KbR0IgR1JqzM1Db2x</v>
      </c>
      <c r="S92" s="2" t="str">
        <f>VLOOKUP(T_Voluntarios[[#This Row],[RUN]],BBDD[],16,FALSE)</f>
        <v>Medio</v>
      </c>
      <c r="T92" s="2" t="str">
        <f>VLOOKUP(T_Voluntarios[[#This Row],[RUN]],BBDD[],17,FALSE)</f>
        <v>8066</v>
      </c>
      <c r="U92" s="2" t="str">
        <f>VLOOKUP(T_Voluntarios[[#This Row],[RUN]],BBDD[],18,FALSE)</f>
        <v>Golondrinas</v>
      </c>
      <c r="V92" s="2" t="str">
        <f>VLOOKUP(T_Voluntarios[[#This Row],[RUN]],BBDD[],19,FALSE)</f>
        <v>Ninguno</v>
      </c>
      <c r="W92" s="13" t="str">
        <f>IF(OR(T_Voluntarios[[#This Row],[ROL]]="Formador(a)"),"SI","NO")</f>
        <v>NO</v>
      </c>
      <c r="X92" s="13" t="str">
        <f>IF(ISERROR(VLOOKUP(T_Voluntarios[[#This Row],[RUN]],BBDD_Formadores[],15,FALSE)),"NO",VLOOKUP(T_Voluntarios[[#This Row],[RUN]],BBDD_Formadores[],15,FALSE))</f>
        <v>NO</v>
      </c>
      <c r="Y92" s="13" t="str">
        <f>IF(ISERROR(VLOOKUP(T_Voluntarios[[#This Row],[RUN]],BBDD_Formadores[],16,FALSE)),"NO",VLOOKUP(T_Voluntarios[[#This Row],[RUN]],BBDD_Formadores[],16,FALSE))</f>
        <v>NO</v>
      </c>
      <c r="Z92" s="13" t="str">
        <f>IF(ISERROR(VLOOKUP(T_Voluntarios[[#This Row],[RUN]],BBDD_Formadores[],17,FALSE)),"NO",VLOOKUP(T_Voluntarios[[#This Row],[RUN]],BBDD_Formadores[],17,FALSE))</f>
        <v>NO</v>
      </c>
      <c r="AA92" s="13" t="str">
        <f>IF(ISERROR(VLOOKUP(T_Voluntarios[[#This Row],[RUN]],BBDD_Formadores[],18,FALSE)),"NO",VLOOKUP(T_Voluntarios[[#This Row],[RUN]],BBDD_Formadores[],18,FALSE))</f>
        <v>NO</v>
      </c>
      <c r="AB92" s="13">
        <v>1</v>
      </c>
      <c r="AC92" s="13" t="s">
        <v>1</v>
      </c>
      <c r="AD92" s="13" t="s">
        <v>77</v>
      </c>
      <c r="AF92" s="2" t="str">
        <f>IF(VLOOKUP(T_Voluntarios[[#This Row],[RUN]],BBDD[],25,FALSE)=0,"",VLOOKUP(T_Voluntarios[[#This Row],[RUN]],BBDD[],25,FALSE))</f>
        <v/>
      </c>
      <c r="AG92" s="2" t="str">
        <f>IF(VLOOKUP(T_Voluntarios[[#This Row],[RUN]],BBDD[],26,FALSE)=0,"",VLOOKUP(T_Voluntarios[[#This Row],[RUN]],BBDD[],26,FALSE))</f>
        <v/>
      </c>
      <c r="AH92" s="2" t="str">
        <f>IF(VLOOKUP(T_Voluntarios[[#This Row],[RUN]],BBDD[],24,FALSE)=0,"",VLOOKUP(T_Voluntarios[[#This Row],[RUN]],BBDD[],24,FALSE))</f>
        <v/>
      </c>
      <c r="AI92" s="13" t="str">
        <f>VLOOKUP(T_Voluntarios[[#This Row],[RUN]],BBDD[],28,FALSE)</f>
        <v>SI</v>
      </c>
      <c r="AJ92" s="13" t="str">
        <f>VLOOKUP(T_Voluntarios[[#This Row],[RUN]],BBDD[],28,FALSE)</f>
        <v>SI</v>
      </c>
      <c r="AK92" s="32">
        <f>IF(T_Voluntarios[[#This Row],[ROL]]="Participante",SUMIFS(T_Cuotas[[#All],[Total]],T_Cuotas[[#All],[RUN]],T_Voluntarios[[#This Row],[RUN]]),-1)</f>
        <v>50000</v>
      </c>
      <c r="AL92" s="13" t="s">
        <v>1</v>
      </c>
      <c r="AM92" s="13" t="s">
        <v>2029</v>
      </c>
      <c r="AP92" s="2" t="str">
        <f>MID(T_Voluntarios[[#This Row],[E_MAIL]],SEARCH("@",T_Voluntarios[[#This Row],[E_MAIL]],1),LEN(T_Voluntarios[[#This Row],[E_MAIL]]))</f>
        <v>@hotmail.com</v>
      </c>
      <c r="AQ92" s="13" t="str">
        <f>VLOOKUP(T_Voluntarios[[#This Row],[RUN]],BBDD[],37,FALSE)</f>
        <v>37</v>
      </c>
      <c r="AR92" s="2" t="str">
        <f>VLOOKUP(T_Voluntarios[[#This Row],[RUN]],BBDD[],29,FALSE)</f>
        <v>profesora</v>
      </c>
      <c r="AS92" s="2" t="str">
        <f>VLOOKUP(T_Voluntarios[[#This Row],[RUN]],BBDD[],30,FALSE)</f>
        <v>6 años</v>
      </c>
      <c r="AT92" s="2" t="str">
        <f>VLOOKUP(T_Voluntarios[[#This Row],[RUN]],BBDD[],31,FALSE)</f>
        <v>5</v>
      </c>
      <c r="AU92" s="2" t="str">
        <f>VLOOKUP(T_Voluntarios[[#This Row],[RUN]],BBDD[],32,FALSE)</f>
        <v>Soltero(a)</v>
      </c>
      <c r="AV92" s="2" t="str">
        <f>VLOOKUP(T_Voluntarios[[#This Row],[RUN]],BBDD[],33,FALSE)</f>
        <v>Ninguna</v>
      </c>
      <c r="AW92" s="2" t="str">
        <f>VLOOKUP(T_Voluntarios[[#This Row],[RUN]],BBDD[],34,FALSE)</f>
        <v>Titi</v>
      </c>
      <c r="AX92" s="13" t="s">
        <v>733</v>
      </c>
      <c r="AY92" s="76">
        <f>VLOOKUP(T_Voluntarios[[#This Row],[RUN]],BBDD[],2,FALSE)</f>
        <v>45789.64922511574</v>
      </c>
      <c r="AZ92" s="13" t="s">
        <v>3403</v>
      </c>
    </row>
    <row r="93" spans="1:52" x14ac:dyDescent="0.3">
      <c r="A93" s="2" t="s">
        <v>1745</v>
      </c>
      <c r="B93" s="2" t="str">
        <f>VLOOKUP(T_Voluntarios[[#This Row],[RUN]],BBDD[],3,FALSE)</f>
        <v>cristianurratrabajo@gmail.com</v>
      </c>
      <c r="C93" s="2" t="str">
        <f>VLOOKUP(T_Voluntarios[[#This Row],[RUN]],BBDD[],4,FALSE)</f>
        <v>Cristian Julian Ernesto Urra Parra</v>
      </c>
      <c r="D93" s="16">
        <f>VLOOKUP(T_Voluntarios[[#This Row],[RUN]],BBDD[],5,FALSE)</f>
        <v>26896</v>
      </c>
      <c r="E93" s="2" t="str">
        <f>VLOOKUP(T_Voluntarios[[#This Row],[RUN]],BBDD[],6,FALSE)</f>
        <v>CAMINO LOS QUILLAYES KM 2.5 INTERIOR TOMÉ</v>
      </c>
      <c r="F93" s="2" t="str">
        <f>VLOOKUP(T_Voluntarios[[#This Row],[RUN]],BBDD[],7,FALSE)</f>
        <v>Tome</v>
      </c>
      <c r="G93" s="2" t="str">
        <f>VLOOKUP(T_Voluntarios[[#This Row],[RUN]],BBDD[],8,FALSE)</f>
        <v>Celular</v>
      </c>
      <c r="H93" s="2" t="str">
        <f>IF(VLOOKUP(T_Voluntarios[[#This Row],[RUN]],BBDD[],9,FALSE)=0,"Falta",VLOOKUP(T_Voluntarios[[#This Row],[RUN]],BBDD[],9,FALSE))</f>
        <v>+56977809683</v>
      </c>
      <c r="I93" s="2" t="str">
        <f>VLOOKUP(T_Voluntarios[[#This Row],[RUN]],BBDD[],10,FALSE)</f>
        <v>Participante</v>
      </c>
      <c r="J93" s="2" t="str">
        <f>VLOOKUP(T_Voluntarios[[#This Row],[RUN]],BBDD[],11,FALSE)</f>
        <v>Monte Kenya</v>
      </c>
      <c r="K93" s="2" t="str">
        <f>VLOOKUP(T_Voluntarios[[#This Row],[RUN]],BBDD[],12,FALSE)</f>
        <v>Lobatos</v>
      </c>
      <c r="L93" s="2" t="str">
        <f>VLOOKUP(T_Voluntarios[[#This Row],[RUN]],BBDD[],15,FALSE)</f>
        <v>Nahuelbuta</v>
      </c>
      <c r="M93" s="2" t="str">
        <f>VLOOKUP(T_Voluntarios[[#This Row],[RUN]],BBDD[],20,FALSE)</f>
        <v>Alimentación Tradicional</v>
      </c>
      <c r="N93" s="2" t="str">
        <f>VLOOKUP(T_Voluntarios[[#This Row],[RUN]],BBDD[],21,FALSE)</f>
        <v>Ninguna</v>
      </c>
      <c r="O93" s="2" t="str">
        <f>VLOOKUP(T_Voluntarios[[#This Row],[RUN]],BBDD[],22,FALSE)</f>
        <v>Ninguna</v>
      </c>
      <c r="P93" s="2" t="str">
        <f>VLOOKUP(T_Voluntarios[[#This Row],[RUN]],BBDD[],23,FALSE)</f>
        <v>Esteban Celis 977707916</v>
      </c>
      <c r="Q93" s="2" t="str">
        <f>IF(VLOOKUP(T_Voluntarios[[#This Row],[RUN]],BBDD[],27,FALSE)=0,"",VLOOKUP(T_Voluntarios[[#This Row],[RUN]],BBDD[],27,FALSE))</f>
        <v/>
      </c>
      <c r="R93" s="2" t="str">
        <f>VLOOKUP(T_Voluntarios[[#This Row],[RUN]],BBDD[],36,FALSE)</f>
        <v>https://drive.google.com/open?id=1VqOERYaL2Wsnm07IZEzF7tCoCwjBG2r9</v>
      </c>
      <c r="S93" s="2" t="str">
        <f>VLOOKUP(T_Voluntarios[[#This Row],[RUN]],BBDD[],16,FALSE)</f>
        <v>Inicial</v>
      </c>
      <c r="T93" s="2" t="str">
        <f>VLOOKUP(T_Voluntarios[[#This Row],[RUN]],BBDD[],17,FALSE)</f>
        <v>Ninguno</v>
      </c>
      <c r="U93" s="2" t="str">
        <f>VLOOKUP(T_Voluntarios[[#This Row],[RUN]],BBDD[],18,FALSE)</f>
        <v>Ninguno</v>
      </c>
      <c r="V93" s="2" t="str">
        <f>VLOOKUP(T_Voluntarios[[#This Row],[RUN]],BBDD[],19,FALSE)</f>
        <v>Ninguno</v>
      </c>
      <c r="W93" s="13" t="str">
        <f>IF(OR(T_Voluntarios[[#This Row],[ROL]]="Formador(a)"),"SI","NO")</f>
        <v>NO</v>
      </c>
      <c r="X93" s="13" t="str">
        <f>IF(ISERROR(VLOOKUP(T_Voluntarios[[#This Row],[RUN]],BBDD_Formadores[],15,FALSE)),"NO",VLOOKUP(T_Voluntarios[[#This Row],[RUN]],BBDD_Formadores[],15,FALSE))</f>
        <v>NO</v>
      </c>
      <c r="Y93" s="13" t="str">
        <f>IF(ISERROR(VLOOKUP(T_Voluntarios[[#This Row],[RUN]],BBDD_Formadores[],16,FALSE)),"NO",VLOOKUP(T_Voluntarios[[#This Row],[RUN]],BBDD_Formadores[],16,FALSE))</f>
        <v>NO</v>
      </c>
      <c r="Z93" s="13" t="str">
        <f>IF(ISERROR(VLOOKUP(T_Voluntarios[[#This Row],[RUN]],BBDD_Formadores[],17,FALSE)),"NO",VLOOKUP(T_Voluntarios[[#This Row],[RUN]],BBDD_Formadores[],17,FALSE))</f>
        <v>NO</v>
      </c>
      <c r="AA93" s="13" t="str">
        <f>IF(ISERROR(VLOOKUP(T_Voluntarios[[#This Row],[RUN]],BBDD_Formadores[],18,FALSE)),"NO",VLOOKUP(T_Voluntarios[[#This Row],[RUN]],BBDD_Formadores[],18,FALSE))</f>
        <v>NO</v>
      </c>
      <c r="AB93" s="13">
        <v>1</v>
      </c>
      <c r="AC93" s="13" t="s">
        <v>1597</v>
      </c>
      <c r="AD93" s="13" t="s">
        <v>78</v>
      </c>
      <c r="AF93" s="2" t="str">
        <f>IF(VLOOKUP(T_Voluntarios[[#This Row],[RUN]],BBDD[],25,FALSE)=0,"",VLOOKUP(T_Voluntarios[[#This Row],[RUN]],BBDD[],25,FALSE))</f>
        <v/>
      </c>
      <c r="AG93" s="2" t="str">
        <f>IF(VLOOKUP(T_Voluntarios[[#This Row],[RUN]],BBDD[],26,FALSE)=0,"",VLOOKUP(T_Voluntarios[[#This Row],[RUN]],BBDD[],26,FALSE))</f>
        <v/>
      </c>
      <c r="AH93" s="2" t="str">
        <f>IF(VLOOKUP(T_Voluntarios[[#This Row],[RUN]],BBDD[],24,FALSE)=0,"",VLOOKUP(T_Voluntarios[[#This Row],[RUN]],BBDD[],24,FALSE))</f>
        <v/>
      </c>
      <c r="AI93" s="13" t="str">
        <f>VLOOKUP(T_Voluntarios[[#This Row],[RUN]],BBDD[],28,FALSE)</f>
        <v>No</v>
      </c>
      <c r="AJ93" s="13" t="str">
        <f>VLOOKUP(T_Voluntarios[[#This Row],[RUN]],BBDD[],28,FALSE)</f>
        <v>No</v>
      </c>
      <c r="AK93" s="32">
        <f>IF(T_Voluntarios[[#This Row],[ROL]]="Participante",SUMIFS(T_Cuotas[[#All],[Total]],T_Cuotas[[#All],[RUN]],T_Voluntarios[[#This Row],[RUN]]),-1)</f>
        <v>20000</v>
      </c>
      <c r="AL93" s="13" t="s">
        <v>78</v>
      </c>
      <c r="AM93" s="13" t="s">
        <v>733</v>
      </c>
      <c r="AP93" s="2" t="str">
        <f>MID(T_Voluntarios[[#This Row],[E_MAIL]],SEARCH("@",T_Voluntarios[[#This Row],[E_MAIL]],1),LEN(T_Voluntarios[[#This Row],[E_MAIL]]))</f>
        <v>@gmail.com</v>
      </c>
      <c r="AQ93" s="13" t="str">
        <f>VLOOKUP(T_Voluntarios[[#This Row],[RUN]],BBDD[],37,FALSE)</f>
        <v>51</v>
      </c>
      <c r="AR93" s="2" t="str">
        <f>VLOOKUP(T_Voluntarios[[#This Row],[RUN]],BBDD[],29,FALSE)</f>
        <v>Enfermero</v>
      </c>
      <c r="AS93" s="2" t="str">
        <f>VLOOKUP(T_Voluntarios[[#This Row],[RUN]],BBDD[],30,FALSE)</f>
        <v>0 años</v>
      </c>
      <c r="AT93" s="2" t="str">
        <f>VLOOKUP(T_Voluntarios[[#This Row],[RUN]],BBDD[],31,FALSE)</f>
        <v>25 años</v>
      </c>
      <c r="AU93" s="2" t="str">
        <f>VLOOKUP(T_Voluntarios[[#This Row],[RUN]],BBDD[],32,FALSE)</f>
        <v>Soltero(a)</v>
      </c>
      <c r="AV93" s="2" t="str">
        <f>VLOOKUP(T_Voluntarios[[#This Row],[RUN]],BBDD[],33,FALSE)</f>
        <v>cristiano</v>
      </c>
      <c r="AW93" s="2" t="str">
        <f>VLOOKUP(T_Voluntarios[[#This Row],[RUN]],BBDD[],34,FALSE)</f>
        <v>Cristian</v>
      </c>
      <c r="AX93" s="13" t="s">
        <v>733</v>
      </c>
      <c r="AY93" s="76">
        <f>VLOOKUP(T_Voluntarios[[#This Row],[RUN]],BBDD[],2,FALSE)</f>
        <v>45789.667372145064</v>
      </c>
      <c r="AZ93" s="13" t="s">
        <v>2</v>
      </c>
    </row>
    <row r="94" spans="1:52" x14ac:dyDescent="0.3">
      <c r="A94" s="2" t="s">
        <v>303</v>
      </c>
      <c r="B94" s="2" t="str">
        <f>VLOOKUP(T_Voluntarios[[#This Row],[RUN]],BBDD[],3,FALSE)</f>
        <v>amadridcani@gmail.com</v>
      </c>
      <c r="C94" s="2" t="str">
        <f>VLOOKUP(T_Voluntarios[[#This Row],[RUN]],BBDD[],4,FALSE)</f>
        <v>Ana Carolina Madrid  Canivilo</v>
      </c>
      <c r="D94" s="16">
        <f>VLOOKUP(T_Voluntarios[[#This Row],[RUN]],BBDD[],5,FALSE)</f>
        <v>27129</v>
      </c>
      <c r="E94" s="2" t="str">
        <f>VLOOKUP(T_Voluntarios[[#This Row],[RUN]],BBDD[],6,FALSE)</f>
        <v>Villa Cayucupil 696</v>
      </c>
      <c r="F94" s="2" t="str">
        <f>VLOOKUP(T_Voluntarios[[#This Row],[RUN]],BBDD[],7,FALSE)</f>
        <v>Cañete</v>
      </c>
      <c r="G94" s="2" t="str">
        <f>VLOOKUP(T_Voluntarios[[#This Row],[RUN]],BBDD[],8,FALSE)</f>
        <v>Celular</v>
      </c>
      <c r="H94" s="2" t="str">
        <f>IF(VLOOKUP(T_Voluntarios[[#This Row],[RUN]],BBDD[],9,FALSE)=0,"Falta",VLOOKUP(T_Voluntarios[[#This Row],[RUN]],BBDD[],9,FALSE))</f>
        <v>+56993509234</v>
      </c>
      <c r="I94" s="2" t="str">
        <f>VLOOKUP(T_Voluntarios[[#This Row],[RUN]],BBDD[],10,FALSE)</f>
        <v>Formador(a)</v>
      </c>
      <c r="J94" s="2" t="str">
        <f>VLOOKUP(T_Voluntarios[[#This Row],[RUN]],BBDD[],11,FALSE)</f>
        <v>Namuncura</v>
      </c>
      <c r="K94" s="2" t="str">
        <f>VLOOKUP(T_Voluntarios[[#This Row],[RUN]],BBDD[],12,FALSE)</f>
        <v>Golondrinas</v>
      </c>
      <c r="L94" s="2" t="str">
        <f>VLOOKUP(T_Voluntarios[[#This Row],[RUN]],BBDD[],15,FALSE)</f>
        <v>Nahuelbuta</v>
      </c>
      <c r="M94" s="2" t="str">
        <f>VLOOKUP(T_Voluntarios[[#This Row],[RUN]],BBDD[],20,FALSE)</f>
        <v>Alimentación Tradicional</v>
      </c>
      <c r="N94" s="2" t="str">
        <f>VLOOKUP(T_Voluntarios[[#This Row],[RUN]],BBDD[],21,FALSE)</f>
        <v>Ninguna</v>
      </c>
      <c r="O94" s="2" t="str">
        <f>VLOOKUP(T_Voluntarios[[#This Row],[RUN]],BBDD[],22,FALSE)</f>
        <v>Ninguna</v>
      </c>
      <c r="P94" s="2" t="str">
        <f>VLOOKUP(T_Voluntarios[[#This Row],[RUN]],BBDD[],23,FALSE)</f>
        <v>Carlos Hormazábal  Saez</v>
      </c>
      <c r="Q94" s="2" t="str">
        <f>IF(VLOOKUP(T_Voluntarios[[#This Row],[RUN]],BBDD[],27,FALSE)=0,"",VLOOKUP(T_Voluntarios[[#This Row],[RUN]],BBDD[],27,FALSE))</f>
        <v/>
      </c>
      <c r="R94" s="2" t="str">
        <f>VLOOKUP(T_Voluntarios[[#This Row],[RUN]],BBDD[],36,FALSE)</f>
        <v>https://drive.google.com/open?id=1ghiVKp1Gv7gelWXMftUezBju0fN1ek6n</v>
      </c>
      <c r="S94" s="2" t="str">
        <f>VLOOKUP(T_Voluntarios[[#This Row],[RUN]],BBDD[],16,FALSE)</f>
        <v>Avanzado</v>
      </c>
      <c r="T94" s="2" t="str">
        <f>VLOOKUP(T_Voluntarios[[#This Row],[RUN]],BBDD[],17,FALSE)</f>
        <v>8667</v>
      </c>
      <c r="U94" s="2" t="str">
        <f>VLOOKUP(T_Voluntarios[[#This Row],[RUN]],BBDD[],18,FALSE)</f>
        <v>Golondrinas</v>
      </c>
      <c r="V94" s="2" t="str">
        <f>VLOOKUP(T_Voluntarios[[#This Row],[RUN]],BBDD[],19,FALSE)</f>
        <v>Golondrinas</v>
      </c>
      <c r="W94" s="13" t="str">
        <f>IF(OR(T_Voluntarios[[#This Row],[ROL]]="Formador(a)"),"SI","NO")</f>
        <v>SI</v>
      </c>
      <c r="X94" s="13" t="str">
        <f>IF(ISERROR(VLOOKUP(T_Voluntarios[[#This Row],[RUN]],BBDD_Formadores[],15,FALSE)),"NO",VLOOKUP(T_Voluntarios[[#This Row],[RUN]],BBDD_Formadores[],15,FALSE))</f>
        <v>SI</v>
      </c>
      <c r="Y94" s="13" t="str">
        <f>IF(ISERROR(VLOOKUP(T_Voluntarios[[#This Row],[RUN]],BBDD_Formadores[],16,FALSE)),"NO",VLOOKUP(T_Voluntarios[[#This Row],[RUN]],BBDD_Formadores[],16,FALSE))</f>
        <v>Golondrinas</v>
      </c>
      <c r="Z94" s="13" t="str">
        <f>IF(ISERROR(VLOOKUP(T_Voluntarios[[#This Row],[RUN]],BBDD_Formadores[],17,FALSE)),"NO",VLOOKUP(T_Voluntarios[[#This Row],[RUN]],BBDD_Formadores[],17,FALSE))</f>
        <v>Ninguno</v>
      </c>
      <c r="AA94" s="13" t="str">
        <f>IF(ISERROR(VLOOKUP(T_Voluntarios[[#This Row],[RUN]],BBDD_Formadores[],18,FALSE)),"NO",VLOOKUP(T_Voluntarios[[#This Row],[RUN]],BBDD_Formadores[],18,FALSE))</f>
        <v>SI</v>
      </c>
      <c r="AB94" s="13">
        <v>1</v>
      </c>
      <c r="AC94" s="13" t="s">
        <v>1</v>
      </c>
      <c r="AD94" s="13" t="s">
        <v>77</v>
      </c>
      <c r="AF94" s="2" t="str">
        <f>IF(VLOOKUP(T_Voluntarios[[#This Row],[RUN]],BBDD[],25,FALSE)=0,"",VLOOKUP(T_Voluntarios[[#This Row],[RUN]],BBDD[],25,FALSE))</f>
        <v>Chevrolet</v>
      </c>
      <c r="AG94" s="2" t="str">
        <f>IF(VLOOKUP(T_Voluntarios[[#This Row],[RUN]],BBDD[],26,FALSE)=0,"",VLOOKUP(T_Voluntarios[[#This Row],[RUN]],BBDD[],26,FALSE))</f>
        <v>Camioneta Montana</v>
      </c>
      <c r="AH94" s="2" t="str">
        <f>IF(VLOOKUP(T_Voluntarios[[#This Row],[RUN]],BBDD[],24,FALSE)=0,"",VLOOKUP(T_Voluntarios[[#This Row],[RUN]],BBDD[],24,FALSE))</f>
        <v>SZ SH 12</v>
      </c>
      <c r="AI94" s="13" t="str">
        <f>VLOOKUP(T_Voluntarios[[#This Row],[RUN]],BBDD[],28,FALSE)</f>
        <v>No</v>
      </c>
      <c r="AJ94" s="13" t="str">
        <f>VLOOKUP(T_Voluntarios[[#This Row],[RUN]],BBDD[],28,FALSE)</f>
        <v>No</v>
      </c>
      <c r="AK94" s="32">
        <f>IF(T_Voluntarios[[#This Row],[ROL]]="Participante",SUMIFS(T_Cuotas[[#All],[Total]],T_Cuotas[[#All],[RUN]],T_Voluntarios[[#This Row],[RUN]]),-1)</f>
        <v>-1</v>
      </c>
      <c r="AL94" s="13" t="s">
        <v>1</v>
      </c>
      <c r="AM94" s="13" t="s">
        <v>2029</v>
      </c>
      <c r="AP94" s="2" t="str">
        <f>MID(T_Voluntarios[[#This Row],[E_MAIL]],SEARCH("@",T_Voluntarios[[#This Row],[E_MAIL]],1),LEN(T_Voluntarios[[#This Row],[E_MAIL]]))</f>
        <v>@gmail.com</v>
      </c>
      <c r="AQ94" s="13" t="str">
        <f>VLOOKUP(T_Voluntarios[[#This Row],[RUN]],BBDD[],37,FALSE)</f>
        <v>51</v>
      </c>
      <c r="AR94" s="2" t="str">
        <f>VLOOKUP(T_Voluntarios[[#This Row],[RUN]],BBDD[],29,FALSE)</f>
        <v>Psicóloga - Tecnico en Adm de Empresas</v>
      </c>
      <c r="AS94" s="2" t="str">
        <f>VLOOKUP(T_Voluntarios[[#This Row],[RUN]],BBDD[],30,FALSE)</f>
        <v>2 años</v>
      </c>
      <c r="AT94" s="2" t="str">
        <f>VLOOKUP(T_Voluntarios[[#This Row],[RUN]],BBDD[],31,FALSE)</f>
        <v>30 añoa</v>
      </c>
      <c r="AU94" s="2" t="str">
        <f>VLOOKUP(T_Voluntarios[[#This Row],[RUN]],BBDD[],32,FALSE)</f>
        <v>Casado(a)</v>
      </c>
      <c r="AV94" s="2" t="str">
        <f>VLOOKUP(T_Voluntarios[[#This Row],[RUN]],BBDD[],33,FALSE)</f>
        <v>Católica</v>
      </c>
      <c r="AW94" s="2" t="str">
        <f>VLOOKUP(T_Voluntarios[[#This Row],[RUN]],BBDD[],34,FALSE)</f>
        <v>Anita</v>
      </c>
      <c r="AX94" s="13" t="s">
        <v>733</v>
      </c>
      <c r="AY94" s="76">
        <f>VLOOKUP(T_Voluntarios[[#This Row],[RUN]],BBDD[],2,FALSE)</f>
        <v>45789.743734799384</v>
      </c>
      <c r="AZ94" s="13" t="s">
        <v>2</v>
      </c>
    </row>
    <row r="95" spans="1:52" x14ac:dyDescent="0.3">
      <c r="A95" s="2" t="s">
        <v>175</v>
      </c>
      <c r="B95" s="2" t="str">
        <f>VLOOKUP(T_Voluntarios[[#This Row],[RUN]],BBDD[],3,FALSE)</f>
        <v>rarnechino@guiasyscoutschile.cl</v>
      </c>
      <c r="C95" s="2" t="str">
        <f>VLOOKUP(T_Voluntarios[[#This Row],[RUN]],BBDD[],4,FALSE)</f>
        <v>Romina Paz Arnechino Arriagada</v>
      </c>
      <c r="D95" s="16">
        <f>VLOOKUP(T_Voluntarios[[#This Row],[RUN]],BBDD[],5,FALSE)</f>
        <v>32742</v>
      </c>
      <c r="E95" s="2" t="str">
        <f>VLOOKUP(T_Voluntarios[[#This Row],[RUN]],BBDD[],6,FALSE)</f>
        <v>Colón 8185 depto 208 b parque Ligure hualpen</v>
      </c>
      <c r="F95" s="2" t="str">
        <f>VLOOKUP(T_Voluntarios[[#This Row],[RUN]],BBDD[],7,FALSE)</f>
        <v>Hualpén</v>
      </c>
      <c r="G95" s="2" t="str">
        <f>VLOOKUP(T_Voluntarios[[#This Row],[RUN]],BBDD[],8,FALSE)</f>
        <v>Celular</v>
      </c>
      <c r="H95" s="2" t="str">
        <f>IF(VLOOKUP(T_Voluntarios[[#This Row],[RUN]],BBDD[],9,FALSE)=0,"Falta",VLOOKUP(T_Voluntarios[[#This Row],[RUN]],BBDD[],9,FALSE))</f>
        <v>+56948671716</v>
      </c>
      <c r="I95" s="2" t="str">
        <f>VLOOKUP(T_Voluntarios[[#This Row],[RUN]],BBDD[],10,FALSE)</f>
        <v>Formador(a)</v>
      </c>
      <c r="J95" s="2" t="str">
        <f>VLOOKUP(T_Voluntarios[[#This Row],[RUN]],BBDD[],11,FALSE)</f>
        <v>Comisión rama golondrina</v>
      </c>
      <c r="K95" s="2" t="str">
        <f>VLOOKUP(T_Voluntarios[[#This Row],[RUN]],BBDD[],12,FALSE)</f>
        <v>Golondrinas</v>
      </c>
      <c r="L95" s="2" t="str">
        <f>VLOOKUP(T_Voluntarios[[#This Row],[RUN]],BBDD[],15,FALSE)</f>
        <v>Equipo Nacional</v>
      </c>
      <c r="M95" s="2" t="str">
        <f>VLOOKUP(T_Voluntarios[[#This Row],[RUN]],BBDD[],20,FALSE)</f>
        <v>Alimentación Tradicional</v>
      </c>
      <c r="N95" s="2" t="str">
        <f>VLOOKUP(T_Voluntarios[[#This Row],[RUN]],BBDD[],21,FALSE)</f>
        <v>Ninguna</v>
      </c>
      <c r="O95" s="2" t="str">
        <f>VLOOKUP(T_Voluntarios[[#This Row],[RUN]],BBDD[],22,FALSE)</f>
        <v>Ninguna</v>
      </c>
      <c r="P95" s="2" t="str">
        <f>VLOOKUP(T_Voluntarios[[#This Row],[RUN]],BBDD[],23,FALSE)</f>
        <v>Matías villarroel Vera  +56 9 7510 2463</v>
      </c>
      <c r="Q95" s="2" t="str">
        <f>IF(VLOOKUP(T_Voluntarios[[#This Row],[RUN]],BBDD[],27,FALSE)=0,"",VLOOKUP(T_Voluntarios[[#This Row],[RUN]],BBDD[],27,FALSE))</f>
        <v>No</v>
      </c>
      <c r="R95" s="2" t="str">
        <f>VLOOKUP(T_Voluntarios[[#This Row],[RUN]],BBDD[],36,FALSE)</f>
        <v>https://drive.google.com/open?id=1CXaJ3owPhP0TKnYglUh8tDdGxMUOFh5d</v>
      </c>
      <c r="S95" s="2" t="str">
        <f>VLOOKUP(T_Voluntarios[[#This Row],[RUN]],BBDD[],16,FALSE)</f>
        <v>Avanzado</v>
      </c>
      <c r="T95" s="2" t="str">
        <f>VLOOKUP(T_Voluntarios[[#This Row],[RUN]],BBDD[],17,FALSE)</f>
        <v>7916</v>
      </c>
      <c r="U95" s="2" t="str">
        <f>VLOOKUP(T_Voluntarios[[#This Row],[RUN]],BBDD[],18,FALSE)</f>
        <v>Golondrinas</v>
      </c>
      <c r="V95" s="2" t="str">
        <f>VLOOKUP(T_Voluntarios[[#This Row],[RUN]],BBDD[],19,FALSE)</f>
        <v>Golondrinas</v>
      </c>
      <c r="W95" s="13" t="str">
        <f>IF(OR(T_Voluntarios[[#This Row],[ROL]]="Formador(a)"),"SI","NO")</f>
        <v>SI</v>
      </c>
      <c r="X95" s="13" t="str">
        <f>IF(ISERROR(VLOOKUP(T_Voluntarios[[#This Row],[RUN]],BBDD_Formadores[],15,FALSE)),"NO",VLOOKUP(T_Voluntarios[[#This Row],[RUN]],BBDD_Formadores[],15,FALSE))</f>
        <v>SI</v>
      </c>
      <c r="Y95" s="13" t="str">
        <f>IF(ISERROR(VLOOKUP(T_Voluntarios[[#This Row],[RUN]],BBDD_Formadores[],16,FALSE)),"NO",VLOOKUP(T_Voluntarios[[#This Row],[RUN]],BBDD_Formadores[],16,FALSE))</f>
        <v>Golondrinas</v>
      </c>
      <c r="Z95" s="13" t="str">
        <f>IF(ISERROR(VLOOKUP(T_Voluntarios[[#This Row],[RUN]],BBDD_Formadores[],17,FALSE)),"NO",VLOOKUP(T_Voluntarios[[#This Row],[RUN]],BBDD_Formadores[],17,FALSE))</f>
        <v>Golondrinas</v>
      </c>
      <c r="AA95" s="13" t="str">
        <f>IF(ISERROR(VLOOKUP(T_Voluntarios[[#This Row],[RUN]],BBDD_Formadores[],18,FALSE)),"NO",VLOOKUP(T_Voluntarios[[#This Row],[RUN]],BBDD_Formadores[],18,FALSE))</f>
        <v>NO</v>
      </c>
      <c r="AB95" s="13">
        <v>1</v>
      </c>
      <c r="AC95" s="13" t="s">
        <v>1</v>
      </c>
      <c r="AD95" s="13" t="s">
        <v>77</v>
      </c>
      <c r="AF95" s="2" t="str">
        <f>IF(VLOOKUP(T_Voluntarios[[#This Row],[RUN]],BBDD[],25,FALSE)=0,"",VLOOKUP(T_Voluntarios[[#This Row],[RUN]],BBDD[],25,FALSE))</f>
        <v/>
      </c>
      <c r="AG95" s="2" t="str">
        <f>IF(VLOOKUP(T_Voluntarios[[#This Row],[RUN]],BBDD[],26,FALSE)=0,"",VLOOKUP(T_Voluntarios[[#This Row],[RUN]],BBDD[],26,FALSE))</f>
        <v/>
      </c>
      <c r="AH95" s="2" t="str">
        <f>IF(VLOOKUP(T_Voluntarios[[#This Row],[RUN]],BBDD[],24,FALSE)=0,"",VLOOKUP(T_Voluntarios[[#This Row],[RUN]],BBDD[],24,FALSE))</f>
        <v/>
      </c>
      <c r="AI95" s="13" t="str">
        <f>VLOOKUP(T_Voluntarios[[#This Row],[RUN]],BBDD[],28,FALSE)</f>
        <v>No</v>
      </c>
      <c r="AJ95" s="13" t="str">
        <f>VLOOKUP(T_Voluntarios[[#This Row],[RUN]],BBDD[],28,FALSE)</f>
        <v>No</v>
      </c>
      <c r="AK95" s="32">
        <f>IF(T_Voluntarios[[#This Row],[ROL]]="Participante",SUMIFS(T_Cuotas[[#All],[Total]],T_Cuotas[[#All],[RUN]],T_Voluntarios[[#This Row],[RUN]]),-1)</f>
        <v>-1</v>
      </c>
      <c r="AL95" s="13" t="s">
        <v>1</v>
      </c>
      <c r="AM95" s="13" t="s">
        <v>2029</v>
      </c>
      <c r="AP95" s="2" t="str">
        <f>MID(T_Voluntarios[[#This Row],[E_MAIL]],SEARCH("@",T_Voluntarios[[#This Row],[E_MAIL]],1),LEN(T_Voluntarios[[#This Row],[E_MAIL]]))</f>
        <v>@guiasyscoutschile.cl</v>
      </c>
      <c r="AQ95" s="13" t="str">
        <f>VLOOKUP(T_Voluntarios[[#This Row],[RUN]],BBDD[],37,FALSE)</f>
        <v>35</v>
      </c>
      <c r="AR95" s="2" t="str">
        <f>VLOOKUP(T_Voluntarios[[#This Row],[RUN]],BBDD[],29,FALSE)</f>
        <v>Educadora de párvulos</v>
      </c>
      <c r="AS95" s="2" t="str">
        <f>VLOOKUP(T_Voluntarios[[#This Row],[RUN]],BBDD[],30,FALSE)</f>
        <v>10 años</v>
      </c>
      <c r="AT95" s="2" t="str">
        <f>VLOOKUP(T_Voluntarios[[#This Row],[RUN]],BBDD[],31,FALSE)</f>
        <v>10 años</v>
      </c>
      <c r="AU95" s="2" t="str">
        <f>VLOOKUP(T_Voluntarios[[#This Row],[RUN]],BBDD[],32,FALSE)</f>
        <v>Soltero(a)</v>
      </c>
      <c r="AV95" s="2" t="str">
        <f>VLOOKUP(T_Voluntarios[[#This Row],[RUN]],BBDD[],33,FALSE)</f>
        <v>Católica</v>
      </c>
      <c r="AW95" s="2" t="str">
        <f>VLOOKUP(T_Voluntarios[[#This Row],[RUN]],BBDD[],34,FALSE)</f>
        <v>Romi</v>
      </c>
      <c r="AX95" s="13" t="s">
        <v>733</v>
      </c>
      <c r="AY95" s="76">
        <f>VLOOKUP(T_Voluntarios[[#This Row],[RUN]],BBDD[],2,FALSE)</f>
        <v>45789.79092777778</v>
      </c>
      <c r="AZ95" s="13" t="s">
        <v>2</v>
      </c>
    </row>
    <row r="96" spans="1:52" x14ac:dyDescent="0.3">
      <c r="A96" s="2" t="s">
        <v>686</v>
      </c>
      <c r="B96" s="2" t="str">
        <f>VLOOKUP(T_Voluntarios[[#This Row],[RUN]],BBDD[],3,FALSE)</f>
        <v>ismaelsotoespi98@gmail.com</v>
      </c>
      <c r="C96" s="2" t="str">
        <f>VLOOKUP(T_Voluntarios[[#This Row],[RUN]],BBDD[],4,FALSE)</f>
        <v>Ismael Osvaldo Espinoza Soto</v>
      </c>
      <c r="D96" s="16">
        <f>VLOOKUP(T_Voluntarios[[#This Row],[RUN]],BBDD[],5,FALSE)</f>
        <v>35970</v>
      </c>
      <c r="E96" s="2" t="str">
        <f>VLOOKUP(T_Voluntarios[[#This Row],[RUN]],BBDD[],6,FALSE)</f>
        <v>camino san luis parcela 4</v>
      </c>
      <c r="F96" s="2" t="str">
        <f>VLOOKUP(T_Voluntarios[[#This Row],[RUN]],BBDD[],7,FALSE)</f>
        <v>Chillán</v>
      </c>
      <c r="G96" s="2" t="str">
        <f>VLOOKUP(T_Voluntarios[[#This Row],[RUN]],BBDD[],8,FALSE)</f>
        <v>Celular</v>
      </c>
      <c r="H96" s="2" t="str">
        <f>IF(VLOOKUP(T_Voluntarios[[#This Row],[RUN]],BBDD[],9,FALSE)=0,"Falta",VLOOKUP(T_Voluntarios[[#This Row],[RUN]],BBDD[],9,FALSE))</f>
        <v>+56987889287</v>
      </c>
      <c r="I96" s="2" t="str">
        <f>VLOOKUP(T_Voluntarios[[#This Row],[RUN]],BBDD[],10,FALSE)</f>
        <v>Formador(a)</v>
      </c>
      <c r="J96" s="2" t="str">
        <f>VLOOKUP(T_Voluntarios[[#This Row],[RUN]],BBDD[],11,FALSE)</f>
        <v>San Bartolomé</v>
      </c>
      <c r="K96" s="2" t="str">
        <f>VLOOKUP(T_Voluntarios[[#This Row],[RUN]],BBDD[],12,FALSE)</f>
        <v>Golondrinas</v>
      </c>
      <c r="L96" s="2" t="str">
        <f>VLOOKUP(T_Voluntarios[[#This Row],[RUN]],BBDD[],15,FALSE)</f>
        <v>Zona Ñuble</v>
      </c>
      <c r="M96" s="2" t="str">
        <f>VLOOKUP(T_Voluntarios[[#This Row],[RUN]],BBDD[],20,FALSE)</f>
        <v>Alimentación Tradicional</v>
      </c>
      <c r="N96" s="2" t="str">
        <f>VLOOKUP(T_Voluntarios[[#This Row],[RUN]],BBDD[],21,FALSE)</f>
        <v>Ninguna</v>
      </c>
      <c r="O96" s="2" t="str">
        <f>VLOOKUP(T_Voluntarios[[#This Row],[RUN]],BBDD[],22,FALSE)</f>
        <v>Ninguna</v>
      </c>
      <c r="P96" s="2" t="str">
        <f>VLOOKUP(T_Voluntarios[[#This Row],[RUN]],BBDD[],23,FALSE)</f>
        <v>Albina Espinoza - 984256625</v>
      </c>
      <c r="Q96" s="2" t="str">
        <f>IF(VLOOKUP(T_Voluntarios[[#This Row],[RUN]],BBDD[],27,FALSE)=0,"",VLOOKUP(T_Voluntarios[[#This Row],[RUN]],BBDD[],27,FALSE))</f>
        <v/>
      </c>
      <c r="R96" s="2" t="str">
        <f>VLOOKUP(T_Voluntarios[[#This Row],[RUN]],BBDD[],36,FALSE)</f>
        <v>https://drive.google.com/open?id=1pRsw0aQ56I5UhK3KZ2XqDYD2WKkH4Mo5</v>
      </c>
      <c r="S96" s="2" t="str">
        <f>VLOOKUP(T_Voluntarios[[#This Row],[RUN]],BBDD[],16,FALSE)</f>
        <v>Medio</v>
      </c>
      <c r="T96" s="2" t="str">
        <f>VLOOKUP(T_Voluntarios[[#This Row],[RUN]],BBDD[],17,FALSE)</f>
        <v>10409</v>
      </c>
      <c r="U96" s="2" t="str">
        <f>VLOOKUP(T_Voluntarios[[#This Row],[RUN]],BBDD[],18,FALSE)</f>
        <v>Golondrinas</v>
      </c>
      <c r="V96" s="2" t="str">
        <f>VLOOKUP(T_Voluntarios[[#This Row],[RUN]],BBDD[],19,FALSE)</f>
        <v>Ninguno</v>
      </c>
      <c r="W96" s="13" t="str">
        <f>IF(OR(T_Voluntarios[[#This Row],[ROL]]="Formador(a)"),"SI","NO")</f>
        <v>SI</v>
      </c>
      <c r="X96" s="13" t="str">
        <f>IF(ISERROR(VLOOKUP(T_Voluntarios[[#This Row],[RUN]],BBDD_Formadores[],15,FALSE)),"NO",VLOOKUP(T_Voluntarios[[#This Row],[RUN]],BBDD_Formadores[],15,FALSE))</f>
        <v>SI</v>
      </c>
      <c r="Y96" s="13" t="str">
        <f>IF(ISERROR(VLOOKUP(T_Voluntarios[[#This Row],[RUN]],BBDD_Formadores[],16,FALSE)),"NO",VLOOKUP(T_Voluntarios[[#This Row],[RUN]],BBDD_Formadores[],16,FALSE))</f>
        <v>Golondrinas</v>
      </c>
      <c r="Z96" s="13" t="str">
        <f>IF(ISERROR(VLOOKUP(T_Voluntarios[[#This Row],[RUN]],BBDD_Formadores[],17,FALSE)),"NO",VLOOKUP(T_Voluntarios[[#This Row],[RUN]],BBDD_Formadores[],17,FALSE))</f>
        <v>Golondrinas</v>
      </c>
      <c r="AA96" s="13" t="str">
        <f>IF(ISERROR(VLOOKUP(T_Voluntarios[[#This Row],[RUN]],BBDD_Formadores[],18,FALSE)),"NO",VLOOKUP(T_Voluntarios[[#This Row],[RUN]],BBDD_Formadores[],18,FALSE))</f>
        <v>NO</v>
      </c>
      <c r="AB96" s="13">
        <v>1</v>
      </c>
      <c r="AC96" s="13" t="s">
        <v>1</v>
      </c>
      <c r="AD96" s="13" t="s">
        <v>77</v>
      </c>
      <c r="AF96" s="2" t="str">
        <f>IF(VLOOKUP(T_Voluntarios[[#This Row],[RUN]],BBDD[],25,FALSE)=0,"",VLOOKUP(T_Voluntarios[[#This Row],[RUN]],BBDD[],25,FALSE))</f>
        <v/>
      </c>
      <c r="AG96" s="2" t="str">
        <f>IF(VLOOKUP(T_Voluntarios[[#This Row],[RUN]],BBDD[],26,FALSE)=0,"",VLOOKUP(T_Voluntarios[[#This Row],[RUN]],BBDD[],26,FALSE))</f>
        <v/>
      </c>
      <c r="AH96" s="2" t="str">
        <f>IF(VLOOKUP(T_Voluntarios[[#This Row],[RUN]],BBDD[],24,FALSE)=0,"",VLOOKUP(T_Voluntarios[[#This Row],[RUN]],BBDD[],24,FALSE))</f>
        <v/>
      </c>
      <c r="AI96" s="13" t="str">
        <f>VLOOKUP(T_Voluntarios[[#This Row],[RUN]],BBDD[],28,FALSE)</f>
        <v>No</v>
      </c>
      <c r="AJ96" s="13" t="str">
        <f>VLOOKUP(T_Voluntarios[[#This Row],[RUN]],BBDD[],28,FALSE)</f>
        <v>No</v>
      </c>
      <c r="AK96" s="32">
        <f>IF(T_Voluntarios[[#This Row],[ROL]]="Participante",SUMIFS(T_Cuotas[[#All],[Total]],T_Cuotas[[#All],[RUN]],T_Voluntarios[[#This Row],[RUN]]),-1)</f>
        <v>-1</v>
      </c>
      <c r="AL96" s="13" t="s">
        <v>1</v>
      </c>
      <c r="AM96" s="13" t="s">
        <v>2029</v>
      </c>
      <c r="AP96" s="2" t="str">
        <f>MID(T_Voluntarios[[#This Row],[E_MAIL]],SEARCH("@",T_Voluntarios[[#This Row],[E_MAIL]],1),LEN(T_Voluntarios[[#This Row],[E_MAIL]]))</f>
        <v>@gmail.com</v>
      </c>
      <c r="AQ96" s="13" t="str">
        <f>VLOOKUP(T_Voluntarios[[#This Row],[RUN]],BBDD[],37,FALSE)</f>
        <v>27</v>
      </c>
      <c r="AR96" s="2" t="str">
        <f>VLOOKUP(T_Voluntarios[[#This Row],[RUN]],BBDD[],29,FALSE)</f>
        <v>Nutricionista</v>
      </c>
      <c r="AS96" s="2" t="str">
        <f>VLOOKUP(T_Voluntarios[[#This Row],[RUN]],BBDD[],30,FALSE)</f>
        <v>7 años</v>
      </c>
      <c r="AT96" s="2" t="str">
        <f>VLOOKUP(T_Voluntarios[[#This Row],[RUN]],BBDD[],31,FALSE)</f>
        <v>-</v>
      </c>
      <c r="AU96" s="2" t="str">
        <f>VLOOKUP(T_Voluntarios[[#This Row],[RUN]],BBDD[],32,FALSE)</f>
        <v>Soltero(a)</v>
      </c>
      <c r="AV96" s="2" t="str">
        <f>VLOOKUP(T_Voluntarios[[#This Row],[RUN]],BBDD[],33,FALSE)</f>
        <v>Ninguna</v>
      </c>
      <c r="AW96" s="2" t="str">
        <f>VLOOKUP(T_Voluntarios[[#This Row],[RUN]],BBDD[],34,FALSE)</f>
        <v>Ismael</v>
      </c>
      <c r="AX96" s="13" t="s">
        <v>733</v>
      </c>
      <c r="AY96" s="76">
        <f>VLOOKUP(T_Voluntarios[[#This Row],[RUN]],BBDD[],2,FALSE)</f>
        <v>45789.859839891978</v>
      </c>
      <c r="AZ96" s="13" t="s">
        <v>2</v>
      </c>
    </row>
    <row r="97" spans="1:52" x14ac:dyDescent="0.3">
      <c r="A97" s="2" t="s">
        <v>138</v>
      </c>
      <c r="B97" s="2" t="str">
        <f>VLOOKUP(T_Voluntarios[[#This Row],[RUN]],BBDD[],3,FALSE)</f>
        <v>brojas@guiasyscoutschile.cl</v>
      </c>
      <c r="C97" s="2" t="str">
        <f>VLOOKUP(T_Voluntarios[[#This Row],[RUN]],BBDD[],4,FALSE)</f>
        <v>Braulio Alfredo Rojas Salas</v>
      </c>
      <c r="D97" s="16">
        <f>VLOOKUP(T_Voluntarios[[#This Row],[RUN]],BBDD[],5,FALSE)</f>
        <v>32576</v>
      </c>
      <c r="E97" s="2" t="str">
        <f>VLOOKUP(T_Voluntarios[[#This Row],[RUN]],BBDD[],6,FALSE)</f>
        <v>Avenida Santa María 7550. Depto 404 Torre B. Condominio Los Triunfadores, Valle Santa María.</v>
      </c>
      <c r="F97" s="2" t="str">
        <f>VLOOKUP(T_Voluntarios[[#This Row],[RUN]],BBDD[],7,FALSE)</f>
        <v>Hualpén</v>
      </c>
      <c r="G97" s="2" t="str">
        <f>VLOOKUP(T_Voluntarios[[#This Row],[RUN]],BBDD[],8,FALSE)</f>
        <v>Celular</v>
      </c>
      <c r="H97" s="2" t="str">
        <f>IF(VLOOKUP(T_Voluntarios[[#This Row],[RUN]],BBDD[],9,FALSE)=0,"Falta",VLOOKUP(T_Voluntarios[[#This Row],[RUN]],BBDD[],9,FALSE))</f>
        <v>+56967877580</v>
      </c>
      <c r="I97" s="2" t="str">
        <f>VLOOKUP(T_Voluntarios[[#This Row],[RUN]],BBDD[],10,FALSE)</f>
        <v>Formador(a)</v>
      </c>
      <c r="J97" s="2" t="str">
        <f>VLOOKUP(T_Voluntarios[[#This Row],[RUN]],BBDD[],11,FALSE)</f>
        <v>Equipo Nacional</v>
      </c>
      <c r="K97" s="2" t="str">
        <f>VLOOKUP(T_Voluntarios[[#This Row],[RUN]],BBDD[],12,FALSE)</f>
        <v>Scouts</v>
      </c>
      <c r="L97" s="2" t="str">
        <f>VLOOKUP(T_Voluntarios[[#This Row],[RUN]],BBDD[],15,FALSE)</f>
        <v>Nahuelbuta</v>
      </c>
      <c r="M97" s="2" t="str">
        <f>VLOOKUP(T_Voluntarios[[#This Row],[RUN]],BBDD[],20,FALSE)</f>
        <v>Alimentación Tradicional</v>
      </c>
      <c r="N97" s="2" t="str">
        <f>VLOOKUP(T_Voluntarios[[#This Row],[RUN]],BBDD[],21,FALSE)</f>
        <v>Ninguna</v>
      </c>
      <c r="O97" s="2" t="str">
        <f>VLOOKUP(T_Voluntarios[[#This Row],[RUN]],BBDD[],22,FALSE)</f>
        <v>Ninguna</v>
      </c>
      <c r="P97" s="2" t="str">
        <f>VLOOKUP(T_Voluntarios[[#This Row],[RUN]],BBDD[],23,FALSE)</f>
        <v>Laury Salas / +56966463641</v>
      </c>
      <c r="Q97" s="2" t="str">
        <f>IF(VLOOKUP(T_Voluntarios[[#This Row],[RUN]],BBDD[],27,FALSE)=0,"",VLOOKUP(T_Voluntarios[[#This Row],[RUN]],BBDD[],27,FALSE))</f>
        <v/>
      </c>
      <c r="R97" s="2" t="str">
        <f>VLOOKUP(T_Voluntarios[[#This Row],[RUN]],BBDD[],36,FALSE)</f>
        <v>https://drive.google.com/open?id=1fn3i5jXTDHoDMJB25Lcnp9rQ44SsD4I8</v>
      </c>
      <c r="S97" s="2" t="str">
        <f>VLOOKUP(T_Voluntarios[[#This Row],[RUN]],BBDD[],16,FALSE)</f>
        <v>Avanzado</v>
      </c>
      <c r="T97" s="2" t="str">
        <f>VLOOKUP(T_Voluntarios[[#This Row],[RUN]],BBDD[],17,FALSE)</f>
        <v>7212</v>
      </c>
      <c r="U97" s="2" t="str">
        <f>VLOOKUP(T_Voluntarios[[#This Row],[RUN]],BBDD[],18,FALSE)</f>
        <v>Scouts</v>
      </c>
      <c r="V97" s="2" t="str">
        <f>VLOOKUP(T_Voluntarios[[#This Row],[RUN]],BBDD[],19,FALSE)</f>
        <v>Scouts</v>
      </c>
      <c r="W97" s="13" t="str">
        <f>IF(OR(T_Voluntarios[[#This Row],[ROL]]="Formador(a)"),"SI","NO")</f>
        <v>SI</v>
      </c>
      <c r="X97" s="13" t="str">
        <f>IF(ISERROR(VLOOKUP(T_Voluntarios[[#This Row],[RUN]],BBDD_Formadores[],15,FALSE)),"NO",VLOOKUP(T_Voluntarios[[#This Row],[RUN]],BBDD_Formadores[],15,FALSE))</f>
        <v>SI</v>
      </c>
      <c r="Y97" s="13" t="str">
        <f>IF(ISERROR(VLOOKUP(T_Voluntarios[[#This Row],[RUN]],BBDD_Formadores[],16,FALSE)),"NO",VLOOKUP(T_Voluntarios[[#This Row],[RUN]],BBDD_Formadores[],16,FALSE))</f>
        <v>Scouts</v>
      </c>
      <c r="Z97" s="13" t="str">
        <f>IF(ISERROR(VLOOKUP(T_Voluntarios[[#This Row],[RUN]],BBDD_Formadores[],17,FALSE)),"NO",VLOOKUP(T_Voluntarios[[#This Row],[RUN]],BBDD_Formadores[],17,FALSE))</f>
        <v>Scouts</v>
      </c>
      <c r="AA97" s="13" t="str">
        <f>IF(ISERROR(VLOOKUP(T_Voluntarios[[#This Row],[RUN]],BBDD_Formadores[],18,FALSE)),"NO",VLOOKUP(T_Voluntarios[[#This Row],[RUN]],BBDD_Formadores[],18,FALSE))</f>
        <v>No Actualizado</v>
      </c>
      <c r="AB97" s="13">
        <v>1</v>
      </c>
      <c r="AC97" s="13" t="s">
        <v>1</v>
      </c>
      <c r="AD97" s="13" t="s">
        <v>77</v>
      </c>
      <c r="AF97" s="2" t="str">
        <f>IF(VLOOKUP(T_Voluntarios[[#This Row],[RUN]],BBDD[],25,FALSE)=0,"",VLOOKUP(T_Voluntarios[[#This Row],[RUN]],BBDD[],25,FALSE))</f>
        <v>Peugeot</v>
      </c>
      <c r="AG97" s="2" t="str">
        <f>IF(VLOOKUP(T_Voluntarios[[#This Row],[RUN]],BBDD[],26,FALSE)=0,"",VLOOKUP(T_Voluntarios[[#This Row],[RUN]],BBDD[],26,FALSE))</f>
        <v>309 GTR</v>
      </c>
      <c r="AH97" s="2" t="str">
        <f>IF(VLOOKUP(T_Voluntarios[[#This Row],[RUN]],BBDD[],24,FALSE)=0,"",VLOOKUP(T_Voluntarios[[#This Row],[RUN]],BBDD[],24,FALSE))</f>
        <v>KV7682</v>
      </c>
      <c r="AI97" s="13" t="str">
        <f>VLOOKUP(T_Voluntarios[[#This Row],[RUN]],BBDD[],28,FALSE)</f>
        <v>No</v>
      </c>
      <c r="AJ97" s="13" t="str">
        <f>VLOOKUP(T_Voluntarios[[#This Row],[RUN]],BBDD[],28,FALSE)</f>
        <v>No</v>
      </c>
      <c r="AK97" s="32">
        <f>IF(T_Voluntarios[[#This Row],[ROL]]="Participante",SUMIFS(T_Cuotas[[#All],[Total]],T_Cuotas[[#All],[RUN]],T_Voluntarios[[#This Row],[RUN]]),-1)</f>
        <v>-1</v>
      </c>
      <c r="AL97" s="13" t="s">
        <v>1</v>
      </c>
      <c r="AM97" s="13" t="s">
        <v>2029</v>
      </c>
      <c r="AP97" s="2" t="str">
        <f>MID(T_Voluntarios[[#This Row],[E_MAIL]],SEARCH("@",T_Voluntarios[[#This Row],[E_MAIL]],1),LEN(T_Voluntarios[[#This Row],[E_MAIL]]))</f>
        <v>@guiasyscoutschile.cl</v>
      </c>
      <c r="AQ97" s="13" t="str">
        <f>VLOOKUP(T_Voluntarios[[#This Row],[RUN]],BBDD[],37,FALSE)</f>
        <v>36</v>
      </c>
      <c r="AR97" s="2" t="str">
        <f>VLOOKUP(T_Voluntarios[[#This Row],[RUN]],BBDD[],29,FALSE)</f>
        <v>Licenciado en Ciencias Forestales</v>
      </c>
      <c r="AS97" s="2" t="str">
        <f>VLOOKUP(T_Voluntarios[[#This Row],[RUN]],BBDD[],30,FALSE)</f>
        <v>10 años</v>
      </c>
      <c r="AT97" s="2" t="str">
        <f>VLOOKUP(T_Voluntarios[[#This Row],[RUN]],BBDD[],31,FALSE)</f>
        <v>10 años</v>
      </c>
      <c r="AU97" s="2" t="str">
        <f>VLOOKUP(T_Voluntarios[[#This Row],[RUN]],BBDD[],32,FALSE)</f>
        <v>Soltero(a)</v>
      </c>
      <c r="AV97" s="2" t="str">
        <f>VLOOKUP(T_Voluntarios[[#This Row],[RUN]],BBDD[],33,FALSE)</f>
        <v>Ninguna</v>
      </c>
      <c r="AW97" s="2" t="str">
        <f>VLOOKUP(T_Voluntarios[[#This Row],[RUN]],BBDD[],34,FALSE)</f>
        <v>Braulio</v>
      </c>
      <c r="AX97" s="13" t="s">
        <v>733</v>
      </c>
      <c r="AY97" s="76">
        <f>VLOOKUP(T_Voluntarios[[#This Row],[RUN]],BBDD[],2,FALSE)</f>
        <v>45789.868735532407</v>
      </c>
      <c r="AZ97" s="13" t="s">
        <v>2</v>
      </c>
    </row>
    <row r="98" spans="1:52" x14ac:dyDescent="0.3">
      <c r="A98" s="2" t="s">
        <v>1758</v>
      </c>
      <c r="B98" s="2" t="str">
        <f>VLOOKUP(T_Voluntarios[[#This Row],[RUN]],BBDD[],3,FALSE)</f>
        <v>luisalfredoburgoscontreras@gmail.com</v>
      </c>
      <c r="C98" s="2" t="str">
        <f>VLOOKUP(T_Voluntarios[[#This Row],[RUN]],BBDD[],4,FALSE)</f>
        <v>Luis Alfredo Burgos Contreras</v>
      </c>
      <c r="D98" s="16">
        <f>VLOOKUP(T_Voluntarios[[#This Row],[RUN]],BBDD[],5,FALSE)</f>
        <v>32056</v>
      </c>
      <c r="E98" s="2" t="str">
        <f>VLOOKUP(T_Voluntarios[[#This Row],[RUN]],BBDD[],6,FALSE)</f>
        <v>servia 3127 poblacion el solar</v>
      </c>
      <c r="F98" s="2" t="str">
        <f>VLOOKUP(T_Voluntarios[[#This Row],[RUN]],BBDD[],7,FALSE)</f>
        <v>Hualpén</v>
      </c>
      <c r="G98" s="2" t="str">
        <f>VLOOKUP(T_Voluntarios[[#This Row],[RUN]],BBDD[],8,FALSE)</f>
        <v>Celular</v>
      </c>
      <c r="H98" s="2" t="str">
        <f>IF(VLOOKUP(T_Voluntarios[[#This Row],[RUN]],BBDD[],9,FALSE)=0,"Falta",VLOOKUP(T_Voluntarios[[#This Row],[RUN]],BBDD[],9,FALSE))</f>
        <v>+56977008466</v>
      </c>
      <c r="I98" s="2" t="str">
        <f>VLOOKUP(T_Voluntarios[[#This Row],[RUN]],BBDD[],10,FALSE)</f>
        <v>Participante</v>
      </c>
      <c r="J98" s="2" t="str">
        <f>VLOOKUP(T_Voluntarios[[#This Row],[RUN]],BBDD[],11,FALSE)</f>
        <v>Helen Keller</v>
      </c>
      <c r="K98" s="2" t="str">
        <f>VLOOKUP(T_Voluntarios[[#This Row],[RUN]],BBDD[],12,FALSE)</f>
        <v>Scouts</v>
      </c>
      <c r="L98" s="2" t="str">
        <f>VLOOKUP(T_Voluntarios[[#This Row],[RUN]],BBDD[],15,FALSE)</f>
        <v>Talcahuano - Hualpén</v>
      </c>
      <c r="M98" s="2" t="str">
        <f>VLOOKUP(T_Voluntarios[[#This Row],[RUN]],BBDD[],20,FALSE)</f>
        <v>Alimentación Tradicional</v>
      </c>
      <c r="N98" s="2" t="str">
        <f>VLOOKUP(T_Voluntarios[[#This Row],[RUN]],BBDD[],21,FALSE)</f>
        <v>Ninguna</v>
      </c>
      <c r="O98" s="2" t="str">
        <f>VLOOKUP(T_Voluntarios[[#This Row],[RUN]],BBDD[],22,FALSE)</f>
        <v>Ninguna</v>
      </c>
      <c r="P98" s="2" t="str">
        <f>VLOOKUP(T_Voluntarios[[#This Row],[RUN]],BBDD[],23,FALSE)</f>
        <v>alejandra luna +56979775151</v>
      </c>
      <c r="Q98" s="2" t="str">
        <f>IF(VLOOKUP(T_Voluntarios[[#This Row],[RUN]],BBDD[],27,FALSE)=0,"",VLOOKUP(T_Voluntarios[[#This Row],[RUN]],BBDD[],27,FALSE))</f>
        <v>tengo dos hijos pequeños y tendre que dejarlos encargados y en ncaso de emergencia me podrian llamar</v>
      </c>
      <c r="R98" s="2" t="str">
        <f>VLOOKUP(T_Voluntarios[[#This Row],[RUN]],BBDD[],36,FALSE)</f>
        <v>https://drive.google.com/open?id=1nEFCK7QcaiRvi6KJc9Jyi7Rzc6OhmtkE</v>
      </c>
      <c r="S98" s="2" t="str">
        <f>VLOOKUP(T_Voluntarios[[#This Row],[RUN]],BBDD[],16,FALSE)</f>
        <v>Inicial</v>
      </c>
      <c r="T98" s="2" t="str">
        <f>VLOOKUP(T_Voluntarios[[#This Row],[RUN]],BBDD[],17,FALSE)</f>
        <v>Ninguno</v>
      </c>
      <c r="U98" s="2" t="str">
        <f>VLOOKUP(T_Voluntarios[[#This Row],[RUN]],BBDD[],18,FALSE)</f>
        <v>Ninguno</v>
      </c>
      <c r="V98" s="2" t="str">
        <f>VLOOKUP(T_Voluntarios[[#This Row],[RUN]],BBDD[],19,FALSE)</f>
        <v>Ninguno</v>
      </c>
      <c r="W98" s="13" t="str">
        <f>IF(OR(T_Voluntarios[[#This Row],[ROL]]="Formador(a)"),"SI","NO")</f>
        <v>NO</v>
      </c>
      <c r="X98" s="13" t="str">
        <f>IF(ISERROR(VLOOKUP(T_Voluntarios[[#This Row],[RUN]],BBDD_Formadores[],15,FALSE)),"NO",VLOOKUP(T_Voluntarios[[#This Row],[RUN]],BBDD_Formadores[],15,FALSE))</f>
        <v>NO</v>
      </c>
      <c r="Y98" s="13" t="str">
        <f>IF(ISERROR(VLOOKUP(T_Voluntarios[[#This Row],[RUN]],BBDD_Formadores[],16,FALSE)),"NO",VLOOKUP(T_Voluntarios[[#This Row],[RUN]],BBDD_Formadores[],16,FALSE))</f>
        <v>NO</v>
      </c>
      <c r="Z98" s="13" t="str">
        <f>IF(ISERROR(VLOOKUP(T_Voluntarios[[#This Row],[RUN]],BBDD_Formadores[],17,FALSE)),"NO",VLOOKUP(T_Voluntarios[[#This Row],[RUN]],BBDD_Formadores[],17,FALSE))</f>
        <v>NO</v>
      </c>
      <c r="AA98" s="13" t="str">
        <f>IF(ISERROR(VLOOKUP(T_Voluntarios[[#This Row],[RUN]],BBDD_Formadores[],18,FALSE)),"NO",VLOOKUP(T_Voluntarios[[#This Row],[RUN]],BBDD_Formadores[],18,FALSE))</f>
        <v>NO</v>
      </c>
      <c r="AB98" s="13">
        <v>1</v>
      </c>
      <c r="AC98" s="13" t="s">
        <v>1</v>
      </c>
      <c r="AD98" s="13" t="s">
        <v>77</v>
      </c>
      <c r="AF98" s="2" t="str">
        <f>IF(VLOOKUP(T_Voluntarios[[#This Row],[RUN]],BBDD[],25,FALSE)=0,"",VLOOKUP(T_Voluntarios[[#This Row],[RUN]],BBDD[],25,FALSE))</f>
        <v>Hyundai</v>
      </c>
      <c r="AG98" s="2" t="str">
        <f>IF(VLOOKUP(T_Voluntarios[[#This Row],[RUN]],BBDD[],26,FALSE)=0,"",VLOOKUP(T_Voluntarios[[#This Row],[RUN]],BBDD[],26,FALSE))</f>
        <v>creta</v>
      </c>
      <c r="AH98" s="2" t="str">
        <f>IF(VLOOKUP(T_Voluntarios[[#This Row],[RUN]],BBDD[],24,FALSE)=0,"",VLOOKUP(T_Voluntarios[[#This Row],[RUN]],BBDD[],24,FALSE))</f>
        <v>klhp32</v>
      </c>
      <c r="AI98" s="13" t="str">
        <f>VLOOKUP(T_Voluntarios[[#This Row],[RUN]],BBDD[],28,FALSE)</f>
        <v>SI</v>
      </c>
      <c r="AJ98" s="13" t="str">
        <f>VLOOKUP(T_Voluntarios[[#This Row],[RUN]],BBDD[],28,FALSE)</f>
        <v>SI</v>
      </c>
      <c r="AK98" s="32">
        <f>IF(T_Voluntarios[[#This Row],[ROL]]="Participante",SUMIFS(T_Cuotas[[#All],[Total]],T_Cuotas[[#All],[RUN]],T_Voluntarios[[#This Row],[RUN]]),-1)</f>
        <v>50000</v>
      </c>
      <c r="AL98" s="13" t="s">
        <v>1</v>
      </c>
      <c r="AM98" s="13" t="s">
        <v>2029</v>
      </c>
      <c r="AP98" s="2" t="str">
        <f>MID(T_Voluntarios[[#This Row],[E_MAIL]],SEARCH("@",T_Voluntarios[[#This Row],[E_MAIL]],1),LEN(T_Voluntarios[[#This Row],[E_MAIL]]))</f>
        <v>@gmail.com</v>
      </c>
      <c r="AQ98" s="13" t="str">
        <f>VLOOKUP(T_Voluntarios[[#This Row],[RUN]],BBDD[],37,FALSE)</f>
        <v>37</v>
      </c>
      <c r="AR98" s="2" t="str">
        <f>VLOOKUP(T_Voluntarios[[#This Row],[RUN]],BBDD[],29,FALSE)</f>
        <v>tecnico en construccion</v>
      </c>
      <c r="AS98" s="2" t="str">
        <f>VLOOKUP(T_Voluntarios[[#This Row],[RUN]],BBDD[],30,FALSE)</f>
        <v>de los 7 en lobatos hasta la ruta 19 años</v>
      </c>
      <c r="AT98" s="2" t="str">
        <f>VLOOKUP(T_Voluntarios[[#This Row],[RUN]],BBDD[],31,FALSE)</f>
        <v>1 año</v>
      </c>
      <c r="AU98" s="2" t="str">
        <f>VLOOKUP(T_Voluntarios[[#This Row],[RUN]],BBDD[],32,FALSE)</f>
        <v>Soltero(a)</v>
      </c>
      <c r="AV98" s="2" t="str">
        <f>VLOOKUP(T_Voluntarios[[#This Row],[RUN]],BBDD[],33,FALSE)</f>
        <v>Catolica</v>
      </c>
      <c r="AW98" s="2" t="str">
        <f>VLOOKUP(T_Voluntarios[[#This Row],[RUN]],BBDD[],34,FALSE)</f>
        <v>luis, lucho</v>
      </c>
      <c r="AX98" s="13" t="s">
        <v>733</v>
      </c>
      <c r="AY98" s="76">
        <f>VLOOKUP(T_Voluntarios[[#This Row],[RUN]],BBDD[],2,FALSE)</f>
        <v>45789.872541396602</v>
      </c>
      <c r="AZ98" s="13" t="s">
        <v>3403</v>
      </c>
    </row>
    <row r="99" spans="1:52" ht="14.4" x14ac:dyDescent="0.3">
      <c r="A99" s="2" t="s">
        <v>1771</v>
      </c>
      <c r="B99" s="2" t="str">
        <f>VLOOKUP(T_Voluntarios[[#This Row],[RUN]],BBDD[],3,FALSE)</f>
        <v>cami.parra.lillo@gmail.com</v>
      </c>
      <c r="C99" s="2" t="str">
        <f>VLOOKUP(T_Voluntarios[[#This Row],[RUN]],BBDD[],4,FALSE)</f>
        <v>Camila Parra Lillo</v>
      </c>
      <c r="D99" s="16">
        <f>VLOOKUP(T_Voluntarios[[#This Row],[RUN]],BBDD[],5,FALSE)</f>
        <v>37093</v>
      </c>
      <c r="E99" s="2" t="str">
        <f>VLOOKUP(T_Voluntarios[[#This Row],[RUN]],BBDD[],6,FALSE)</f>
        <v>Ainavillo 1955</v>
      </c>
      <c r="F99" s="2" t="str">
        <f>VLOOKUP(T_Voluntarios[[#This Row],[RUN]],BBDD[],7,FALSE)</f>
        <v>Concepción</v>
      </c>
      <c r="G99" s="2" t="str">
        <f>VLOOKUP(T_Voluntarios[[#This Row],[RUN]],BBDD[],8,FALSE)</f>
        <v>Celular</v>
      </c>
      <c r="H99" s="2" t="str">
        <f>IF(VLOOKUP(T_Voluntarios[[#This Row],[RUN]],BBDD[],9,FALSE)=0,"Falta",VLOOKUP(T_Voluntarios[[#This Row],[RUN]],BBDD[],9,FALSE))</f>
        <v>+56956731068</v>
      </c>
      <c r="I99" s="2" t="str">
        <f>VLOOKUP(T_Voluntarios[[#This Row],[RUN]],BBDD[],10,FALSE)</f>
        <v>Participante</v>
      </c>
      <c r="J99" s="2" t="str">
        <f>VLOOKUP(T_Voluntarios[[#This Row],[RUN]],BBDD[],11,FALSE)</f>
        <v>Rañileufu</v>
      </c>
      <c r="K99" s="2" t="str">
        <f>VLOOKUP(T_Voluntarios[[#This Row],[RUN]],BBDD[],12,FALSE)</f>
        <v>Lobatos</v>
      </c>
      <c r="L99" s="2" t="str">
        <f>VLOOKUP(T_Voluntarios[[#This Row],[RUN]],BBDD[],15,FALSE)</f>
        <v>Concepción</v>
      </c>
      <c r="M99" s="2" t="str">
        <f>VLOOKUP(T_Voluntarios[[#This Row],[RUN]],BBDD[],20,FALSE)</f>
        <v>Sin Almuerzo</v>
      </c>
      <c r="N99" s="2" t="str">
        <f>VLOOKUP(T_Voluntarios[[#This Row],[RUN]],BBDD[],21,FALSE)</f>
        <v>Ninguna</v>
      </c>
      <c r="O99" s="2" t="str">
        <f>VLOOKUP(T_Voluntarios[[#This Row],[RUN]],BBDD[],22,FALSE)</f>
        <v>Ninguna</v>
      </c>
      <c r="P99" s="2" t="str">
        <f>VLOOKUP(T_Voluntarios[[#This Row],[RUN]],BBDD[],23,FALSE)</f>
        <v>Rosa Lillo +56956731068</v>
      </c>
      <c r="Q99" s="2" t="str">
        <f>IF(VLOOKUP(T_Voluntarios[[#This Row],[RUN]],BBDD[],27,FALSE)=0,"",VLOOKUP(T_Voluntarios[[#This Row],[RUN]],BBDD[],27,FALSE))</f>
        <v/>
      </c>
      <c r="R99" s="2" t="str">
        <f>VLOOKUP(T_Voluntarios[[#This Row],[RUN]],BBDD[],36,FALSE)</f>
        <v>https://drive.google.com/open?id=1z-WzkyCnYgeYt_QpFgIMpr7LjZBhtBsf</v>
      </c>
      <c r="S99" s="2" t="str">
        <f>VLOOKUP(T_Voluntarios[[#This Row],[RUN]],BBDD[],16,FALSE)</f>
        <v>Inicial</v>
      </c>
      <c r="T99" s="2" t="str">
        <f>VLOOKUP(T_Voluntarios[[#This Row],[RUN]],BBDD[],17,FALSE)</f>
        <v>Ninguno</v>
      </c>
      <c r="U99" s="2" t="str">
        <f>VLOOKUP(T_Voluntarios[[#This Row],[RUN]],BBDD[],18,FALSE)</f>
        <v>Ninguno</v>
      </c>
      <c r="V99" s="2" t="str">
        <f>VLOOKUP(T_Voluntarios[[#This Row],[RUN]],BBDD[],19,FALSE)</f>
        <v>Ninguno</v>
      </c>
      <c r="W99" s="13" t="str">
        <f>IF(OR(T_Voluntarios[[#This Row],[ROL]]="Formador(a)"),"SI","NO")</f>
        <v>NO</v>
      </c>
      <c r="X99" s="13" t="str">
        <f>IF(ISERROR(VLOOKUP(T_Voluntarios[[#This Row],[RUN]],BBDD_Formadores[],15,FALSE)),"NO",VLOOKUP(T_Voluntarios[[#This Row],[RUN]],BBDD_Formadores[],15,FALSE))</f>
        <v>NO</v>
      </c>
      <c r="Y99" s="13" t="str">
        <f>IF(ISERROR(VLOOKUP(T_Voluntarios[[#This Row],[RUN]],BBDD_Formadores[],16,FALSE)),"NO",VLOOKUP(T_Voluntarios[[#This Row],[RUN]],BBDD_Formadores[],16,FALSE))</f>
        <v>NO</v>
      </c>
      <c r="Z99" s="13" t="str">
        <f>IF(ISERROR(VLOOKUP(T_Voluntarios[[#This Row],[RUN]],BBDD_Formadores[],17,FALSE)),"NO",VLOOKUP(T_Voluntarios[[#This Row],[RUN]],BBDD_Formadores[],17,FALSE))</f>
        <v>NO</v>
      </c>
      <c r="AA99" s="13" t="str">
        <f>IF(ISERROR(VLOOKUP(T_Voluntarios[[#This Row],[RUN]],BBDD_Formadores[],18,FALSE)),"NO",VLOOKUP(T_Voluntarios[[#This Row],[RUN]],BBDD_Formadores[],18,FALSE))</f>
        <v>NO</v>
      </c>
      <c r="AB99" s="13">
        <v>1</v>
      </c>
      <c r="AC99" s="13" t="s">
        <v>1597</v>
      </c>
      <c r="AD99" s="13" t="s">
        <v>78</v>
      </c>
      <c r="AF99" s="2" t="str">
        <f>IF(VLOOKUP(T_Voluntarios[[#This Row],[RUN]],BBDD[],25,FALSE)=0,"",VLOOKUP(T_Voluntarios[[#This Row],[RUN]],BBDD[],25,FALSE))</f>
        <v/>
      </c>
      <c r="AG99" s="2" t="str">
        <f>IF(VLOOKUP(T_Voluntarios[[#This Row],[RUN]],BBDD[],26,FALSE)=0,"",VLOOKUP(T_Voluntarios[[#This Row],[RUN]],BBDD[],26,FALSE))</f>
        <v/>
      </c>
      <c r="AH99" s="2" t="str">
        <f>IF(VLOOKUP(T_Voluntarios[[#This Row],[RUN]],BBDD[],24,FALSE)=0,"",VLOOKUP(T_Voluntarios[[#This Row],[RUN]],BBDD[],24,FALSE))</f>
        <v/>
      </c>
      <c r="AI99" s="13" t="str">
        <f>VLOOKUP(T_Voluntarios[[#This Row],[RUN]],BBDD[],28,FALSE)</f>
        <v>No</v>
      </c>
      <c r="AJ99" s="13" t="str">
        <f>VLOOKUP(T_Voluntarios[[#This Row],[RUN]],BBDD[],28,FALSE)</f>
        <v>No</v>
      </c>
      <c r="AK99" s="32">
        <f>IF(T_Voluntarios[[#This Row],[ROL]]="Participante",SUMIFS(T_Cuotas[[#All],[Total]],T_Cuotas[[#All],[RUN]],T_Voluntarios[[#This Row],[RUN]]),-1)</f>
        <v>0</v>
      </c>
      <c r="AL99" s="1" t="s">
        <v>78</v>
      </c>
      <c r="AM99" s="13" t="s">
        <v>733</v>
      </c>
      <c r="AP99" s="2" t="str">
        <f>MID(T_Voluntarios[[#This Row],[E_MAIL]],SEARCH("@",T_Voluntarios[[#This Row],[E_MAIL]],1),LEN(T_Voluntarios[[#This Row],[E_MAIL]]))</f>
        <v>@gmail.com</v>
      </c>
      <c r="AQ99" s="13" t="str">
        <f>VLOOKUP(T_Voluntarios[[#This Row],[RUN]],BBDD[],37,FALSE)</f>
        <v>23</v>
      </c>
      <c r="AR99" s="2" t="str">
        <f>VLOOKUP(T_Voluntarios[[#This Row],[RUN]],BBDD[],29,FALSE)</f>
        <v>Estudiante en trabajo social</v>
      </c>
      <c r="AS99" s="2" t="str">
        <f>VLOOKUP(T_Voluntarios[[#This Row],[RUN]],BBDD[],30,FALSE)</f>
        <v>3 años</v>
      </c>
      <c r="AT99" s="2" t="str">
        <f>VLOOKUP(T_Voluntarios[[#This Row],[RUN]],BBDD[],31,FALSE)</f>
        <v>1 año</v>
      </c>
      <c r="AU99" s="2" t="str">
        <f>VLOOKUP(T_Voluntarios[[#This Row],[RUN]],BBDD[],32,FALSE)</f>
        <v>Soltero(a)</v>
      </c>
      <c r="AV99" s="2" t="str">
        <f>VLOOKUP(T_Voluntarios[[#This Row],[RUN]],BBDD[],33,FALSE)</f>
        <v>Católica</v>
      </c>
      <c r="AW99" s="2" t="str">
        <f>VLOOKUP(T_Voluntarios[[#This Row],[RUN]],BBDD[],34,FALSE)</f>
        <v>Cami</v>
      </c>
      <c r="AX99" s="13" t="s">
        <v>733</v>
      </c>
      <c r="AY99" s="76">
        <f>VLOOKUP(T_Voluntarios[[#This Row],[RUN]],BBDD[],2,FALSE)</f>
        <v>45789.973480979941</v>
      </c>
      <c r="AZ99" s="13" t="s">
        <v>2</v>
      </c>
    </row>
    <row r="100" spans="1:52" x14ac:dyDescent="0.3">
      <c r="A100" s="2" t="s">
        <v>1780</v>
      </c>
      <c r="B100" s="2" t="str">
        <f>VLOOKUP(T_Voluntarios[[#This Row],[RUN]],BBDD[],3,FALSE)</f>
        <v>aabrantepe@gmail.com</v>
      </c>
      <c r="C100" s="2" t="str">
        <f>VLOOKUP(T_Voluntarios[[#This Row],[RUN]],BBDD[],4,FALSE)</f>
        <v>Antonia Alejandra Brante Peña</v>
      </c>
      <c r="D100" s="16">
        <f>VLOOKUP(T_Voluntarios[[#This Row],[RUN]],BBDD[],5,FALSE)</f>
        <v>37767</v>
      </c>
      <c r="E100" s="2" t="str">
        <f>VLOOKUP(T_Voluntarios[[#This Row],[RUN]],BBDD[],6,FALSE)</f>
        <v>Las Rosas 1636</v>
      </c>
      <c r="F100" s="2" t="str">
        <f>VLOOKUP(T_Voluntarios[[#This Row],[RUN]],BBDD[],7,FALSE)</f>
        <v>San Pedro De La Paz</v>
      </c>
      <c r="G100" s="2" t="str">
        <f>VLOOKUP(T_Voluntarios[[#This Row],[RUN]],BBDD[],8,FALSE)</f>
        <v>Celular</v>
      </c>
      <c r="H100" s="2" t="str">
        <f>IF(VLOOKUP(T_Voluntarios[[#This Row],[RUN]],BBDD[],9,FALSE)=0,"Falta",VLOOKUP(T_Voluntarios[[#This Row],[RUN]],BBDD[],9,FALSE))</f>
        <v>+56942943701</v>
      </c>
      <c r="I100" s="2" t="str">
        <f>VLOOKUP(T_Voluntarios[[#This Row],[RUN]],BBDD[],10,FALSE)</f>
        <v>Participante</v>
      </c>
      <c r="J100" s="2" t="str">
        <f>VLOOKUP(T_Voluntarios[[#This Row],[RUN]],BBDD[],11,FALSE)</f>
        <v>Rañileufu</v>
      </c>
      <c r="K100" s="2" t="str">
        <f>VLOOKUP(T_Voluntarios[[#This Row],[RUN]],BBDD[],12,FALSE)</f>
        <v>Lobatos</v>
      </c>
      <c r="L100" s="2" t="str">
        <f>VLOOKUP(T_Voluntarios[[#This Row],[RUN]],BBDD[],15,FALSE)</f>
        <v>Concepción</v>
      </c>
      <c r="M100" s="2" t="str">
        <f>VLOOKUP(T_Voluntarios[[#This Row],[RUN]],BBDD[],20,FALSE)</f>
        <v>Sin Almuerzo</v>
      </c>
      <c r="N100" s="2" t="str">
        <f>VLOOKUP(T_Voluntarios[[#This Row],[RUN]],BBDD[],21,FALSE)</f>
        <v>Ninguna</v>
      </c>
      <c r="O100" s="2" t="str">
        <f>VLOOKUP(T_Voluntarios[[#This Row],[RUN]],BBDD[],22,FALSE)</f>
        <v>Ninguna</v>
      </c>
      <c r="P100" s="2" t="str">
        <f>VLOOKUP(T_Voluntarios[[#This Row],[RUN]],BBDD[],23,FALSE)</f>
        <v>Andrés Brante +56 9 6236 1316</v>
      </c>
      <c r="Q100" s="2" t="str">
        <f>IF(VLOOKUP(T_Voluntarios[[#This Row],[RUN]],BBDD[],27,FALSE)=0,"",VLOOKUP(T_Voluntarios[[#This Row],[RUN]],BBDD[],27,FALSE))</f>
        <v/>
      </c>
      <c r="R100" s="2" t="str">
        <f>VLOOKUP(T_Voluntarios[[#This Row],[RUN]],BBDD[],36,FALSE)</f>
        <v>https://drive.google.com/open?id=1eMo8xfYxiHy-kfY4ct9Yw8JiLrcXMqp7</v>
      </c>
      <c r="S100" s="2" t="str">
        <f>VLOOKUP(T_Voluntarios[[#This Row],[RUN]],BBDD[],16,FALSE)</f>
        <v>Inicial</v>
      </c>
      <c r="T100" s="2" t="str">
        <f>VLOOKUP(T_Voluntarios[[#This Row],[RUN]],BBDD[],17,FALSE)</f>
        <v>Ninguno</v>
      </c>
      <c r="U100" s="2" t="str">
        <f>VLOOKUP(T_Voluntarios[[#This Row],[RUN]],BBDD[],18,FALSE)</f>
        <v>Ninguno</v>
      </c>
      <c r="V100" s="2" t="str">
        <f>VLOOKUP(T_Voluntarios[[#This Row],[RUN]],BBDD[],19,FALSE)</f>
        <v>Ninguno</v>
      </c>
      <c r="W100" s="13" t="str">
        <f>IF(OR(T_Voluntarios[[#This Row],[ROL]]="Formador(a)"),"SI","NO")</f>
        <v>NO</v>
      </c>
      <c r="X100" s="13" t="str">
        <f>IF(ISERROR(VLOOKUP(T_Voluntarios[[#This Row],[RUN]],BBDD_Formadores[],15,FALSE)),"NO",VLOOKUP(T_Voluntarios[[#This Row],[RUN]],BBDD_Formadores[],15,FALSE))</f>
        <v>NO</v>
      </c>
      <c r="Y100" s="13" t="str">
        <f>IF(ISERROR(VLOOKUP(T_Voluntarios[[#This Row],[RUN]],BBDD_Formadores[],16,FALSE)),"NO",VLOOKUP(T_Voluntarios[[#This Row],[RUN]],BBDD_Formadores[],16,FALSE))</f>
        <v>NO</v>
      </c>
      <c r="Z100" s="13" t="str">
        <f>IF(ISERROR(VLOOKUP(T_Voluntarios[[#This Row],[RUN]],BBDD_Formadores[],17,FALSE)),"NO",VLOOKUP(T_Voluntarios[[#This Row],[RUN]],BBDD_Formadores[],17,FALSE))</f>
        <v>NO</v>
      </c>
      <c r="AA100" s="13" t="str">
        <f>IF(ISERROR(VLOOKUP(T_Voluntarios[[#This Row],[RUN]],BBDD_Formadores[],18,FALSE)),"NO",VLOOKUP(T_Voluntarios[[#This Row],[RUN]],BBDD_Formadores[],18,FALSE))</f>
        <v>NO</v>
      </c>
      <c r="AB100" s="13">
        <v>1</v>
      </c>
      <c r="AC100" s="13" t="s">
        <v>1</v>
      </c>
      <c r="AD100" s="13" t="s">
        <v>77</v>
      </c>
      <c r="AF100" s="2" t="str">
        <f>IF(VLOOKUP(T_Voluntarios[[#This Row],[RUN]],BBDD[],25,FALSE)=0,"",VLOOKUP(T_Voluntarios[[#This Row],[RUN]],BBDD[],25,FALSE))</f>
        <v/>
      </c>
      <c r="AG100" s="2" t="str">
        <f>IF(VLOOKUP(T_Voluntarios[[#This Row],[RUN]],BBDD[],26,FALSE)=0,"",VLOOKUP(T_Voluntarios[[#This Row],[RUN]],BBDD[],26,FALSE))</f>
        <v/>
      </c>
      <c r="AH100" s="2" t="str">
        <f>IF(VLOOKUP(T_Voluntarios[[#This Row],[RUN]],BBDD[],24,FALSE)=0,"",VLOOKUP(T_Voluntarios[[#This Row],[RUN]],BBDD[],24,FALSE))</f>
        <v/>
      </c>
      <c r="AI100" s="13" t="str">
        <f>VLOOKUP(T_Voluntarios[[#This Row],[RUN]],BBDD[],28,FALSE)</f>
        <v>No</v>
      </c>
      <c r="AJ100" s="13" t="str">
        <f>VLOOKUP(T_Voluntarios[[#This Row],[RUN]],BBDD[],28,FALSE)</f>
        <v>No</v>
      </c>
      <c r="AK100" s="32">
        <f>IF(T_Voluntarios[[#This Row],[ROL]]="Participante",SUMIFS(T_Cuotas[[#All],[Total]],T_Cuotas[[#All],[RUN]],T_Voluntarios[[#This Row],[RUN]]),-1)</f>
        <v>36500</v>
      </c>
      <c r="AL100" s="13" t="s">
        <v>1</v>
      </c>
      <c r="AM100" s="13" t="s">
        <v>2029</v>
      </c>
      <c r="AP100" s="2" t="str">
        <f>MID(T_Voluntarios[[#This Row],[E_MAIL]],SEARCH("@",T_Voluntarios[[#This Row],[E_MAIL]],1),LEN(T_Voluntarios[[#This Row],[E_MAIL]]))</f>
        <v>@gmail.com</v>
      </c>
      <c r="AQ100" s="13" t="str">
        <f>VLOOKUP(T_Voluntarios[[#This Row],[RUN]],BBDD[],37,FALSE)</f>
        <v>22</v>
      </c>
      <c r="AR100" s="2" t="str">
        <f>VLOOKUP(T_Voluntarios[[#This Row],[RUN]],BBDD[],29,FALSE)</f>
        <v>Estudiante universitaria</v>
      </c>
      <c r="AS100" s="2" t="str">
        <f>VLOOKUP(T_Voluntarios[[#This Row],[RUN]],BBDD[],30,FALSE)</f>
        <v>8 años</v>
      </c>
      <c r="AT100" s="2" t="str">
        <f>VLOOKUP(T_Voluntarios[[#This Row],[RUN]],BBDD[],31,FALSE)</f>
        <v>3 meses</v>
      </c>
      <c r="AU100" s="2" t="str">
        <f>VLOOKUP(T_Voluntarios[[#This Row],[RUN]],BBDD[],32,FALSE)</f>
        <v>Soltero(a)</v>
      </c>
      <c r="AV100" s="2" t="str">
        <f>VLOOKUP(T_Voluntarios[[#This Row],[RUN]],BBDD[],33,FALSE)</f>
        <v>Ninguna</v>
      </c>
      <c r="AW100" s="2" t="str">
        <f>VLOOKUP(T_Voluntarios[[#This Row],[RUN]],BBDD[],34,FALSE)</f>
        <v>Antonia</v>
      </c>
      <c r="AX100" s="13" t="s">
        <v>733</v>
      </c>
      <c r="AY100" s="76">
        <f>VLOOKUP(T_Voluntarios[[#This Row],[RUN]],BBDD[],2,FALSE)</f>
        <v>45790.02473410494</v>
      </c>
      <c r="AZ100" s="13" t="s">
        <v>3403</v>
      </c>
    </row>
    <row r="101" spans="1:52" x14ac:dyDescent="0.3">
      <c r="A101" s="2" t="s">
        <v>251</v>
      </c>
      <c r="B101" s="2" t="str">
        <f>VLOOKUP(T_Voluntarios[[#This Row],[RUN]],BBDD[],3,FALSE)</f>
        <v>eric.munoz.bel@gmail.com</v>
      </c>
      <c r="C101" s="2" t="str">
        <f>VLOOKUP(T_Voluntarios[[#This Row],[RUN]],BBDD[],4,FALSE)</f>
        <v>Eric Edison Eduardo Muñoz Beltran</v>
      </c>
      <c r="D101" s="16">
        <f>VLOOKUP(T_Voluntarios[[#This Row],[RUN]],BBDD[],5,FALSE)</f>
        <v>34703</v>
      </c>
      <c r="E101" s="2" t="str">
        <f>VLOOKUP(T_Voluntarios[[#This Row],[RUN]],BBDD[],6,FALSE)</f>
        <v>Pio Baroja 1541</v>
      </c>
      <c r="F101" s="2" t="str">
        <f>VLOOKUP(T_Voluntarios[[#This Row],[RUN]],BBDD[],7,FALSE)</f>
        <v>Concepción</v>
      </c>
      <c r="G101" s="2" t="str">
        <f>VLOOKUP(T_Voluntarios[[#This Row],[RUN]],BBDD[],8,FALSE)</f>
        <v>Celular</v>
      </c>
      <c r="H101" s="2" t="str">
        <f>IF(VLOOKUP(T_Voluntarios[[#This Row],[RUN]],BBDD[],9,FALSE)=0,"Falta",VLOOKUP(T_Voluntarios[[#This Row],[RUN]],BBDD[],9,FALSE))</f>
        <v>+56985377591</v>
      </c>
      <c r="I101" s="2" t="str">
        <f>VLOOKUP(T_Voluntarios[[#This Row],[RUN]],BBDD[],10,FALSE)</f>
        <v>Formador(a)</v>
      </c>
      <c r="J101" s="2" t="str">
        <f>VLOOKUP(T_Voluntarios[[#This Row],[RUN]],BBDD[],11,FALSE)</f>
        <v>Rañileufu</v>
      </c>
      <c r="K101" s="2" t="str">
        <f>VLOOKUP(T_Voluntarios[[#This Row],[RUN]],BBDD[],12,FALSE)</f>
        <v>Pioneros</v>
      </c>
      <c r="L101" s="2" t="str">
        <f>VLOOKUP(T_Voluntarios[[#This Row],[RUN]],BBDD[],15,FALSE)</f>
        <v>Concepción</v>
      </c>
      <c r="M101" s="2" t="str">
        <f>VLOOKUP(T_Voluntarios[[#This Row],[RUN]],BBDD[],20,FALSE)</f>
        <v>Alimentación Tradicional</v>
      </c>
      <c r="N101" s="2" t="str">
        <f>VLOOKUP(T_Voluntarios[[#This Row],[RUN]],BBDD[],21,FALSE)</f>
        <v>Ninguna</v>
      </c>
      <c r="O101" s="2" t="str">
        <f>VLOOKUP(T_Voluntarios[[#This Row],[RUN]],BBDD[],22,FALSE)</f>
        <v>Ninguna</v>
      </c>
      <c r="P101" s="2" t="str">
        <f>VLOOKUP(T_Voluntarios[[#This Row],[RUN]],BBDD[],23,FALSE)</f>
        <v>Pedro Muñoz, 94320599</v>
      </c>
      <c r="Q101" s="2" t="str">
        <f>IF(VLOOKUP(T_Voluntarios[[#This Row],[RUN]],BBDD[],27,FALSE)=0,"",VLOOKUP(T_Voluntarios[[#This Row],[RUN]],BBDD[],27,FALSE))</f>
        <v/>
      </c>
      <c r="R101" s="2" t="str">
        <f>VLOOKUP(T_Voluntarios[[#This Row],[RUN]],BBDD[],36,FALSE)</f>
        <v>https://drive.google.com/open?id=1i5nWGimh6gLFc95G0J_O32HtznOCTqeI</v>
      </c>
      <c r="S101" s="2" t="str">
        <f>VLOOKUP(T_Voluntarios[[#This Row],[RUN]],BBDD[],16,FALSE)</f>
        <v>Medio</v>
      </c>
      <c r="T101" s="2" t="str">
        <f>VLOOKUP(T_Voluntarios[[#This Row],[RUN]],BBDD[],17,FALSE)</f>
        <v>9464</v>
      </c>
      <c r="U101" s="2" t="str">
        <f>VLOOKUP(T_Voluntarios[[#This Row],[RUN]],BBDD[],18,FALSE)</f>
        <v>Pioneros</v>
      </c>
      <c r="V101" s="2" t="str">
        <f>VLOOKUP(T_Voluntarios[[#This Row],[RUN]],BBDD[],19,FALSE)</f>
        <v>Ninguno</v>
      </c>
      <c r="W101" s="13" t="str">
        <f>IF(OR(T_Voluntarios[[#This Row],[ROL]]="Formador(a)"),"SI","NO")</f>
        <v>SI</v>
      </c>
      <c r="X101" s="13" t="str">
        <f>IF(ISERROR(VLOOKUP(T_Voluntarios[[#This Row],[RUN]],BBDD_Formadores[],15,FALSE)),"NO",VLOOKUP(T_Voluntarios[[#This Row],[RUN]],BBDD_Formadores[],15,FALSE))</f>
        <v>SI</v>
      </c>
      <c r="Y101" s="13" t="str">
        <f>IF(ISERROR(VLOOKUP(T_Voluntarios[[#This Row],[RUN]],BBDD_Formadores[],16,FALSE)),"NO",VLOOKUP(T_Voluntarios[[#This Row],[RUN]],BBDD_Formadores[],16,FALSE))</f>
        <v>Pioneros</v>
      </c>
      <c r="Z101" s="13" t="str">
        <f>IF(ISERROR(VLOOKUP(T_Voluntarios[[#This Row],[RUN]],BBDD_Formadores[],17,FALSE)),"NO",VLOOKUP(T_Voluntarios[[#This Row],[RUN]],BBDD_Formadores[],17,FALSE))</f>
        <v>Pioneros</v>
      </c>
      <c r="AA101" s="13" t="str">
        <f>IF(ISERROR(VLOOKUP(T_Voluntarios[[#This Row],[RUN]],BBDD_Formadores[],18,FALSE)),"NO",VLOOKUP(T_Voluntarios[[#This Row],[RUN]],BBDD_Formadores[],18,FALSE))</f>
        <v>NO</v>
      </c>
      <c r="AB101" s="13">
        <v>1</v>
      </c>
      <c r="AC101" s="13" t="s">
        <v>1</v>
      </c>
      <c r="AD101" s="13" t="s">
        <v>77</v>
      </c>
      <c r="AF101" s="2" t="str">
        <f>IF(VLOOKUP(T_Voluntarios[[#This Row],[RUN]],BBDD[],25,FALSE)=0,"",VLOOKUP(T_Voluntarios[[#This Row],[RUN]],BBDD[],25,FALSE))</f>
        <v/>
      </c>
      <c r="AG101" s="2" t="str">
        <f>IF(VLOOKUP(T_Voluntarios[[#This Row],[RUN]],BBDD[],26,FALSE)=0,"",VLOOKUP(T_Voluntarios[[#This Row],[RUN]],BBDD[],26,FALSE))</f>
        <v/>
      </c>
      <c r="AH101" s="2" t="str">
        <f>IF(VLOOKUP(T_Voluntarios[[#This Row],[RUN]],BBDD[],24,FALSE)=0,"",VLOOKUP(T_Voluntarios[[#This Row],[RUN]],BBDD[],24,FALSE))</f>
        <v/>
      </c>
      <c r="AI101" s="13" t="str">
        <f>VLOOKUP(T_Voluntarios[[#This Row],[RUN]],BBDD[],28,FALSE)</f>
        <v>No</v>
      </c>
      <c r="AJ101" s="13" t="str">
        <f>VLOOKUP(T_Voluntarios[[#This Row],[RUN]],BBDD[],28,FALSE)</f>
        <v>No</v>
      </c>
      <c r="AK101" s="32">
        <f>IF(T_Voluntarios[[#This Row],[ROL]]="Participante",SUMIFS(T_Cuotas[[#All],[Total]],T_Cuotas[[#All],[RUN]],T_Voluntarios[[#This Row],[RUN]]),-1)</f>
        <v>-1</v>
      </c>
      <c r="AL101" s="13" t="s">
        <v>1</v>
      </c>
      <c r="AM101" s="13" t="s">
        <v>2029</v>
      </c>
      <c r="AP101" s="2" t="str">
        <f>MID(T_Voluntarios[[#This Row],[E_MAIL]],SEARCH("@",T_Voluntarios[[#This Row],[E_MAIL]],1),LEN(T_Voluntarios[[#This Row],[E_MAIL]]))</f>
        <v>@gmail.com</v>
      </c>
      <c r="AQ101" s="13" t="str">
        <f>VLOOKUP(T_Voluntarios[[#This Row],[RUN]],BBDD[],37,FALSE)</f>
        <v>30</v>
      </c>
      <c r="AR101" s="2" t="str">
        <f>VLOOKUP(T_Voluntarios[[#This Row],[RUN]],BBDD[],29,FALSE)</f>
        <v>Ingeniero Civil Electrónico</v>
      </c>
      <c r="AS101" s="2" t="str">
        <f>VLOOKUP(T_Voluntarios[[#This Row],[RUN]],BBDD[],30,FALSE)</f>
        <v>12 años</v>
      </c>
      <c r="AT101" s="2" t="str">
        <f>VLOOKUP(T_Voluntarios[[#This Row],[RUN]],BBDD[],31,FALSE)</f>
        <v>10 años</v>
      </c>
      <c r="AU101" s="2" t="str">
        <f>VLOOKUP(T_Voluntarios[[#This Row],[RUN]],BBDD[],32,FALSE)</f>
        <v>Soltero(a)</v>
      </c>
      <c r="AV101" s="2" t="str">
        <f>VLOOKUP(T_Voluntarios[[#This Row],[RUN]],BBDD[],33,FALSE)</f>
        <v>Ninguna</v>
      </c>
      <c r="AW101" s="2" t="str">
        <f>VLOOKUP(T_Voluntarios[[#This Row],[RUN]],BBDD[],34,FALSE)</f>
        <v>Eric</v>
      </c>
      <c r="AX101" s="13" t="s">
        <v>733</v>
      </c>
      <c r="AY101" s="76">
        <f>VLOOKUP(T_Voluntarios[[#This Row],[RUN]],BBDD[],2,FALSE)</f>
        <v>45790.560010802466</v>
      </c>
      <c r="AZ101" s="13" t="s">
        <v>2</v>
      </c>
    </row>
    <row r="102" spans="1:52" ht="14.4" x14ac:dyDescent="0.3">
      <c r="A102" s="2" t="s">
        <v>1788</v>
      </c>
      <c r="B102" s="2" t="str">
        <f>VLOOKUP(T_Voluntarios[[#This Row],[RUN]],BBDD[],3,FALSE)</f>
        <v>brunobastian.herrera@gmail.com</v>
      </c>
      <c r="C102" s="2" t="str">
        <f>VLOOKUP(T_Voluntarios[[#This Row],[RUN]],BBDD[],4,FALSE)</f>
        <v>Bruno Bastian Herrera Sobarzo</v>
      </c>
      <c r="D102" s="16">
        <f>VLOOKUP(T_Voluntarios[[#This Row],[RUN]],BBDD[],5,FALSE)</f>
        <v>36012</v>
      </c>
      <c r="E102" s="2" t="str">
        <f>VLOOKUP(T_Voluntarios[[#This Row],[RUN]],BBDD[],6,FALSE)</f>
        <v>Maipu 1430</v>
      </c>
      <c r="F102" s="2" t="str">
        <f>VLOOKUP(T_Voluntarios[[#This Row],[RUN]],BBDD[],7,FALSE)</f>
        <v>Concepción</v>
      </c>
      <c r="G102" s="2" t="str">
        <f>VLOOKUP(T_Voluntarios[[#This Row],[RUN]],BBDD[],8,FALSE)</f>
        <v>Celular</v>
      </c>
      <c r="H102" s="2" t="str">
        <f>IF(VLOOKUP(T_Voluntarios[[#This Row],[RUN]],BBDD[],9,FALSE)=0,"Falta",VLOOKUP(T_Voluntarios[[#This Row],[RUN]],BBDD[],9,FALSE))</f>
        <v>+56965835382</v>
      </c>
      <c r="I102" s="2" t="str">
        <f>VLOOKUP(T_Voluntarios[[#This Row],[RUN]],BBDD[],10,FALSE)</f>
        <v>Participante</v>
      </c>
      <c r="J102" s="2" t="str">
        <f>VLOOKUP(T_Voluntarios[[#This Row],[RUN]],BBDD[],11,FALSE)</f>
        <v>Alfa Cruz</v>
      </c>
      <c r="K102" s="2" t="str">
        <f>VLOOKUP(T_Voluntarios[[#This Row],[RUN]],BBDD[],12,FALSE)</f>
        <v>Golondrinas</v>
      </c>
      <c r="L102" s="2" t="str">
        <f>VLOOKUP(T_Voluntarios[[#This Row],[RUN]],BBDD[],15,FALSE)</f>
        <v>Rio Andalién</v>
      </c>
      <c r="M102" s="2" t="str">
        <f>VLOOKUP(T_Voluntarios[[#This Row],[RUN]],BBDD[],20,FALSE)</f>
        <v>Sin Almuerzo</v>
      </c>
      <c r="N102" s="2" t="str">
        <f>VLOOKUP(T_Voluntarios[[#This Row],[RUN]],BBDD[],21,FALSE)</f>
        <v>Ninguna</v>
      </c>
      <c r="O102" s="2" t="str">
        <f>VLOOKUP(T_Voluntarios[[#This Row],[RUN]],BBDD[],22,FALSE)</f>
        <v>Ninguna</v>
      </c>
      <c r="P102" s="2" t="str">
        <f>VLOOKUP(T_Voluntarios[[#This Row],[RUN]],BBDD[],23,FALSE)</f>
        <v>Natalia: +56 9 3197 4612</v>
      </c>
      <c r="Q102" s="2" t="str">
        <f>IF(VLOOKUP(T_Voluntarios[[#This Row],[RUN]],BBDD[],27,FALSE)=0,"",VLOOKUP(T_Voluntarios[[#This Row],[RUN]],BBDD[],27,FALSE))</f>
        <v>No</v>
      </c>
      <c r="R102" s="2" t="str">
        <f>VLOOKUP(T_Voluntarios[[#This Row],[RUN]],BBDD[],36,FALSE)</f>
        <v>https://drive.google.com/open?id=1bZrjpwnKQR803VBdNNZSsBKbhMM8qGWI</v>
      </c>
      <c r="S102" s="2" t="str">
        <f>VLOOKUP(T_Voluntarios[[#This Row],[RUN]],BBDD[],16,FALSE)</f>
        <v>Medio</v>
      </c>
      <c r="T102" s="2" t="str">
        <f>VLOOKUP(T_Voluntarios[[#This Row],[RUN]],BBDD[],17,FALSE)</f>
        <v>Ninguno</v>
      </c>
      <c r="U102" s="2" t="str">
        <f>VLOOKUP(T_Voluntarios[[#This Row],[RUN]],BBDD[],18,FALSE)</f>
        <v>Ninguno</v>
      </c>
      <c r="V102" s="2" t="str">
        <f>VLOOKUP(T_Voluntarios[[#This Row],[RUN]],BBDD[],19,FALSE)</f>
        <v>Ninguno</v>
      </c>
      <c r="W102" s="13" t="str">
        <f>IF(OR(T_Voluntarios[[#This Row],[ROL]]="Formador(a)"),"SI","NO")</f>
        <v>NO</v>
      </c>
      <c r="X102" s="13" t="str">
        <f>IF(ISERROR(VLOOKUP(T_Voluntarios[[#This Row],[RUN]],BBDD_Formadores[],15,FALSE)),"NO",VLOOKUP(T_Voluntarios[[#This Row],[RUN]],BBDD_Formadores[],15,FALSE))</f>
        <v>NO</v>
      </c>
      <c r="Y102" s="13" t="str">
        <f>IF(ISERROR(VLOOKUP(T_Voluntarios[[#This Row],[RUN]],BBDD_Formadores[],16,FALSE)),"NO",VLOOKUP(T_Voluntarios[[#This Row],[RUN]],BBDD_Formadores[],16,FALSE))</f>
        <v>NO</v>
      </c>
      <c r="Z102" s="13" t="str">
        <f>IF(ISERROR(VLOOKUP(T_Voluntarios[[#This Row],[RUN]],BBDD_Formadores[],17,FALSE)),"NO",VLOOKUP(T_Voluntarios[[#This Row],[RUN]],BBDD_Formadores[],17,FALSE))</f>
        <v>NO</v>
      </c>
      <c r="AA102" s="13" t="str">
        <f>IF(ISERROR(VLOOKUP(T_Voluntarios[[#This Row],[RUN]],BBDD_Formadores[],18,FALSE)),"NO",VLOOKUP(T_Voluntarios[[#This Row],[RUN]],BBDD_Formadores[],18,FALSE))</f>
        <v>NO</v>
      </c>
      <c r="AB102" s="13">
        <v>1</v>
      </c>
      <c r="AC102" s="13" t="s">
        <v>1597</v>
      </c>
      <c r="AD102" s="13" t="s">
        <v>78</v>
      </c>
      <c r="AF102" s="2" t="str">
        <f>IF(VLOOKUP(T_Voluntarios[[#This Row],[RUN]],BBDD[],25,FALSE)=0,"",VLOOKUP(T_Voluntarios[[#This Row],[RUN]],BBDD[],25,FALSE))</f>
        <v>_</v>
      </c>
      <c r="AG102" s="2" t="str">
        <f>IF(VLOOKUP(T_Voluntarios[[#This Row],[RUN]],BBDD[],26,FALSE)=0,"",VLOOKUP(T_Voluntarios[[#This Row],[RUN]],BBDD[],26,FALSE))</f>
        <v>_</v>
      </c>
      <c r="AH102" s="2" t="str">
        <f>IF(VLOOKUP(T_Voluntarios[[#This Row],[RUN]],BBDD[],24,FALSE)=0,"",VLOOKUP(T_Voluntarios[[#This Row],[RUN]],BBDD[],24,FALSE))</f>
        <v>_</v>
      </c>
      <c r="AI102" s="13" t="str">
        <f>VLOOKUP(T_Voluntarios[[#This Row],[RUN]],BBDD[],28,FALSE)</f>
        <v>No</v>
      </c>
      <c r="AJ102" s="13" t="str">
        <f>VLOOKUP(T_Voluntarios[[#This Row],[RUN]],BBDD[],28,FALSE)</f>
        <v>No</v>
      </c>
      <c r="AK102" s="32">
        <f>IF(T_Voluntarios[[#This Row],[ROL]]="Participante",SUMIFS(T_Cuotas[[#All],[Total]],T_Cuotas[[#All],[RUN]],T_Voluntarios[[#This Row],[RUN]]),-1)</f>
        <v>0</v>
      </c>
      <c r="AL102" s="1" t="s">
        <v>78</v>
      </c>
      <c r="AM102" s="13" t="s">
        <v>733</v>
      </c>
      <c r="AP102" s="2" t="str">
        <f>MID(T_Voluntarios[[#This Row],[E_MAIL]],SEARCH("@",T_Voluntarios[[#This Row],[E_MAIL]],1),LEN(T_Voluntarios[[#This Row],[E_MAIL]]))</f>
        <v>@gmail.com</v>
      </c>
      <c r="AQ102" s="13" t="str">
        <f>VLOOKUP(T_Voluntarios[[#This Row],[RUN]],BBDD[],37,FALSE)</f>
        <v>26</v>
      </c>
      <c r="AR102" s="2" t="str">
        <f>VLOOKUP(T_Voluntarios[[#This Row],[RUN]],BBDD[],29,FALSE)</f>
        <v>Geofisico</v>
      </c>
      <c r="AS102" s="2" t="str">
        <f>VLOOKUP(T_Voluntarios[[#This Row],[RUN]],BBDD[],30,FALSE)</f>
        <v>4 años</v>
      </c>
      <c r="AT102" s="2" t="str">
        <f>VLOOKUP(T_Voluntarios[[#This Row],[RUN]],BBDD[],31,FALSE)</f>
        <v>1 año</v>
      </c>
      <c r="AU102" s="2" t="str">
        <f>VLOOKUP(T_Voluntarios[[#This Row],[RUN]],BBDD[],32,FALSE)</f>
        <v>Soltero(a)</v>
      </c>
      <c r="AV102" s="2" t="str">
        <f>VLOOKUP(T_Voluntarios[[#This Row],[RUN]],BBDD[],33,FALSE)</f>
        <v>Ninguna</v>
      </c>
      <c r="AW102" s="2" t="str">
        <f>VLOOKUP(T_Voluntarios[[#This Row],[RUN]],BBDD[],34,FALSE)</f>
        <v>Kazé(br1)</v>
      </c>
      <c r="AX102" s="13" t="s">
        <v>733</v>
      </c>
      <c r="AY102" s="76">
        <f>VLOOKUP(T_Voluntarios[[#This Row],[RUN]],BBDD[],2,FALSE)</f>
        <v>45790.583454822532</v>
      </c>
      <c r="AZ102" s="13" t="s">
        <v>2</v>
      </c>
    </row>
    <row r="103" spans="1:52" x14ac:dyDescent="0.3">
      <c r="A103" s="2" t="s">
        <v>1798</v>
      </c>
      <c r="B103" s="2" t="str">
        <f>VLOOKUP(T_Voluntarios[[#This Row],[RUN]],BBDD[],3,FALSE)</f>
        <v>rivera583@gmail.com</v>
      </c>
      <c r="C103" s="2" t="str">
        <f>VLOOKUP(T_Voluntarios[[#This Row],[RUN]],BBDD[],4,FALSE)</f>
        <v>Solange Andrea Ruiz Rivera</v>
      </c>
      <c r="D103" s="16">
        <f>VLOOKUP(T_Voluntarios[[#This Row],[RUN]],BBDD[],5,FALSE)</f>
        <v>28692</v>
      </c>
      <c r="E103" s="2" t="str">
        <f>VLOOKUP(T_Voluntarios[[#This Row],[RUN]],BBDD[],6,FALSE)</f>
        <v>Condell 480</v>
      </c>
      <c r="F103" s="2" t="str">
        <f>VLOOKUP(T_Voluntarios[[#This Row],[RUN]],BBDD[],7,FALSE)</f>
        <v>Los Ángeles</v>
      </c>
      <c r="G103" s="2" t="str">
        <f>VLOOKUP(T_Voluntarios[[#This Row],[RUN]],BBDD[],8,FALSE)</f>
        <v>Celular</v>
      </c>
      <c r="H103" s="2" t="str">
        <f>IF(VLOOKUP(T_Voluntarios[[#This Row],[RUN]],BBDD[],9,FALSE)=0,"Falta",VLOOKUP(T_Voluntarios[[#This Row],[RUN]],BBDD[],9,FALSE))</f>
        <v>+56952054822</v>
      </c>
      <c r="I103" s="2" t="str">
        <f>VLOOKUP(T_Voluntarios[[#This Row],[RUN]],BBDD[],10,FALSE)</f>
        <v>Participante</v>
      </c>
      <c r="J103" s="2" t="str">
        <f>VLOOKUP(T_Voluntarios[[#This Row],[RUN]],BBDD[],11,FALSE)</f>
        <v>Buen Pastor</v>
      </c>
      <c r="K103" s="2" t="str">
        <f>VLOOKUP(T_Voluntarios[[#This Row],[RUN]],BBDD[],12,FALSE)</f>
        <v>Golondrinas</v>
      </c>
      <c r="L103" s="2" t="str">
        <f>VLOOKUP(T_Voluntarios[[#This Row],[RUN]],BBDD[],15,FALSE)</f>
        <v>Biobío</v>
      </c>
      <c r="M103" s="2" t="str">
        <f>VLOOKUP(T_Voluntarios[[#This Row],[RUN]],BBDD[],20,FALSE)</f>
        <v>Alimentación Tradicional</v>
      </c>
      <c r="N103" s="2" t="str">
        <f>VLOOKUP(T_Voluntarios[[#This Row],[RUN]],BBDD[],21,FALSE)</f>
        <v>Ninguna</v>
      </c>
      <c r="O103" s="2" t="str">
        <f>VLOOKUP(T_Voluntarios[[#This Row],[RUN]],BBDD[],22,FALSE)</f>
        <v>Ninguna</v>
      </c>
      <c r="P103" s="2" t="str">
        <f>VLOOKUP(T_Voluntarios[[#This Row],[RUN]],BBDD[],23,FALSE)</f>
        <v>Nicolás +56952054822</v>
      </c>
      <c r="Q103" s="2" t="str">
        <f>IF(VLOOKUP(T_Voluntarios[[#This Row],[RUN]],BBDD[],27,FALSE)=0,"",VLOOKUP(T_Voluntarios[[#This Row],[RUN]],BBDD[],27,FALSE))</f>
        <v>No</v>
      </c>
      <c r="R103" s="2" t="str">
        <f>VLOOKUP(T_Voluntarios[[#This Row],[RUN]],BBDD[],36,FALSE)</f>
        <v>https://drive.google.com/open?id=1ObNCJM4k0x7RYWPoVIa3cJZCIzRLvwSP</v>
      </c>
      <c r="S103" s="2" t="str">
        <f>VLOOKUP(T_Voluntarios[[#This Row],[RUN]],BBDD[],16,FALSE)</f>
        <v>Inicial</v>
      </c>
      <c r="T103" s="2" t="str">
        <f>VLOOKUP(T_Voluntarios[[#This Row],[RUN]],BBDD[],17,FALSE)</f>
        <v>Ninguno</v>
      </c>
      <c r="U103" s="2" t="str">
        <f>VLOOKUP(T_Voluntarios[[#This Row],[RUN]],BBDD[],18,FALSE)</f>
        <v>Ninguno</v>
      </c>
      <c r="V103" s="2" t="str">
        <f>VLOOKUP(T_Voluntarios[[#This Row],[RUN]],BBDD[],19,FALSE)</f>
        <v>Ninguno</v>
      </c>
      <c r="W103" s="13" t="str">
        <f>IF(OR(T_Voluntarios[[#This Row],[ROL]]="Formador(a)"),"SI","NO")</f>
        <v>NO</v>
      </c>
      <c r="X103" s="13" t="str">
        <f>IF(ISERROR(VLOOKUP(T_Voluntarios[[#This Row],[RUN]],BBDD_Formadores[],15,FALSE)),"NO",VLOOKUP(T_Voluntarios[[#This Row],[RUN]],BBDD_Formadores[],15,FALSE))</f>
        <v>NO</v>
      </c>
      <c r="Y103" s="13" t="str">
        <f>IF(ISERROR(VLOOKUP(T_Voluntarios[[#This Row],[RUN]],BBDD_Formadores[],16,FALSE)),"NO",VLOOKUP(T_Voluntarios[[#This Row],[RUN]],BBDD_Formadores[],16,FALSE))</f>
        <v>NO</v>
      </c>
      <c r="Z103" s="13" t="str">
        <f>IF(ISERROR(VLOOKUP(T_Voluntarios[[#This Row],[RUN]],BBDD_Formadores[],17,FALSE)),"NO",VLOOKUP(T_Voluntarios[[#This Row],[RUN]],BBDD_Formadores[],17,FALSE))</f>
        <v>NO</v>
      </c>
      <c r="AA103" s="13" t="str">
        <f>IF(ISERROR(VLOOKUP(T_Voluntarios[[#This Row],[RUN]],BBDD_Formadores[],18,FALSE)),"NO",VLOOKUP(T_Voluntarios[[#This Row],[RUN]],BBDD_Formadores[],18,FALSE))</f>
        <v>NO</v>
      </c>
      <c r="AB103" s="13">
        <v>1</v>
      </c>
      <c r="AC103" s="13" t="s">
        <v>1</v>
      </c>
      <c r="AD103" s="13" t="s">
        <v>77</v>
      </c>
      <c r="AF103" s="2" t="str">
        <f>IF(VLOOKUP(T_Voluntarios[[#This Row],[RUN]],BBDD[],25,FALSE)=0,"",VLOOKUP(T_Voluntarios[[#This Row],[RUN]],BBDD[],25,FALSE))</f>
        <v/>
      </c>
      <c r="AG103" s="2" t="str">
        <f>IF(VLOOKUP(T_Voluntarios[[#This Row],[RUN]],BBDD[],26,FALSE)=0,"",VLOOKUP(T_Voluntarios[[#This Row],[RUN]],BBDD[],26,FALSE))</f>
        <v/>
      </c>
      <c r="AH103" s="2" t="str">
        <f>IF(VLOOKUP(T_Voluntarios[[#This Row],[RUN]],BBDD[],24,FALSE)=0,"",VLOOKUP(T_Voluntarios[[#This Row],[RUN]],BBDD[],24,FALSE))</f>
        <v/>
      </c>
      <c r="AI103" s="13" t="str">
        <f>VLOOKUP(T_Voluntarios[[#This Row],[RUN]],BBDD[],28,FALSE)</f>
        <v>SI</v>
      </c>
      <c r="AJ103" s="13" t="str">
        <f>VLOOKUP(T_Voluntarios[[#This Row],[RUN]],BBDD[],28,FALSE)</f>
        <v>SI</v>
      </c>
      <c r="AK103" s="32">
        <f>IF(T_Voluntarios[[#This Row],[ROL]]="Participante",SUMIFS(T_Cuotas[[#All],[Total]],T_Cuotas[[#All],[RUN]],T_Voluntarios[[#This Row],[RUN]]),-1)</f>
        <v>50000</v>
      </c>
      <c r="AL103" s="13" t="s">
        <v>1</v>
      </c>
      <c r="AM103" s="13" t="s">
        <v>2029</v>
      </c>
      <c r="AP103" s="2" t="str">
        <f>MID(T_Voluntarios[[#This Row],[E_MAIL]],SEARCH("@",T_Voluntarios[[#This Row],[E_MAIL]],1),LEN(T_Voluntarios[[#This Row],[E_MAIL]]))</f>
        <v>@gmail.com</v>
      </c>
      <c r="AQ103" s="13" t="str">
        <f>VLOOKUP(T_Voluntarios[[#This Row],[RUN]],BBDD[],37,FALSE)</f>
        <v>46</v>
      </c>
      <c r="AR103" s="2" t="str">
        <f>VLOOKUP(T_Voluntarios[[#This Row],[RUN]],BBDD[],29,FALSE)</f>
        <v>Prevencionista de riesgos</v>
      </c>
      <c r="AS103" s="2" t="str">
        <f>VLOOKUP(T_Voluntarios[[#This Row],[RUN]],BBDD[],30,FALSE)</f>
        <v>No</v>
      </c>
      <c r="AT103" s="2" t="str">
        <f>VLOOKUP(T_Voluntarios[[#This Row],[RUN]],BBDD[],31,FALSE)</f>
        <v>No</v>
      </c>
      <c r="AU103" s="2" t="str">
        <f>VLOOKUP(T_Voluntarios[[#This Row],[RUN]],BBDD[],32,FALSE)</f>
        <v>Soltero(a)</v>
      </c>
      <c r="AV103" s="2" t="str">
        <f>VLOOKUP(T_Voluntarios[[#This Row],[RUN]],BBDD[],33,FALSE)</f>
        <v>Católica</v>
      </c>
      <c r="AW103" s="2" t="str">
        <f>VLOOKUP(T_Voluntarios[[#This Row],[RUN]],BBDD[],34,FALSE)</f>
        <v>Sole</v>
      </c>
      <c r="AX103" s="13" t="s">
        <v>733</v>
      </c>
      <c r="AY103" s="76">
        <f>VLOOKUP(T_Voluntarios[[#This Row],[RUN]],BBDD[],2,FALSE)</f>
        <v>45790.771286689815</v>
      </c>
      <c r="AZ103" s="13" t="s">
        <v>3403</v>
      </c>
    </row>
    <row r="104" spans="1:52" x14ac:dyDescent="0.3">
      <c r="A104" s="2" t="s">
        <v>1807</v>
      </c>
      <c r="B104" s="2" t="str">
        <f>VLOOKUP(T_Voluntarios[[#This Row],[RUN]],BBDD[],3,FALSE)</f>
        <v>francine.smith.martinez@gmail.com</v>
      </c>
      <c r="C104" s="2" t="str">
        <f>VLOOKUP(T_Voluntarios[[#This Row],[RUN]],BBDD[],4,FALSE)</f>
        <v>Francine Anaís Smith Martínez</v>
      </c>
      <c r="D104" s="16">
        <f>VLOOKUP(T_Voluntarios[[#This Row],[RUN]],BBDD[],5,FALSE)</f>
        <v>37309</v>
      </c>
      <c r="E104" s="2" t="str">
        <f>VLOOKUP(T_Voluntarios[[#This Row],[RUN]],BBDD[],6,FALSE)</f>
        <v>psje, Juana Ross de Edwards 649, Conjunto residencial las palmeras, Collao</v>
      </c>
      <c r="F104" s="2" t="str">
        <f>VLOOKUP(T_Voluntarios[[#This Row],[RUN]],BBDD[],7,FALSE)</f>
        <v>Concepción</v>
      </c>
      <c r="G104" s="2" t="str">
        <f>VLOOKUP(T_Voluntarios[[#This Row],[RUN]],BBDD[],8,FALSE)</f>
        <v>Celular</v>
      </c>
      <c r="H104" s="2" t="str">
        <f>IF(VLOOKUP(T_Voluntarios[[#This Row],[RUN]],BBDD[],9,FALSE)=0,"Falta",VLOOKUP(T_Voluntarios[[#This Row],[RUN]],BBDD[],9,FALSE))</f>
        <v>+56940174341</v>
      </c>
      <c r="I104" s="2" t="str">
        <f>VLOOKUP(T_Voluntarios[[#This Row],[RUN]],BBDD[],10,FALSE)</f>
        <v>Participante</v>
      </c>
      <c r="J104" s="2" t="str">
        <f>VLOOKUP(T_Voluntarios[[#This Row],[RUN]],BBDD[],11,FALSE)</f>
        <v>San Ignacio de Loyola</v>
      </c>
      <c r="K104" s="2" t="str">
        <f>VLOOKUP(T_Voluntarios[[#This Row],[RUN]],BBDD[],12,FALSE)</f>
        <v>Scouts</v>
      </c>
      <c r="L104" s="2" t="str">
        <f>VLOOKUP(T_Voluntarios[[#This Row],[RUN]],BBDD[],15,FALSE)</f>
        <v>Concepción</v>
      </c>
      <c r="M104" s="2" t="str">
        <f>VLOOKUP(T_Voluntarios[[#This Row],[RUN]],BBDD[],20,FALSE)</f>
        <v>Alimentación Vegetariana</v>
      </c>
      <c r="N104" s="2" t="str">
        <f>VLOOKUP(T_Voluntarios[[#This Row],[RUN]],BBDD[],21,FALSE)</f>
        <v>Ninguna</v>
      </c>
      <c r="O104" s="2" t="str">
        <f>VLOOKUP(T_Voluntarios[[#This Row],[RUN]],BBDD[],22,FALSE)</f>
        <v>Ninguna</v>
      </c>
      <c r="P104" s="2" t="str">
        <f>VLOOKUP(T_Voluntarios[[#This Row],[RUN]],BBDD[],23,FALSE)</f>
        <v>Mabel Martínez +56976481960</v>
      </c>
      <c r="Q104" s="2" t="str">
        <f>IF(VLOOKUP(T_Voluntarios[[#This Row],[RUN]],BBDD[],27,FALSE)=0,"",VLOOKUP(T_Voluntarios[[#This Row],[RUN]],BBDD[],27,FALSE))</f>
        <v/>
      </c>
      <c r="R104" s="2" t="str">
        <f>VLOOKUP(T_Voluntarios[[#This Row],[RUN]],BBDD[],36,FALSE)</f>
        <v>https://drive.google.com/open?id=1E3j7U2Q6kuX9D_hd2JnEawsfKAYCO0QP</v>
      </c>
      <c r="S104" s="2" t="str">
        <f>VLOOKUP(T_Voluntarios[[#This Row],[RUN]],BBDD[],16,FALSE)</f>
        <v>Inicial</v>
      </c>
      <c r="T104" s="2" t="str">
        <f>VLOOKUP(T_Voluntarios[[#This Row],[RUN]],BBDD[],17,FALSE)</f>
        <v>Ninguno</v>
      </c>
      <c r="U104" s="2" t="str">
        <f>VLOOKUP(T_Voluntarios[[#This Row],[RUN]],BBDD[],18,FALSE)</f>
        <v>Ninguno</v>
      </c>
      <c r="V104" s="2" t="str">
        <f>VLOOKUP(T_Voluntarios[[#This Row],[RUN]],BBDD[],19,FALSE)</f>
        <v>Ninguno</v>
      </c>
      <c r="W104" s="13" t="str">
        <f>IF(OR(T_Voluntarios[[#This Row],[ROL]]="Formador(a)"),"SI","NO")</f>
        <v>NO</v>
      </c>
      <c r="X104" s="13" t="str">
        <f>IF(ISERROR(VLOOKUP(T_Voluntarios[[#This Row],[RUN]],BBDD_Formadores[],15,FALSE)),"NO",VLOOKUP(T_Voluntarios[[#This Row],[RUN]],BBDD_Formadores[],15,FALSE))</f>
        <v>NO</v>
      </c>
      <c r="Y104" s="13" t="str">
        <f>IF(ISERROR(VLOOKUP(T_Voluntarios[[#This Row],[RUN]],BBDD_Formadores[],16,FALSE)),"NO",VLOOKUP(T_Voluntarios[[#This Row],[RUN]],BBDD_Formadores[],16,FALSE))</f>
        <v>NO</v>
      </c>
      <c r="Z104" s="13" t="str">
        <f>IF(ISERROR(VLOOKUP(T_Voluntarios[[#This Row],[RUN]],BBDD_Formadores[],17,FALSE)),"NO",VLOOKUP(T_Voluntarios[[#This Row],[RUN]],BBDD_Formadores[],17,FALSE))</f>
        <v>NO</v>
      </c>
      <c r="AA104" s="13" t="str">
        <f>IF(ISERROR(VLOOKUP(T_Voluntarios[[#This Row],[RUN]],BBDD_Formadores[],18,FALSE)),"NO",VLOOKUP(T_Voluntarios[[#This Row],[RUN]],BBDD_Formadores[],18,FALSE))</f>
        <v>NO</v>
      </c>
      <c r="AB104" s="13">
        <v>1</v>
      </c>
      <c r="AC104" s="13" t="s">
        <v>1</v>
      </c>
      <c r="AD104" s="13" t="s">
        <v>77</v>
      </c>
      <c r="AF104" s="2" t="str">
        <f>IF(VLOOKUP(T_Voluntarios[[#This Row],[RUN]],BBDD[],25,FALSE)=0,"",VLOOKUP(T_Voluntarios[[#This Row],[RUN]],BBDD[],25,FALSE))</f>
        <v/>
      </c>
      <c r="AG104" s="2" t="str">
        <f>IF(VLOOKUP(T_Voluntarios[[#This Row],[RUN]],BBDD[],26,FALSE)=0,"",VLOOKUP(T_Voluntarios[[#This Row],[RUN]],BBDD[],26,FALSE))</f>
        <v/>
      </c>
      <c r="AH104" s="2" t="str">
        <f>IF(VLOOKUP(T_Voluntarios[[#This Row],[RUN]],BBDD[],24,FALSE)=0,"",VLOOKUP(T_Voluntarios[[#This Row],[RUN]],BBDD[],24,FALSE))</f>
        <v/>
      </c>
      <c r="AI104" s="13" t="str">
        <f>VLOOKUP(T_Voluntarios[[#This Row],[RUN]],BBDD[],28,FALSE)</f>
        <v>No</v>
      </c>
      <c r="AJ104" s="13" t="str">
        <f>VLOOKUP(T_Voluntarios[[#This Row],[RUN]],BBDD[],28,FALSE)</f>
        <v>No</v>
      </c>
      <c r="AK104" s="32">
        <f>IF(T_Voluntarios[[#This Row],[ROL]]="Participante",SUMIFS(T_Cuotas[[#All],[Total]],T_Cuotas[[#All],[RUN]],T_Voluntarios[[#This Row],[RUN]]),-1)</f>
        <v>50000</v>
      </c>
      <c r="AL104" s="13" t="s">
        <v>1</v>
      </c>
      <c r="AM104" s="13" t="s">
        <v>2029</v>
      </c>
      <c r="AP104" s="2" t="str">
        <f>MID(T_Voluntarios[[#This Row],[E_MAIL]],SEARCH("@",T_Voluntarios[[#This Row],[E_MAIL]],1),LEN(T_Voluntarios[[#This Row],[E_MAIL]]))</f>
        <v>@gmail.com</v>
      </c>
      <c r="AQ104" s="13" t="str">
        <f>VLOOKUP(T_Voluntarios[[#This Row],[RUN]],BBDD[],37,FALSE)</f>
        <v>23</v>
      </c>
      <c r="AR104" s="2" t="str">
        <f>VLOOKUP(T_Voluntarios[[#This Row],[RUN]],BBDD[],29,FALSE)</f>
        <v>Estudiante de arquitectura</v>
      </c>
      <c r="AS104" s="2" t="str">
        <f>VLOOKUP(T_Voluntarios[[#This Row],[RUN]],BBDD[],30,FALSE)</f>
        <v>14 años</v>
      </c>
      <c r="AT104" s="2" t="str">
        <f>VLOOKUP(T_Voluntarios[[#This Row],[RUN]],BBDD[],31,FALSE)</f>
        <v>1 año</v>
      </c>
      <c r="AU104" s="2" t="str">
        <f>VLOOKUP(T_Voluntarios[[#This Row],[RUN]],BBDD[],32,FALSE)</f>
        <v>Soltero(a)</v>
      </c>
      <c r="AV104" s="2" t="str">
        <f>VLOOKUP(T_Voluntarios[[#This Row],[RUN]],BBDD[],33,FALSE)</f>
        <v>Ninguna</v>
      </c>
      <c r="AW104" s="2" t="str">
        <f>VLOOKUP(T_Voluntarios[[#This Row],[RUN]],BBDD[],34,FALSE)</f>
        <v>Francine</v>
      </c>
      <c r="AX104" s="13" t="s">
        <v>733</v>
      </c>
      <c r="AY104" s="76">
        <f>VLOOKUP(T_Voluntarios[[#This Row],[RUN]],BBDD[],2,FALSE)</f>
        <v>45790.909765817902</v>
      </c>
      <c r="AZ104" s="13" t="s">
        <v>3403</v>
      </c>
    </row>
    <row r="105" spans="1:52" x14ac:dyDescent="0.3">
      <c r="A105" s="2" t="s">
        <v>546</v>
      </c>
      <c r="B105" s="2" t="str">
        <f>VLOOKUP(T_Voluntarios[[#This Row],[RUN]],BBDD[],3,FALSE)</f>
        <v>danibascursanhueza@gmail.com</v>
      </c>
      <c r="C105" s="2" t="str">
        <f>VLOOKUP(T_Voluntarios[[#This Row],[RUN]],BBDD[],4,FALSE)</f>
        <v>Daniela Alejandra Bascur Sanhueza</v>
      </c>
      <c r="D105" s="16">
        <f>VLOOKUP(T_Voluntarios[[#This Row],[RUN]],BBDD[],5,FALSE)</f>
        <v>34286</v>
      </c>
      <c r="E105" s="2" t="str">
        <f>VLOOKUP(T_Voluntarios[[#This Row],[RUN]],BBDD[],6,FALSE)</f>
        <v>Helios 585, Los Ángeles</v>
      </c>
      <c r="F105" s="2" t="str">
        <f>VLOOKUP(T_Voluntarios[[#This Row],[RUN]],BBDD[],7,FALSE)</f>
        <v>Los Ángeles</v>
      </c>
      <c r="G105" s="2" t="str">
        <f>VLOOKUP(T_Voluntarios[[#This Row],[RUN]],BBDD[],8,FALSE)</f>
        <v>Celular</v>
      </c>
      <c r="H105" s="2" t="str">
        <f>IF(VLOOKUP(T_Voluntarios[[#This Row],[RUN]],BBDD[],9,FALSE)=0,"Falta",VLOOKUP(T_Voluntarios[[#This Row],[RUN]],BBDD[],9,FALSE))</f>
        <v>+56950856213</v>
      </c>
      <c r="I105" s="2" t="str">
        <f>VLOOKUP(T_Voluntarios[[#This Row],[RUN]],BBDD[],10,FALSE)</f>
        <v>Formador(a)</v>
      </c>
      <c r="J105" s="2" t="str">
        <f>VLOOKUP(T_Voluntarios[[#This Row],[RUN]],BBDD[],11,FALSE)</f>
        <v>Equipo distrital biobio</v>
      </c>
      <c r="K105" s="2" t="str">
        <f>VLOOKUP(T_Voluntarios[[#This Row],[RUN]],BBDD[],12,FALSE)</f>
        <v>Golondrinas</v>
      </c>
      <c r="L105" s="2" t="str">
        <f>VLOOKUP(T_Voluntarios[[#This Row],[RUN]],BBDD[],15,FALSE)</f>
        <v>Biobío</v>
      </c>
      <c r="M105" s="2" t="str">
        <f>VLOOKUP(T_Voluntarios[[#This Row],[RUN]],BBDD[],20,FALSE)</f>
        <v>Alimentación Tradicional</v>
      </c>
      <c r="N105" s="2" t="str">
        <f>VLOOKUP(T_Voluntarios[[#This Row],[RUN]],BBDD[],21,FALSE)</f>
        <v>Ninguna</v>
      </c>
      <c r="O105" s="2" t="str">
        <f>VLOOKUP(T_Voluntarios[[#This Row],[RUN]],BBDD[],22,FALSE)</f>
        <v>Ninguna</v>
      </c>
      <c r="P105" s="2" t="str">
        <f>VLOOKUP(T_Voluntarios[[#This Row],[RUN]],BBDD[],23,FALSE)</f>
        <v>Eloy Bascur +56999309709</v>
      </c>
      <c r="Q105" s="2" t="str">
        <f>IF(VLOOKUP(T_Voluntarios[[#This Row],[RUN]],BBDD[],27,FALSE)=0,"",VLOOKUP(T_Voluntarios[[#This Row],[RUN]],BBDD[],27,FALSE))</f>
        <v>No como embutidos</v>
      </c>
      <c r="R105" s="2" t="str">
        <f>VLOOKUP(T_Voluntarios[[#This Row],[RUN]],BBDD[],36,FALSE)</f>
        <v>https://drive.google.com/open?id=1xs5BONbdDRm3YZhNfODaCYuK6-fpJGXy</v>
      </c>
      <c r="S105" s="2" t="str">
        <f>VLOOKUP(T_Voluntarios[[#This Row],[RUN]],BBDD[],16,FALSE)</f>
        <v>Medio</v>
      </c>
      <c r="T105" s="2" t="str">
        <f>VLOOKUP(T_Voluntarios[[#This Row],[RUN]],BBDD[],17,FALSE)</f>
        <v>6882</v>
      </c>
      <c r="U105" s="2" t="str">
        <f>VLOOKUP(T_Voluntarios[[#This Row],[RUN]],BBDD[],18,FALSE)</f>
        <v>Golondrinas</v>
      </c>
      <c r="V105" s="2" t="str">
        <f>VLOOKUP(T_Voluntarios[[#This Row],[RUN]],BBDD[],19,FALSE)</f>
        <v>Golondrinas</v>
      </c>
      <c r="W105" s="13" t="str">
        <f>IF(OR(T_Voluntarios[[#This Row],[ROL]]="Formador(a)"),"SI","NO")</f>
        <v>SI</v>
      </c>
      <c r="X105" s="13" t="str">
        <f>IF(ISERROR(VLOOKUP(T_Voluntarios[[#This Row],[RUN]],BBDD_Formadores[],15,FALSE)),"NO",VLOOKUP(T_Voluntarios[[#This Row],[RUN]],BBDD_Formadores[],15,FALSE))</f>
        <v>SI</v>
      </c>
      <c r="Y105" s="13" t="str">
        <f>IF(ISERROR(VLOOKUP(T_Voluntarios[[#This Row],[RUN]],BBDD_Formadores[],16,FALSE)),"NO",VLOOKUP(T_Voluntarios[[#This Row],[RUN]],BBDD_Formadores[],16,FALSE))</f>
        <v>Golondrinas</v>
      </c>
      <c r="Z105" s="13" t="str">
        <f>IF(ISERROR(VLOOKUP(T_Voluntarios[[#This Row],[RUN]],BBDD_Formadores[],17,FALSE)),"NO",VLOOKUP(T_Voluntarios[[#This Row],[RUN]],BBDD_Formadores[],17,FALSE))</f>
        <v>Golondrinas</v>
      </c>
      <c r="AA105" s="13" t="str">
        <f>IF(ISERROR(VLOOKUP(T_Voluntarios[[#This Row],[RUN]],BBDD_Formadores[],18,FALSE)),"NO",VLOOKUP(T_Voluntarios[[#This Row],[RUN]],BBDD_Formadores[],18,FALSE))</f>
        <v>No Actualizado</v>
      </c>
      <c r="AB105" s="13">
        <v>1</v>
      </c>
      <c r="AC105" s="13" t="s">
        <v>1</v>
      </c>
      <c r="AD105" s="13" t="s">
        <v>77</v>
      </c>
      <c r="AF105" s="2" t="str">
        <f>IF(VLOOKUP(T_Voluntarios[[#This Row],[RUN]],BBDD[],25,FALSE)=0,"",VLOOKUP(T_Voluntarios[[#This Row],[RUN]],BBDD[],25,FALSE))</f>
        <v>Nissan</v>
      </c>
      <c r="AG105" s="2" t="str">
        <f>IF(VLOOKUP(T_Voluntarios[[#This Row],[RUN]],BBDD[],26,FALSE)=0,"",VLOOKUP(T_Voluntarios[[#This Row],[RUN]],BBDD[],26,FALSE))</f>
        <v>March</v>
      </c>
      <c r="AH105" s="2" t="str">
        <f>IF(VLOOKUP(T_Voluntarios[[#This Row],[RUN]],BBDD[],24,FALSE)=0,"",VLOOKUP(T_Voluntarios[[#This Row],[RUN]],BBDD[],24,FALSE))</f>
        <v>GCRR87</v>
      </c>
      <c r="AI105" s="13" t="str">
        <f>VLOOKUP(T_Voluntarios[[#This Row],[RUN]],BBDD[],28,FALSE)</f>
        <v>SI</v>
      </c>
      <c r="AJ105" s="13" t="str">
        <f>VLOOKUP(T_Voluntarios[[#This Row],[RUN]],BBDD[],28,FALSE)</f>
        <v>SI</v>
      </c>
      <c r="AK105" s="32">
        <f>IF(T_Voluntarios[[#This Row],[ROL]]="Participante",SUMIFS(T_Cuotas[[#All],[Total]],T_Cuotas[[#All],[RUN]],T_Voluntarios[[#This Row],[RUN]]),-1)</f>
        <v>-1</v>
      </c>
      <c r="AL105" s="13" t="s">
        <v>1</v>
      </c>
      <c r="AM105" s="13" t="s">
        <v>2029</v>
      </c>
      <c r="AP105" s="2" t="str">
        <f>MID(T_Voluntarios[[#This Row],[E_MAIL]],SEARCH("@",T_Voluntarios[[#This Row],[E_MAIL]],1),LEN(T_Voluntarios[[#This Row],[E_MAIL]]))</f>
        <v>@gmail.com</v>
      </c>
      <c r="AQ105" s="13" t="str">
        <f>VLOOKUP(T_Voluntarios[[#This Row],[RUN]],BBDD[],37,FALSE)</f>
        <v>31</v>
      </c>
      <c r="AR105" s="2" t="str">
        <f>VLOOKUP(T_Voluntarios[[#This Row],[RUN]],BBDD[],29,FALSE)</f>
        <v>Bioquímico</v>
      </c>
      <c r="AS105" s="2" t="str">
        <f>VLOOKUP(T_Voluntarios[[#This Row],[RUN]],BBDD[],30,FALSE)</f>
        <v>10 años</v>
      </c>
      <c r="AT105" s="2" t="str">
        <f>VLOOKUP(T_Voluntarios[[#This Row],[RUN]],BBDD[],31,FALSE)</f>
        <v>10 años</v>
      </c>
      <c r="AU105" s="2" t="str">
        <f>VLOOKUP(T_Voluntarios[[#This Row],[RUN]],BBDD[],32,FALSE)</f>
        <v>Soltero(a)</v>
      </c>
      <c r="AV105" s="2" t="str">
        <f>VLOOKUP(T_Voluntarios[[#This Row],[RUN]],BBDD[],33,FALSE)</f>
        <v>Católica</v>
      </c>
      <c r="AW105" s="2" t="str">
        <f>VLOOKUP(T_Voluntarios[[#This Row],[RUN]],BBDD[],34,FALSE)</f>
        <v>Daniela Bascur</v>
      </c>
      <c r="AX105" s="13" t="s">
        <v>733</v>
      </c>
      <c r="AY105" s="76">
        <f>VLOOKUP(T_Voluntarios[[#This Row],[RUN]],BBDD[],2,FALSE)</f>
        <v>45790.929617554015</v>
      </c>
      <c r="AZ105" s="13" t="s">
        <v>2</v>
      </c>
    </row>
    <row r="106" spans="1:52" x14ac:dyDescent="0.3">
      <c r="A106" s="2" t="s">
        <v>535</v>
      </c>
      <c r="B106" s="2" t="str">
        <f>VLOOKUP(T_Voluntarios[[#This Row],[RUN]],BBDD[],3,FALSE)</f>
        <v>cobes.r10729@gmail.com</v>
      </c>
      <c r="C106" s="2" t="str">
        <f>VLOOKUP(T_Voluntarios[[#This Row],[RUN]],BBDD[],4,FALSE)</f>
        <v>María José Sepúlveda Benedetti</v>
      </c>
      <c r="D106" s="16">
        <f>VLOOKUP(T_Voluntarios[[#This Row],[RUN]],BBDD[],5,FALSE)</f>
        <v>35987</v>
      </c>
      <c r="E106" s="2" t="str">
        <f>VLOOKUP(T_Voluntarios[[#This Row],[RUN]],BBDD[],6,FALSE)</f>
        <v>Santa Clara 2930 condominio subsole, edificio Sta Laura , depto 407</v>
      </c>
      <c r="F106" s="2" t="str">
        <f>VLOOKUP(T_Voluntarios[[#This Row],[RUN]],BBDD[],7,FALSE)</f>
        <v>Concepción</v>
      </c>
      <c r="G106" s="2" t="str">
        <f>VLOOKUP(T_Voluntarios[[#This Row],[RUN]],BBDD[],8,FALSE)</f>
        <v>Celular</v>
      </c>
      <c r="H106" s="2" t="str">
        <f>IF(VLOOKUP(T_Voluntarios[[#This Row],[RUN]],BBDD[],9,FALSE)=0,"Falta",VLOOKUP(T_Voluntarios[[#This Row],[RUN]],BBDD[],9,FALSE))</f>
        <v>+56989465054</v>
      </c>
      <c r="I106" s="2" t="str">
        <f>VLOOKUP(T_Voluntarios[[#This Row],[RUN]],BBDD[],10,FALSE)</f>
        <v>Formador(a)</v>
      </c>
      <c r="J106" s="2" t="str">
        <f>VLOOKUP(T_Voluntarios[[#This Row],[RUN]],BBDD[],11,FALSE)</f>
        <v>Programas internacionales y especiales</v>
      </c>
      <c r="K106" s="2" t="str">
        <f>VLOOKUP(T_Voluntarios[[#This Row],[RUN]],BBDD[],12,FALSE)</f>
        <v>Scouts</v>
      </c>
      <c r="L106" s="2" t="str">
        <f>VLOOKUP(T_Voluntarios[[#This Row],[RUN]],BBDD[],15,FALSE)</f>
        <v>Equipo Nacional</v>
      </c>
      <c r="M106" s="2" t="str">
        <f>VLOOKUP(T_Voluntarios[[#This Row],[RUN]],BBDD[],20,FALSE)</f>
        <v>Sin Almuerzo</v>
      </c>
      <c r="N106" s="2" t="str">
        <f>VLOOKUP(T_Voluntarios[[#This Row],[RUN]],BBDD[],21,FALSE)</f>
        <v>Ninguna</v>
      </c>
      <c r="O106" s="2" t="str">
        <f>VLOOKUP(T_Voluntarios[[#This Row],[RUN]],BBDD[],22,FALSE)</f>
        <v>Ninguna</v>
      </c>
      <c r="P106" s="2" t="str">
        <f>VLOOKUP(T_Voluntarios[[#This Row],[RUN]],BBDD[],23,FALSE)</f>
        <v>Pablo Correa +56 9 5284 6149</v>
      </c>
      <c r="Q106" s="2" t="str">
        <f>IF(VLOOKUP(T_Voluntarios[[#This Row],[RUN]],BBDD[],27,FALSE)=0,"",VLOOKUP(T_Voluntarios[[#This Row],[RUN]],BBDD[],27,FALSE))</f>
        <v/>
      </c>
      <c r="R106" s="2" t="str">
        <f>VLOOKUP(T_Voluntarios[[#This Row],[RUN]],BBDD[],36,FALSE)</f>
        <v>https://drive.google.com/open?id=1LLS_0j9c5M99wRTbsF60FqPJoMICBfAY</v>
      </c>
      <c r="S106" s="2" t="str">
        <f>VLOOKUP(T_Voluntarios[[#This Row],[RUN]],BBDD[],16,FALSE)</f>
        <v>Medio</v>
      </c>
      <c r="T106" s="2" t="str">
        <f>VLOOKUP(T_Voluntarios[[#This Row],[RUN]],BBDD[],17,FALSE)</f>
        <v>10729</v>
      </c>
      <c r="U106" s="2" t="str">
        <f>VLOOKUP(T_Voluntarios[[#This Row],[RUN]],BBDD[],18,FALSE)</f>
        <v>Scouts</v>
      </c>
      <c r="V106" s="2" t="str">
        <f>VLOOKUP(T_Voluntarios[[#This Row],[RUN]],BBDD[],19,FALSE)</f>
        <v>Ninguno</v>
      </c>
      <c r="W106" s="13" t="str">
        <f>IF(OR(T_Voluntarios[[#This Row],[ROL]]="Formador(a)"),"SI","NO")</f>
        <v>SI</v>
      </c>
      <c r="X106" s="13" t="str">
        <f>IF(ISERROR(VLOOKUP(T_Voluntarios[[#This Row],[RUN]],BBDD_Formadores[],15,FALSE)),"NO",VLOOKUP(T_Voluntarios[[#This Row],[RUN]],BBDD_Formadores[],15,FALSE))</f>
        <v>SI</v>
      </c>
      <c r="Y106" s="13" t="str">
        <f>IF(ISERROR(VLOOKUP(T_Voluntarios[[#This Row],[RUN]],BBDD_Formadores[],16,FALSE)),"NO",VLOOKUP(T_Voluntarios[[#This Row],[RUN]],BBDD_Formadores[],16,FALSE))</f>
        <v>Scouts</v>
      </c>
      <c r="Z106" s="13" t="str">
        <f>IF(ISERROR(VLOOKUP(T_Voluntarios[[#This Row],[RUN]],BBDD_Formadores[],17,FALSE)),"NO",VLOOKUP(T_Voluntarios[[#This Row],[RUN]],BBDD_Formadores[],17,FALSE))</f>
        <v>Scouts</v>
      </c>
      <c r="AA106" s="13" t="str">
        <f>IF(ISERROR(VLOOKUP(T_Voluntarios[[#This Row],[RUN]],BBDD_Formadores[],18,FALSE)),"NO",VLOOKUP(T_Voluntarios[[#This Row],[RUN]],BBDD_Formadores[],18,FALSE))</f>
        <v>NO</v>
      </c>
      <c r="AB106" s="13">
        <v>1</v>
      </c>
      <c r="AC106" s="13" t="s">
        <v>1</v>
      </c>
      <c r="AD106" s="13" t="s">
        <v>77</v>
      </c>
      <c r="AF106" s="2" t="str">
        <f>IF(VLOOKUP(T_Voluntarios[[#This Row],[RUN]],BBDD[],25,FALSE)=0,"",VLOOKUP(T_Voluntarios[[#This Row],[RUN]],BBDD[],25,FALSE))</f>
        <v/>
      </c>
      <c r="AG106" s="2" t="str">
        <f>IF(VLOOKUP(T_Voluntarios[[#This Row],[RUN]],BBDD[],26,FALSE)=0,"",VLOOKUP(T_Voluntarios[[#This Row],[RUN]],BBDD[],26,FALSE))</f>
        <v/>
      </c>
      <c r="AH106" s="2" t="str">
        <f>IF(VLOOKUP(T_Voluntarios[[#This Row],[RUN]],BBDD[],24,FALSE)=0,"",VLOOKUP(T_Voluntarios[[#This Row],[RUN]],BBDD[],24,FALSE))</f>
        <v/>
      </c>
      <c r="AI106" s="13" t="str">
        <f>VLOOKUP(T_Voluntarios[[#This Row],[RUN]],BBDD[],28,FALSE)</f>
        <v>No</v>
      </c>
      <c r="AJ106" s="13" t="str">
        <f>VLOOKUP(T_Voluntarios[[#This Row],[RUN]],BBDD[],28,FALSE)</f>
        <v>No</v>
      </c>
      <c r="AK106" s="32">
        <f>IF(T_Voluntarios[[#This Row],[ROL]]="Participante",SUMIFS(T_Cuotas[[#All],[Total]],T_Cuotas[[#All],[RUN]],T_Voluntarios[[#This Row],[RUN]]),-1)</f>
        <v>-1</v>
      </c>
      <c r="AL106" s="13" t="s">
        <v>1</v>
      </c>
      <c r="AM106" s="13" t="s">
        <v>2029</v>
      </c>
      <c r="AP106" s="2" t="str">
        <f>MID(T_Voluntarios[[#This Row],[E_MAIL]],SEARCH("@",T_Voluntarios[[#This Row],[E_MAIL]],1),LEN(T_Voluntarios[[#This Row],[E_MAIL]]))</f>
        <v>@gmail.com</v>
      </c>
      <c r="AQ106" s="13" t="str">
        <f>VLOOKUP(T_Voluntarios[[#This Row],[RUN]],BBDD[],37,FALSE)</f>
        <v>26</v>
      </c>
      <c r="AR106" s="2" t="str">
        <f>VLOOKUP(T_Voluntarios[[#This Row],[RUN]],BBDD[],29,FALSE)</f>
        <v>Nutricionista Clínica</v>
      </c>
      <c r="AS106" s="2" t="str">
        <f>VLOOKUP(T_Voluntarios[[#This Row],[RUN]],BBDD[],30,FALSE)</f>
        <v>Aprox 16 años</v>
      </c>
      <c r="AT106" s="2" t="str">
        <f>VLOOKUP(T_Voluntarios[[#This Row],[RUN]],BBDD[],31,FALSE)</f>
        <v>4 años</v>
      </c>
      <c r="AU106" s="2" t="str">
        <f>VLOOKUP(T_Voluntarios[[#This Row],[RUN]],BBDD[],32,FALSE)</f>
        <v>Soltero(a)</v>
      </c>
      <c r="AV106" s="2" t="str">
        <f>VLOOKUP(T_Voluntarios[[#This Row],[RUN]],BBDD[],33,FALSE)</f>
        <v>Ninguna</v>
      </c>
      <c r="AW106" s="2" t="str">
        <f>VLOOKUP(T_Voluntarios[[#This Row],[RUN]],BBDD[],34,FALSE)</f>
        <v>Cote</v>
      </c>
      <c r="AX106" s="13" t="s">
        <v>733</v>
      </c>
      <c r="AY106" s="76">
        <f>VLOOKUP(T_Voluntarios[[#This Row],[RUN]],BBDD[],2,FALSE)</f>
        <v>45790.978639506175</v>
      </c>
      <c r="AZ106" s="13" t="s">
        <v>2</v>
      </c>
    </row>
    <row r="107" spans="1:52" x14ac:dyDescent="0.3">
      <c r="A107" s="2" t="s">
        <v>1891</v>
      </c>
      <c r="B107" s="2" t="str">
        <f>VLOOKUP(T_Voluntarios[[#This Row],[RUN]],BBDD[],3,FALSE)</f>
        <v>bvillasolar@gmail.com</v>
      </c>
      <c r="C107" s="2" t="str">
        <f>VLOOKUP(T_Voluntarios[[#This Row],[RUN]],BBDD[],4,FALSE)</f>
        <v>Benjamin Alejandro Villa Solar</v>
      </c>
      <c r="D107" s="16">
        <f>VLOOKUP(T_Voluntarios[[#This Row],[RUN]],BBDD[],5,FALSE)</f>
        <v>37153</v>
      </c>
      <c r="E107" s="2" t="str">
        <f>VLOOKUP(T_Voluntarios[[#This Row],[RUN]],BBDD[],6,FALSE)</f>
        <v>2 oriente 61 poblacion esmeralda</v>
      </c>
      <c r="F107" s="2" t="str">
        <f>VLOOKUP(T_Voluntarios[[#This Row],[RUN]],BBDD[],7,FALSE)</f>
        <v>Talcahuano</v>
      </c>
      <c r="G107" s="2" t="str">
        <f>VLOOKUP(T_Voluntarios[[#This Row],[RUN]],BBDD[],8,FALSE)</f>
        <v>Celular</v>
      </c>
      <c r="H107" s="2" t="str">
        <f>IF(VLOOKUP(T_Voluntarios[[#This Row],[RUN]],BBDD[],9,FALSE)=0,"Falta",VLOOKUP(T_Voluntarios[[#This Row],[RUN]],BBDD[],9,FALSE))</f>
        <v>+56957767911</v>
      </c>
      <c r="I107" s="2" t="str">
        <f>VLOOKUP(T_Voluntarios[[#This Row],[RUN]],BBDD[],10,FALSE)</f>
        <v>Participante</v>
      </c>
      <c r="J107" s="2" t="str">
        <f>VLOOKUP(T_Voluntarios[[#This Row],[RUN]],BBDD[],11,FALSE)</f>
        <v>Santa Cecilia</v>
      </c>
      <c r="K107" s="2" t="str">
        <f>VLOOKUP(T_Voluntarios[[#This Row],[RUN]],BBDD[],12,FALSE)</f>
        <v>Pioneros</v>
      </c>
      <c r="L107" s="2" t="str">
        <f>VLOOKUP(T_Voluntarios[[#This Row],[RUN]],BBDD[],15,FALSE)</f>
        <v>Talcahuano - Hualpén</v>
      </c>
      <c r="M107" s="2" t="str">
        <f>VLOOKUP(T_Voluntarios[[#This Row],[RUN]],BBDD[],20,FALSE)</f>
        <v>Alimentación Tradicional</v>
      </c>
      <c r="N107" s="2" t="str">
        <f>VLOOKUP(T_Voluntarios[[#This Row],[RUN]],BBDD[],21,FALSE)</f>
        <v>Ninguna</v>
      </c>
      <c r="O107" s="2" t="str">
        <f>VLOOKUP(T_Voluntarios[[#This Row],[RUN]],BBDD[],22,FALSE)</f>
        <v>Ninguna</v>
      </c>
      <c r="P107" s="2" t="str">
        <f>VLOOKUP(T_Voluntarios[[#This Row],[RUN]],BBDD[],23,FALSE)</f>
        <v>Nadia solar +56997566570</v>
      </c>
      <c r="Q107" s="2" t="str">
        <f>IF(VLOOKUP(T_Voluntarios[[#This Row],[RUN]],BBDD[],27,FALSE)=0,"",VLOOKUP(T_Voluntarios[[#This Row],[RUN]],BBDD[],27,FALSE))</f>
        <v/>
      </c>
      <c r="R107" s="2" t="str">
        <f>VLOOKUP(T_Voluntarios[[#This Row],[RUN]],BBDD[],36,FALSE)</f>
        <v>https://drive.google.com/open?id=1T0X__lc4vi9oHfMcip1m9E3KrP33JPZl</v>
      </c>
      <c r="S107" s="2" t="str">
        <f>VLOOKUP(T_Voluntarios[[#This Row],[RUN]],BBDD[],16,FALSE)</f>
        <v>Inicial</v>
      </c>
      <c r="T107" s="2" t="str">
        <f>VLOOKUP(T_Voluntarios[[#This Row],[RUN]],BBDD[],17,FALSE)</f>
        <v>Ninguno</v>
      </c>
      <c r="U107" s="2" t="str">
        <f>VLOOKUP(T_Voluntarios[[#This Row],[RUN]],BBDD[],18,FALSE)</f>
        <v>Ninguno</v>
      </c>
      <c r="V107" s="2" t="str">
        <f>VLOOKUP(T_Voluntarios[[#This Row],[RUN]],BBDD[],19,FALSE)</f>
        <v>Ninguno</v>
      </c>
      <c r="W107" s="13" t="str">
        <f>IF(OR(T_Voluntarios[[#This Row],[ROL]]="Formador(a)"),"SI","NO")</f>
        <v>NO</v>
      </c>
      <c r="X107" s="13" t="str">
        <f>IF(ISERROR(VLOOKUP(T_Voluntarios[[#This Row],[RUN]],BBDD_Formadores[],15,FALSE)),"NO",VLOOKUP(T_Voluntarios[[#This Row],[RUN]],BBDD_Formadores[],15,FALSE))</f>
        <v>NO</v>
      </c>
      <c r="Y107" s="13" t="str">
        <f>IF(ISERROR(VLOOKUP(T_Voluntarios[[#This Row],[RUN]],BBDD_Formadores[],16,FALSE)),"NO",VLOOKUP(T_Voluntarios[[#This Row],[RUN]],BBDD_Formadores[],16,FALSE))</f>
        <v>NO</v>
      </c>
      <c r="Z107" s="13" t="str">
        <f>IF(ISERROR(VLOOKUP(T_Voluntarios[[#This Row],[RUN]],BBDD_Formadores[],17,FALSE)),"NO",VLOOKUP(T_Voluntarios[[#This Row],[RUN]],BBDD_Formadores[],17,FALSE))</f>
        <v>NO</v>
      </c>
      <c r="AA107" s="13" t="str">
        <f>IF(ISERROR(VLOOKUP(T_Voluntarios[[#This Row],[RUN]],BBDD_Formadores[],18,FALSE)),"NO",VLOOKUP(T_Voluntarios[[#This Row],[RUN]],BBDD_Formadores[],18,FALSE))</f>
        <v>NO</v>
      </c>
      <c r="AB107" s="13">
        <v>1</v>
      </c>
      <c r="AC107" s="13" t="s">
        <v>1</v>
      </c>
      <c r="AD107" s="13" t="s">
        <v>77</v>
      </c>
      <c r="AF107" s="2" t="str">
        <f>IF(VLOOKUP(T_Voluntarios[[#This Row],[RUN]],BBDD[],25,FALSE)=0,"",VLOOKUP(T_Voluntarios[[#This Row],[RUN]],BBDD[],25,FALSE))</f>
        <v/>
      </c>
      <c r="AG107" s="2" t="str">
        <f>IF(VLOOKUP(T_Voluntarios[[#This Row],[RUN]],BBDD[],26,FALSE)=0,"",VLOOKUP(T_Voluntarios[[#This Row],[RUN]],BBDD[],26,FALSE))</f>
        <v/>
      </c>
      <c r="AH107" s="2" t="str">
        <f>IF(VLOOKUP(T_Voluntarios[[#This Row],[RUN]],BBDD[],24,FALSE)=0,"",VLOOKUP(T_Voluntarios[[#This Row],[RUN]],BBDD[],24,FALSE))</f>
        <v/>
      </c>
      <c r="AI107" s="13" t="str">
        <f>VLOOKUP(T_Voluntarios[[#This Row],[RUN]],BBDD[],28,FALSE)</f>
        <v>No</v>
      </c>
      <c r="AJ107" s="13" t="str">
        <f>VLOOKUP(T_Voluntarios[[#This Row],[RUN]],BBDD[],28,FALSE)</f>
        <v>No</v>
      </c>
      <c r="AK107" s="32">
        <f>IF(T_Voluntarios[[#This Row],[ROL]]="Participante",SUMIFS(T_Cuotas[[#All],[Total]],T_Cuotas[[#All],[RUN]],T_Voluntarios[[#This Row],[RUN]]),-1)</f>
        <v>50000</v>
      </c>
      <c r="AL107" s="13" t="s">
        <v>1</v>
      </c>
      <c r="AM107" s="13" t="s">
        <v>2029</v>
      </c>
      <c r="AP107" s="2" t="str">
        <f>MID(T_Voluntarios[[#This Row],[E_MAIL]],SEARCH("@",T_Voluntarios[[#This Row],[E_MAIL]],1),LEN(T_Voluntarios[[#This Row],[E_MAIL]]))</f>
        <v>@gmail.com</v>
      </c>
      <c r="AQ107" s="13" t="str">
        <f>VLOOKUP(T_Voluntarios[[#This Row],[RUN]],BBDD[],37,FALSE)</f>
        <v>23</v>
      </c>
      <c r="AR107" s="2" t="str">
        <f>VLOOKUP(T_Voluntarios[[#This Row],[RUN]],BBDD[],29,FALSE)</f>
        <v>Kinesiologo</v>
      </c>
      <c r="AS107" s="2" t="str">
        <f>VLOOKUP(T_Voluntarios[[#This Row],[RUN]],BBDD[],30,FALSE)</f>
        <v>4 años</v>
      </c>
      <c r="AT107" s="2" t="str">
        <f>VLOOKUP(T_Voluntarios[[#This Row],[RUN]],BBDD[],31,FALSE)</f>
        <v>.</v>
      </c>
      <c r="AU107" s="2" t="str">
        <f>VLOOKUP(T_Voluntarios[[#This Row],[RUN]],BBDD[],32,FALSE)</f>
        <v>Soltero(a)</v>
      </c>
      <c r="AV107" s="2" t="str">
        <f>VLOOKUP(T_Voluntarios[[#This Row],[RUN]],BBDD[],33,FALSE)</f>
        <v>Ninguna</v>
      </c>
      <c r="AW107" s="2" t="str">
        <f>VLOOKUP(T_Voluntarios[[#This Row],[RUN]],BBDD[],34,FALSE)</f>
        <v>Benllamon</v>
      </c>
      <c r="AX107" s="13" t="s">
        <v>733</v>
      </c>
      <c r="AY107" s="76">
        <f>VLOOKUP(T_Voluntarios[[#This Row],[RUN]],BBDD[],2,FALSE)</f>
        <v>45791.521056172838</v>
      </c>
      <c r="AZ107" s="13" t="s">
        <v>3403</v>
      </c>
    </row>
    <row r="108" spans="1:52" ht="14.4" x14ac:dyDescent="0.3">
      <c r="A108" s="2" t="s">
        <v>1963</v>
      </c>
      <c r="B108" s="2" t="str">
        <f>VLOOKUP(T_Voluntarios[[#This Row],[RUN]],BBDD[],3,FALSE)</f>
        <v>rominaandrea.de@gmail.com</v>
      </c>
      <c r="C108" s="2" t="str">
        <f>VLOOKUP(T_Voluntarios[[#This Row],[RUN]],BBDD[],4,FALSE)</f>
        <v>Romina Andrea Daza Espinoza</v>
      </c>
      <c r="D108" s="16">
        <f>VLOOKUP(T_Voluntarios[[#This Row],[RUN]],BBDD[],5,FALSE)</f>
        <v>36943</v>
      </c>
      <c r="E108" s="2" t="str">
        <f>VLOOKUP(T_Voluntarios[[#This Row],[RUN]],BBDD[],6,FALSE)</f>
        <v>Gibraltar 2718</v>
      </c>
      <c r="F108" s="2" t="str">
        <f>VLOOKUP(T_Voluntarios[[#This Row],[RUN]],BBDD[],7,FALSE)</f>
        <v>Hualpén</v>
      </c>
      <c r="G108" s="2" t="str">
        <f>VLOOKUP(T_Voluntarios[[#This Row],[RUN]],BBDD[],8,FALSE)</f>
        <v>Celular</v>
      </c>
      <c r="H108" s="2" t="str">
        <f>IF(VLOOKUP(T_Voluntarios[[#This Row],[RUN]],BBDD[],9,FALSE)=0,"Falta",VLOOKUP(T_Voluntarios[[#This Row],[RUN]],BBDD[],9,FALSE))</f>
        <v>+56990602354</v>
      </c>
      <c r="I108" s="2" t="str">
        <f>VLOOKUP(T_Voluntarios[[#This Row],[RUN]],BBDD[],10,FALSE)</f>
        <v>Participante</v>
      </c>
      <c r="J108" s="2" t="str">
        <f>VLOOKUP(T_Voluntarios[[#This Row],[RUN]],BBDD[],11,FALSE)</f>
        <v>Helen Keller</v>
      </c>
      <c r="K108" s="2" t="str">
        <f>VLOOKUP(T_Voluntarios[[#This Row],[RUN]],BBDD[],12,FALSE)</f>
        <v>Guias</v>
      </c>
      <c r="L108" s="2" t="str">
        <f>VLOOKUP(T_Voluntarios[[#This Row],[RUN]],BBDD[],15,FALSE)</f>
        <v>Talcahuano - Hualpén</v>
      </c>
      <c r="M108" s="2" t="str">
        <f>VLOOKUP(T_Voluntarios[[#This Row],[RUN]],BBDD[],20,FALSE)</f>
        <v>Alimentación Vegetariana</v>
      </c>
      <c r="N108" s="2" t="str">
        <f>VLOOKUP(T_Voluntarios[[#This Row],[RUN]],BBDD[],21,FALSE)</f>
        <v>Alergia a los mariscos y asma</v>
      </c>
      <c r="O108" s="2" t="str">
        <f>VLOOKUP(T_Voluntarios[[#This Row],[RUN]],BBDD[],22,FALSE)</f>
        <v>Asma</v>
      </c>
      <c r="P108" s="2" t="str">
        <f>VLOOKUP(T_Voluntarios[[#This Row],[RUN]],BBDD[],23,FALSE)</f>
        <v>Nancy Espinoza +56 9 5638 5203</v>
      </c>
      <c r="Q108" s="2" t="str">
        <f>IF(VLOOKUP(T_Voluntarios[[#This Row],[RUN]],BBDD[],27,FALSE)=0,"",VLOOKUP(T_Voluntarios[[#This Row],[RUN]],BBDD[],27,FALSE))</f>
        <v/>
      </c>
      <c r="R108" s="2" t="str">
        <f>VLOOKUP(T_Voluntarios[[#This Row],[RUN]],BBDD[],36,FALSE)</f>
        <v>https://drive.google.com/open?id=1E1zZjxMwqEIA1_63X0hzW6QiRxW90smmC7g-kUyXDDo</v>
      </c>
      <c r="S108" s="2" t="str">
        <f>VLOOKUP(T_Voluntarios[[#This Row],[RUN]],BBDD[],16,FALSE)</f>
        <v>Inicial</v>
      </c>
      <c r="T108" s="2" t="str">
        <f>VLOOKUP(T_Voluntarios[[#This Row],[RUN]],BBDD[],17,FALSE)</f>
        <v>Ninguno</v>
      </c>
      <c r="U108" s="2" t="str">
        <f>VLOOKUP(T_Voluntarios[[#This Row],[RUN]],BBDD[],18,FALSE)</f>
        <v>Ninguno</v>
      </c>
      <c r="V108" s="2" t="str">
        <f>VLOOKUP(T_Voluntarios[[#This Row],[RUN]],BBDD[],19,FALSE)</f>
        <v>Ninguno</v>
      </c>
      <c r="W108" s="13" t="str">
        <f>IF(OR(T_Voluntarios[[#This Row],[ROL]]="Formador(a)"),"SI","NO")</f>
        <v>NO</v>
      </c>
      <c r="X108" s="13" t="str">
        <f>IF(ISERROR(VLOOKUP(T_Voluntarios[[#This Row],[RUN]],BBDD_Formadores[],15,FALSE)),"NO",VLOOKUP(T_Voluntarios[[#This Row],[RUN]],BBDD_Formadores[],15,FALSE))</f>
        <v>NO</v>
      </c>
      <c r="Y108" s="13" t="str">
        <f>IF(ISERROR(VLOOKUP(T_Voluntarios[[#This Row],[RUN]],BBDD_Formadores[],16,FALSE)),"NO",VLOOKUP(T_Voluntarios[[#This Row],[RUN]],BBDD_Formadores[],16,FALSE))</f>
        <v>NO</v>
      </c>
      <c r="Z108" s="13" t="str">
        <f>IF(ISERROR(VLOOKUP(T_Voluntarios[[#This Row],[RUN]],BBDD_Formadores[],17,FALSE)),"NO",VLOOKUP(T_Voluntarios[[#This Row],[RUN]],BBDD_Formadores[],17,FALSE))</f>
        <v>NO</v>
      </c>
      <c r="AA108" s="13" t="str">
        <f>IF(ISERROR(VLOOKUP(T_Voluntarios[[#This Row],[RUN]],BBDD_Formadores[],18,FALSE)),"NO",VLOOKUP(T_Voluntarios[[#This Row],[RUN]],BBDD_Formadores[],18,FALSE))</f>
        <v>NO</v>
      </c>
      <c r="AB108" s="13">
        <v>1</v>
      </c>
      <c r="AC108" s="13" t="s">
        <v>1597</v>
      </c>
      <c r="AD108" s="13" t="s">
        <v>78</v>
      </c>
      <c r="AF108" s="2" t="str">
        <f>IF(VLOOKUP(T_Voluntarios[[#This Row],[RUN]],BBDD[],25,FALSE)=0,"",VLOOKUP(T_Voluntarios[[#This Row],[RUN]],BBDD[],25,FALSE))</f>
        <v/>
      </c>
      <c r="AG108" s="2" t="str">
        <f>IF(VLOOKUP(T_Voluntarios[[#This Row],[RUN]],BBDD[],26,FALSE)=0,"",VLOOKUP(T_Voluntarios[[#This Row],[RUN]],BBDD[],26,FALSE))</f>
        <v/>
      </c>
      <c r="AH108" s="2" t="str">
        <f>IF(VLOOKUP(T_Voluntarios[[#This Row],[RUN]],BBDD[],24,FALSE)=0,"",VLOOKUP(T_Voluntarios[[#This Row],[RUN]],BBDD[],24,FALSE))</f>
        <v/>
      </c>
      <c r="AI108" s="13" t="str">
        <f>VLOOKUP(T_Voluntarios[[#This Row],[RUN]],BBDD[],28,FALSE)</f>
        <v>SI</v>
      </c>
      <c r="AJ108" s="13" t="str">
        <f>VLOOKUP(T_Voluntarios[[#This Row],[RUN]],BBDD[],28,FALSE)</f>
        <v>SI</v>
      </c>
      <c r="AK108" s="32">
        <f>IF(T_Voluntarios[[#This Row],[ROL]]="Participante",SUMIFS(T_Cuotas[[#All],[Total]],T_Cuotas[[#All],[RUN]],T_Voluntarios[[#This Row],[RUN]]),-1)</f>
        <v>0</v>
      </c>
      <c r="AL108" s="1" t="s">
        <v>78</v>
      </c>
      <c r="AM108" s="13" t="s">
        <v>733</v>
      </c>
      <c r="AP108" s="2" t="str">
        <f>MID(T_Voluntarios[[#This Row],[E_MAIL]],SEARCH("@",T_Voluntarios[[#This Row],[E_MAIL]],1),LEN(T_Voluntarios[[#This Row],[E_MAIL]]))</f>
        <v>@gmail.com</v>
      </c>
      <c r="AQ108" s="13" t="str">
        <f>VLOOKUP(T_Voluntarios[[#This Row],[RUN]],BBDD[],37,FALSE)</f>
        <v>24</v>
      </c>
      <c r="AR108" s="2" t="str">
        <f>VLOOKUP(T_Voluntarios[[#This Row],[RUN]],BBDD[],29,FALSE)</f>
        <v>Estudiante de Kinesiología</v>
      </c>
      <c r="AS108" s="2" t="str">
        <f>VLOOKUP(T_Voluntarios[[#This Row],[RUN]],BBDD[],30,FALSE)</f>
        <v>9 años</v>
      </c>
      <c r="AT108" s="2" t="str">
        <f>VLOOKUP(T_Voluntarios[[#This Row],[RUN]],BBDD[],31,FALSE)</f>
        <v>3 años</v>
      </c>
      <c r="AU108" s="2" t="str">
        <f>VLOOKUP(T_Voluntarios[[#This Row],[RUN]],BBDD[],32,FALSE)</f>
        <v>Soltero(a)</v>
      </c>
      <c r="AV108" s="2" t="str">
        <f>VLOOKUP(T_Voluntarios[[#This Row],[RUN]],BBDD[],33,FALSE)</f>
        <v>Ninguna</v>
      </c>
      <c r="AW108" s="2" t="str">
        <f>VLOOKUP(T_Voluntarios[[#This Row],[RUN]],BBDD[],34,FALSE)</f>
        <v>Romi</v>
      </c>
      <c r="AX108" s="13" t="s">
        <v>733</v>
      </c>
      <c r="AY108" s="76">
        <f>VLOOKUP(T_Voluntarios[[#This Row],[RUN]],BBDD[],2,FALSE)</f>
        <v>45791.782496141976</v>
      </c>
      <c r="AZ108" s="13" t="s">
        <v>2</v>
      </c>
    </row>
    <row r="109" spans="1:52" x14ac:dyDescent="0.3">
      <c r="A109" s="2" t="s">
        <v>1900</v>
      </c>
      <c r="B109" s="2" t="str">
        <f>VLOOKUP(T_Voluntarios[[#This Row],[RUN]],BBDD[],3,FALSE)</f>
        <v>alejandraaluna@gmail.com</v>
      </c>
      <c r="C109" s="2" t="str">
        <f>VLOOKUP(T_Voluntarios[[#This Row],[RUN]],BBDD[],4,FALSE)</f>
        <v>Alejandra Andrea Luna Gallardo</v>
      </c>
      <c r="D109" s="16">
        <f>VLOOKUP(T_Voluntarios[[#This Row],[RUN]],BBDD[],5,FALSE)</f>
        <v>32501</v>
      </c>
      <c r="E109" s="2" t="str">
        <f>VLOOKUP(T_Voluntarios[[#This Row],[RUN]],BBDD[],6,FALSE)</f>
        <v>Serbia 3127 sector el solar, block 4 depto 502</v>
      </c>
      <c r="F109" s="2" t="str">
        <f>VLOOKUP(T_Voluntarios[[#This Row],[RUN]],BBDD[],7,FALSE)</f>
        <v>Hualpén</v>
      </c>
      <c r="G109" s="2" t="str">
        <f>VLOOKUP(T_Voluntarios[[#This Row],[RUN]],BBDD[],8,FALSE)</f>
        <v>Celular</v>
      </c>
      <c r="H109" s="2" t="str">
        <f>IF(VLOOKUP(T_Voluntarios[[#This Row],[RUN]],BBDD[],9,FALSE)=0,"Falta",VLOOKUP(T_Voluntarios[[#This Row],[RUN]],BBDD[],9,FALSE))</f>
        <v>+56979775151</v>
      </c>
      <c r="I109" s="2" t="str">
        <f>VLOOKUP(T_Voluntarios[[#This Row],[RUN]],BBDD[],10,FALSE)</f>
        <v>Participante</v>
      </c>
      <c r="J109" s="2" t="str">
        <f>VLOOKUP(T_Voluntarios[[#This Row],[RUN]],BBDD[],11,FALSE)</f>
        <v>Helen Keller</v>
      </c>
      <c r="K109" s="2" t="str">
        <f>VLOOKUP(T_Voluntarios[[#This Row],[RUN]],BBDD[],12,FALSE)</f>
        <v>Golondrinas</v>
      </c>
      <c r="L109" s="2" t="str">
        <f>VLOOKUP(T_Voluntarios[[#This Row],[RUN]],BBDD[],15,FALSE)</f>
        <v>Talcahuano - Hualpén</v>
      </c>
      <c r="M109" s="2" t="str">
        <f>VLOOKUP(T_Voluntarios[[#This Row],[RUN]],BBDD[],20,FALSE)</f>
        <v>Alimentación Tradicional</v>
      </c>
      <c r="N109" s="2" t="str">
        <f>VLOOKUP(T_Voluntarios[[#This Row],[RUN]],BBDD[],21,FALSE)</f>
        <v>Ninguna</v>
      </c>
      <c r="O109" s="2" t="str">
        <f>VLOOKUP(T_Voluntarios[[#This Row],[RUN]],BBDD[],22,FALSE)</f>
        <v>Ninguna</v>
      </c>
      <c r="P109" s="2" t="str">
        <f>VLOOKUP(T_Voluntarios[[#This Row],[RUN]],BBDD[],23,FALSE)</f>
        <v>Luis Burgos Contreras +56977008466</v>
      </c>
      <c r="Q109" s="2" t="str">
        <f>IF(VLOOKUP(T_Voluntarios[[#This Row],[RUN]],BBDD[],27,FALSE)=0,"",VLOOKUP(T_Voluntarios[[#This Row],[RUN]],BBDD[],27,FALSE))</f>
        <v/>
      </c>
      <c r="R109" s="2" t="str">
        <f>VLOOKUP(T_Voluntarios[[#This Row],[RUN]],BBDD[],36,FALSE)</f>
        <v>https://drive.google.com/open?id=1aHBHrS-nWwh4-FmnXYwqettD1CHAYMts</v>
      </c>
      <c r="S109" s="2" t="str">
        <f>VLOOKUP(T_Voluntarios[[#This Row],[RUN]],BBDD[],16,FALSE)</f>
        <v>Inicial</v>
      </c>
      <c r="T109" s="2" t="str">
        <f>VLOOKUP(T_Voluntarios[[#This Row],[RUN]],BBDD[],17,FALSE)</f>
        <v>Ninguno</v>
      </c>
      <c r="U109" s="2" t="str">
        <f>VLOOKUP(T_Voluntarios[[#This Row],[RUN]],BBDD[],18,FALSE)</f>
        <v>Ninguno</v>
      </c>
      <c r="V109" s="2" t="str">
        <f>VLOOKUP(T_Voluntarios[[#This Row],[RUN]],BBDD[],19,FALSE)</f>
        <v>Ninguno</v>
      </c>
      <c r="W109" s="13" t="str">
        <f>IF(OR(T_Voluntarios[[#This Row],[ROL]]="Formador(a)"),"SI","NO")</f>
        <v>NO</v>
      </c>
      <c r="X109" s="13" t="str">
        <f>IF(ISERROR(VLOOKUP(T_Voluntarios[[#This Row],[RUN]],BBDD_Formadores[],15,FALSE)),"NO",VLOOKUP(T_Voluntarios[[#This Row],[RUN]],BBDD_Formadores[],15,FALSE))</f>
        <v>NO</v>
      </c>
      <c r="Y109" s="13" t="str">
        <f>IF(ISERROR(VLOOKUP(T_Voluntarios[[#This Row],[RUN]],BBDD_Formadores[],16,FALSE)),"NO",VLOOKUP(T_Voluntarios[[#This Row],[RUN]],BBDD_Formadores[],16,FALSE))</f>
        <v>NO</v>
      </c>
      <c r="Z109" s="13" t="str">
        <f>IF(ISERROR(VLOOKUP(T_Voluntarios[[#This Row],[RUN]],BBDD_Formadores[],17,FALSE)),"NO",VLOOKUP(T_Voluntarios[[#This Row],[RUN]],BBDD_Formadores[],17,FALSE))</f>
        <v>NO</v>
      </c>
      <c r="AA109" s="13" t="str">
        <f>IF(ISERROR(VLOOKUP(T_Voluntarios[[#This Row],[RUN]],BBDD_Formadores[],18,FALSE)),"NO",VLOOKUP(T_Voluntarios[[#This Row],[RUN]],BBDD_Formadores[],18,FALSE))</f>
        <v>NO</v>
      </c>
      <c r="AB109" s="13">
        <v>1</v>
      </c>
      <c r="AC109" s="13" t="s">
        <v>1</v>
      </c>
      <c r="AD109" s="13" t="s">
        <v>77</v>
      </c>
      <c r="AF109" s="2" t="str">
        <f>IF(VLOOKUP(T_Voluntarios[[#This Row],[RUN]],BBDD[],25,FALSE)=0,"",VLOOKUP(T_Voluntarios[[#This Row],[RUN]],BBDD[],25,FALSE))</f>
        <v/>
      </c>
      <c r="AG109" s="2" t="str">
        <f>IF(VLOOKUP(T_Voluntarios[[#This Row],[RUN]],BBDD[],26,FALSE)=0,"",VLOOKUP(T_Voluntarios[[#This Row],[RUN]],BBDD[],26,FALSE))</f>
        <v/>
      </c>
      <c r="AH109" s="2" t="str">
        <f>IF(VLOOKUP(T_Voluntarios[[#This Row],[RUN]],BBDD[],24,FALSE)=0,"",VLOOKUP(T_Voluntarios[[#This Row],[RUN]],BBDD[],24,FALSE))</f>
        <v/>
      </c>
      <c r="AI109" s="13" t="str">
        <f>VLOOKUP(T_Voluntarios[[#This Row],[RUN]],BBDD[],28,FALSE)</f>
        <v>SI</v>
      </c>
      <c r="AJ109" s="13" t="str">
        <f>VLOOKUP(T_Voluntarios[[#This Row],[RUN]],BBDD[],28,FALSE)</f>
        <v>SI</v>
      </c>
      <c r="AK109" s="32">
        <f>IF(T_Voluntarios[[#This Row],[ROL]]="Participante",SUMIFS(T_Cuotas[[#All],[Total]],T_Cuotas[[#All],[RUN]],T_Voluntarios[[#This Row],[RUN]]),-1)</f>
        <v>50000</v>
      </c>
      <c r="AL109" s="13" t="s">
        <v>1</v>
      </c>
      <c r="AM109" s="13" t="s">
        <v>2029</v>
      </c>
      <c r="AP109" s="2" t="str">
        <f>MID(T_Voluntarios[[#This Row],[E_MAIL]],SEARCH("@",T_Voluntarios[[#This Row],[E_MAIL]],1),LEN(T_Voluntarios[[#This Row],[E_MAIL]]))</f>
        <v>@gmail.com</v>
      </c>
      <c r="AQ109" s="13" t="str">
        <f>VLOOKUP(T_Voluntarios[[#This Row],[RUN]],BBDD[],37,FALSE)</f>
        <v>36</v>
      </c>
      <c r="AR109" s="2" t="str">
        <f>VLOOKUP(T_Voluntarios[[#This Row],[RUN]],BBDD[],29,FALSE)</f>
        <v>Prevencionista de riesgos</v>
      </c>
      <c r="AS109" s="2" t="str">
        <f>VLOOKUP(T_Voluntarios[[#This Row],[RUN]],BBDD[],30,FALSE)</f>
        <v>12 años</v>
      </c>
      <c r="AT109" s="2" t="str">
        <f>VLOOKUP(T_Voluntarios[[#This Row],[RUN]],BBDD[],31,FALSE)</f>
        <v>1 año</v>
      </c>
      <c r="AU109" s="2" t="str">
        <f>VLOOKUP(T_Voluntarios[[#This Row],[RUN]],BBDD[],32,FALSE)</f>
        <v>Soltero(a)</v>
      </c>
      <c r="AV109" s="2" t="str">
        <f>VLOOKUP(T_Voluntarios[[#This Row],[RUN]],BBDD[],33,FALSE)</f>
        <v>Ninguna</v>
      </c>
      <c r="AW109" s="2" t="str">
        <f>VLOOKUP(T_Voluntarios[[#This Row],[RUN]],BBDD[],34,FALSE)</f>
        <v>Luna</v>
      </c>
      <c r="AX109" s="13" t="s">
        <v>733</v>
      </c>
      <c r="AY109" s="76">
        <f>VLOOKUP(T_Voluntarios[[#This Row],[RUN]],BBDD[],2,FALSE)</f>
        <v>45791.822824614195</v>
      </c>
      <c r="AZ109" s="13" t="s">
        <v>3403</v>
      </c>
    </row>
    <row r="110" spans="1:52" x14ac:dyDescent="0.3">
      <c r="A110" s="2" t="s">
        <v>1908</v>
      </c>
      <c r="B110" s="2" t="str">
        <f>VLOOKUP(T_Voluntarios[[#This Row],[RUN]],BBDD[],3,FALSE)</f>
        <v>rocamila98@gmail.com</v>
      </c>
      <c r="C110" s="2" t="str">
        <f>VLOOKUP(T_Voluntarios[[#This Row],[RUN]],BBDD[],4,FALSE)</f>
        <v>Camila Alejandra Roca Carvajal</v>
      </c>
      <c r="D110" s="16">
        <f>VLOOKUP(T_Voluntarios[[#This Row],[RUN]],BBDD[],5,FALSE)</f>
        <v>36099</v>
      </c>
      <c r="E110" s="2" t="str">
        <f>VLOOKUP(T_Voluntarios[[#This Row],[RUN]],BBDD[],6,FALSE)</f>
        <v>Cochrane 815</v>
      </c>
      <c r="F110" s="2" t="str">
        <f>VLOOKUP(T_Voluntarios[[#This Row],[RUN]],BBDD[],7,FALSE)</f>
        <v>Arauco</v>
      </c>
      <c r="G110" s="2" t="str">
        <f>VLOOKUP(T_Voluntarios[[#This Row],[RUN]],BBDD[],8,FALSE)</f>
        <v>Celular</v>
      </c>
      <c r="H110" s="2" t="str">
        <f>IF(VLOOKUP(T_Voluntarios[[#This Row],[RUN]],BBDD[],9,FALSE)=0,"Falta",VLOOKUP(T_Voluntarios[[#This Row],[RUN]],BBDD[],9,FALSE))</f>
        <v>+56958573099</v>
      </c>
      <c r="I110" s="2" t="str">
        <f>VLOOKUP(T_Voluntarios[[#This Row],[RUN]],BBDD[],10,FALSE)</f>
        <v>Participante</v>
      </c>
      <c r="J110" s="2" t="str">
        <f>VLOOKUP(T_Voluntarios[[#This Row],[RUN]],BBDD[],11,FALSE)</f>
        <v>Pehuen</v>
      </c>
      <c r="K110" s="2" t="str">
        <f>VLOOKUP(T_Voluntarios[[#This Row],[RUN]],BBDD[],12,FALSE)</f>
        <v>Golondrinas</v>
      </c>
      <c r="L110" s="2" t="str">
        <f>VLOOKUP(T_Voluntarios[[#This Row],[RUN]],BBDD[],15,FALSE)</f>
        <v>Nahuelbuta</v>
      </c>
      <c r="M110" s="2" t="str">
        <f>VLOOKUP(T_Voluntarios[[#This Row],[RUN]],BBDD[],20,FALSE)</f>
        <v>Alimentación Tradicional</v>
      </c>
      <c r="N110" s="2" t="str">
        <f>VLOOKUP(T_Voluntarios[[#This Row],[RUN]],BBDD[],21,FALSE)</f>
        <v>Miel</v>
      </c>
      <c r="O110" s="2" t="str">
        <f>VLOOKUP(T_Voluntarios[[#This Row],[RUN]],BBDD[],22,FALSE)</f>
        <v>Ninguna</v>
      </c>
      <c r="P110" s="2" t="str">
        <f>VLOOKUP(T_Voluntarios[[#This Row],[RUN]],BBDD[],23,FALSE)</f>
        <v>Gonsalo Rivas +56957631673</v>
      </c>
      <c r="Q110" s="2" t="str">
        <f>IF(VLOOKUP(T_Voluntarios[[#This Row],[RUN]],BBDD[],27,FALSE)=0,"",VLOOKUP(T_Voluntarios[[#This Row],[RUN]],BBDD[],27,FALSE))</f>
        <v>Soy administradora de una panadería y mi contrato se rige por el artículo 22</v>
      </c>
      <c r="R110" s="2" t="str">
        <f>VLOOKUP(T_Voluntarios[[#This Row],[RUN]],BBDD[],36,FALSE)</f>
        <v>https://drive.google.com/open?id=1PDh3AvRik-1L8DZg4qxPiLllaWJnaIYi</v>
      </c>
      <c r="S110" s="2" t="str">
        <f>VLOOKUP(T_Voluntarios[[#This Row],[RUN]],BBDD[],16,FALSE)</f>
        <v>Inicial</v>
      </c>
      <c r="T110" s="2" t="str">
        <f>VLOOKUP(T_Voluntarios[[#This Row],[RUN]],BBDD[],17,FALSE)</f>
        <v>Ninguno</v>
      </c>
      <c r="U110" s="2" t="str">
        <f>VLOOKUP(T_Voluntarios[[#This Row],[RUN]],BBDD[],18,FALSE)</f>
        <v>Ninguno</v>
      </c>
      <c r="V110" s="2" t="str">
        <f>VLOOKUP(T_Voluntarios[[#This Row],[RUN]],BBDD[],19,FALSE)</f>
        <v>Ninguno</v>
      </c>
      <c r="W110" s="13" t="str">
        <f>IF(OR(T_Voluntarios[[#This Row],[ROL]]="Formador(a)"),"SI","NO")</f>
        <v>NO</v>
      </c>
      <c r="X110" s="13" t="str">
        <f>IF(ISERROR(VLOOKUP(T_Voluntarios[[#This Row],[RUN]],BBDD_Formadores[],15,FALSE)),"NO",VLOOKUP(T_Voluntarios[[#This Row],[RUN]],BBDD_Formadores[],15,FALSE))</f>
        <v>NO</v>
      </c>
      <c r="Y110" s="13" t="str">
        <f>IF(ISERROR(VLOOKUP(T_Voluntarios[[#This Row],[RUN]],BBDD_Formadores[],16,FALSE)),"NO",VLOOKUP(T_Voluntarios[[#This Row],[RUN]],BBDD_Formadores[],16,FALSE))</f>
        <v>NO</v>
      </c>
      <c r="Z110" s="13" t="str">
        <f>IF(ISERROR(VLOOKUP(T_Voluntarios[[#This Row],[RUN]],BBDD_Formadores[],17,FALSE)),"NO",VLOOKUP(T_Voluntarios[[#This Row],[RUN]],BBDD_Formadores[],17,FALSE))</f>
        <v>NO</v>
      </c>
      <c r="AA110" s="13" t="str">
        <f>IF(ISERROR(VLOOKUP(T_Voluntarios[[#This Row],[RUN]],BBDD_Formadores[],18,FALSE)),"NO",VLOOKUP(T_Voluntarios[[#This Row],[RUN]],BBDD_Formadores[],18,FALSE))</f>
        <v>NO</v>
      </c>
      <c r="AB110" s="13">
        <v>1</v>
      </c>
      <c r="AC110" s="13" t="s">
        <v>1</v>
      </c>
      <c r="AD110" s="13" t="s">
        <v>77</v>
      </c>
      <c r="AF110" s="2" t="str">
        <f>IF(VLOOKUP(T_Voluntarios[[#This Row],[RUN]],BBDD[],25,FALSE)=0,"",VLOOKUP(T_Voluntarios[[#This Row],[RUN]],BBDD[],25,FALSE))</f>
        <v>Peugeot</v>
      </c>
      <c r="AG110" s="2" t="str">
        <f>IF(VLOOKUP(T_Voluntarios[[#This Row],[RUN]],BBDD[],26,FALSE)=0,"",VLOOKUP(T_Voluntarios[[#This Row],[RUN]],BBDD[],26,FALSE))</f>
        <v>2008</v>
      </c>
      <c r="AH110" s="2" t="str">
        <f>IF(VLOOKUP(T_Voluntarios[[#This Row],[RUN]],BBDD[],24,FALSE)=0,"",VLOOKUP(T_Voluntarios[[#This Row],[RUN]],BBDD[],24,FALSE))</f>
        <v>Tvzk55</v>
      </c>
      <c r="AI110" s="13" t="str">
        <f>VLOOKUP(T_Voluntarios[[#This Row],[RUN]],BBDD[],28,FALSE)</f>
        <v>SI</v>
      </c>
      <c r="AJ110" s="13" t="str">
        <f>VLOOKUP(T_Voluntarios[[#This Row],[RUN]],BBDD[],28,FALSE)</f>
        <v>SI</v>
      </c>
      <c r="AK110" s="32">
        <f>IF(T_Voluntarios[[#This Row],[ROL]]="Participante",SUMIFS(T_Cuotas[[#All],[Total]],T_Cuotas[[#All],[RUN]],T_Voluntarios[[#This Row],[RUN]]),-1)</f>
        <v>50000</v>
      </c>
      <c r="AL110" s="13" t="s">
        <v>1</v>
      </c>
      <c r="AM110" s="13" t="s">
        <v>2029</v>
      </c>
      <c r="AP110" s="2" t="str">
        <f>MID(T_Voluntarios[[#This Row],[E_MAIL]],SEARCH("@",T_Voluntarios[[#This Row],[E_MAIL]],1),LEN(T_Voluntarios[[#This Row],[E_MAIL]]))</f>
        <v>@gmail.com</v>
      </c>
      <c r="AQ110" s="13" t="str">
        <f>VLOOKUP(T_Voluntarios[[#This Row],[RUN]],BBDD[],37,FALSE)</f>
        <v>26</v>
      </c>
      <c r="AR110" s="2" t="str">
        <f>VLOOKUP(T_Voluntarios[[#This Row],[RUN]],BBDD[],29,FALSE)</f>
        <v>Ingeniera en Administración</v>
      </c>
      <c r="AS110" s="2" t="str">
        <f>VLOOKUP(T_Voluntarios[[#This Row],[RUN]],BBDD[],30,FALSE)</f>
        <v>2 años</v>
      </c>
      <c r="AT110" s="2" t="str">
        <f>VLOOKUP(T_Voluntarios[[#This Row],[RUN]],BBDD[],31,FALSE)</f>
        <v>3 meses</v>
      </c>
      <c r="AU110" s="2" t="str">
        <f>VLOOKUP(T_Voluntarios[[#This Row],[RUN]],BBDD[],32,FALSE)</f>
        <v>Soltero(a)</v>
      </c>
      <c r="AV110" s="2" t="str">
        <f>VLOOKUP(T_Voluntarios[[#This Row],[RUN]],BBDD[],33,FALSE)</f>
        <v>Ninguna</v>
      </c>
      <c r="AW110" s="2" t="str">
        <f>VLOOKUP(T_Voluntarios[[#This Row],[RUN]],BBDD[],34,FALSE)</f>
        <v>Cami</v>
      </c>
      <c r="AX110" s="13" t="s">
        <v>733</v>
      </c>
      <c r="AY110" s="76">
        <f>VLOOKUP(T_Voluntarios[[#This Row],[RUN]],BBDD[],2,FALSE)</f>
        <v>45791.837553935184</v>
      </c>
      <c r="AZ110" s="13" t="s">
        <v>3403</v>
      </c>
    </row>
    <row r="111" spans="1:52" x14ac:dyDescent="0.3">
      <c r="A111" s="2" t="s">
        <v>1990</v>
      </c>
      <c r="B111" s="2" t="str">
        <f>VLOOKUP(T_Voluntarios[[#This Row],[RUN]],BBDD[],3,FALSE)</f>
        <v>moni.aranguiz.v@gmail.com</v>
      </c>
      <c r="C111" s="2" t="str">
        <f>VLOOKUP(T_Voluntarios[[#This Row],[RUN]],BBDD[],4,FALSE)</f>
        <v>Mónica Scarlett Aránguiz Venegas</v>
      </c>
      <c r="D111" s="16">
        <f>VLOOKUP(T_Voluntarios[[#This Row],[RUN]],BBDD[],5,FALSE)</f>
        <v>35802</v>
      </c>
      <c r="E111" s="2" t="str">
        <f>VLOOKUP(T_Voluntarios[[#This Row],[RUN]],BBDD[],6,FALSE)</f>
        <v>Centenario #116 Pobl. Balmaceda</v>
      </c>
      <c r="F111" s="2" t="str">
        <f>VLOOKUP(T_Voluntarios[[#This Row],[RUN]],BBDD[],7,FALSE)</f>
        <v>Chillán</v>
      </c>
      <c r="G111" s="2" t="str">
        <f>VLOOKUP(T_Voluntarios[[#This Row],[RUN]],BBDD[],8,FALSE)</f>
        <v>Celular</v>
      </c>
      <c r="H111" s="2" t="str">
        <f>IF(VLOOKUP(T_Voluntarios[[#This Row],[RUN]],BBDD[],9,FALSE)=0,"Falta",VLOOKUP(T_Voluntarios[[#This Row],[RUN]],BBDD[],9,FALSE))</f>
        <v>+56990350961</v>
      </c>
      <c r="I111" s="2" t="str">
        <f>VLOOKUP(T_Voluntarios[[#This Row],[RUN]],BBDD[],10,FALSE)</f>
        <v>Formador(a)</v>
      </c>
      <c r="J111" s="2" t="str">
        <f>VLOOKUP(T_Voluntarios[[#This Row],[RUN]],BBDD[],11,FALSE)</f>
        <v>San Francisco</v>
      </c>
      <c r="K111" s="2" t="str">
        <f>VLOOKUP(T_Voluntarios[[#This Row],[RUN]],BBDD[],12,FALSE)</f>
        <v>Guias</v>
      </c>
      <c r="L111" s="2" t="str">
        <f>VLOOKUP(T_Voluntarios[[#This Row],[RUN]],BBDD[],15,FALSE)</f>
        <v>Zona Ñuble</v>
      </c>
      <c r="M111" s="2" t="str">
        <f>VLOOKUP(T_Voluntarios[[#This Row],[RUN]],BBDD[],20,FALSE)</f>
        <v>Alimentación Tradicional</v>
      </c>
      <c r="N111" s="2" t="str">
        <f>VLOOKUP(T_Voluntarios[[#This Row],[RUN]],BBDD[],21,FALSE)</f>
        <v>Ninguna</v>
      </c>
      <c r="O111" s="2" t="str">
        <f>VLOOKUP(T_Voluntarios[[#This Row],[RUN]],BBDD[],22,FALSE)</f>
        <v>Ninguna</v>
      </c>
      <c r="P111" s="2" t="str">
        <f>VLOOKUP(T_Voluntarios[[#This Row],[RUN]],BBDD[],23,FALSE)</f>
        <v>Mónica Venegas Mardones - 985006839</v>
      </c>
      <c r="Q111" s="2" t="str">
        <f>IF(VLOOKUP(T_Voluntarios[[#This Row],[RUN]],BBDD[],27,FALSE)=0,"",VLOOKUP(T_Voluntarios[[#This Row],[RUN]],BBDD[],27,FALSE))</f>
        <v/>
      </c>
      <c r="R111" s="2" t="str">
        <f>VLOOKUP(T_Voluntarios[[#This Row],[RUN]],BBDD[],36,FALSE)</f>
        <v>https://drive.google.com/open?id=1lwfDrVLmoCJxBYszK-0c9aBpZChusPLj</v>
      </c>
      <c r="S111" s="2" t="str">
        <f>VLOOKUP(T_Voluntarios[[#This Row],[RUN]],BBDD[],16,FALSE)</f>
        <v>Medio</v>
      </c>
      <c r="T111" s="2" t="str">
        <f>VLOOKUP(T_Voluntarios[[#This Row],[RUN]],BBDD[],17,FALSE)</f>
        <v>10536</v>
      </c>
      <c r="U111" s="2" t="str">
        <f>VLOOKUP(T_Voluntarios[[#This Row],[RUN]],BBDD[],18,FALSE)</f>
        <v>Guias</v>
      </c>
      <c r="V111" s="2" t="str">
        <f>VLOOKUP(T_Voluntarios[[#This Row],[RUN]],BBDD[],19,FALSE)</f>
        <v>Ninguno</v>
      </c>
      <c r="W111" s="13" t="str">
        <f>IF(OR(T_Voluntarios[[#This Row],[ROL]]="Formador(a)"),"SI","NO")</f>
        <v>SI</v>
      </c>
      <c r="X111" s="13" t="str">
        <f>IF(ISERROR(VLOOKUP(T_Voluntarios[[#This Row],[RUN]],BBDD_Formadores[],15,FALSE)),"NO",VLOOKUP(T_Voluntarios[[#This Row],[RUN]],BBDD_Formadores[],15,FALSE))</f>
        <v>SI</v>
      </c>
      <c r="Y111" s="13" t="str">
        <f>IF(ISERROR(VLOOKUP(T_Voluntarios[[#This Row],[RUN]],BBDD_Formadores[],16,FALSE)),"NO",VLOOKUP(T_Voluntarios[[#This Row],[RUN]],BBDD_Formadores[],16,FALSE))</f>
        <v>Guias</v>
      </c>
      <c r="Z111" s="13" t="str">
        <f>IF(ISERROR(VLOOKUP(T_Voluntarios[[#This Row],[RUN]],BBDD_Formadores[],17,FALSE)),"NO",VLOOKUP(T_Voluntarios[[#This Row],[RUN]],BBDD_Formadores[],17,FALSE))</f>
        <v>Guias</v>
      </c>
      <c r="AA111" s="13" t="str">
        <f>IF(ISERROR(VLOOKUP(T_Voluntarios[[#This Row],[RUN]],BBDD_Formadores[],18,FALSE)),"NO",VLOOKUP(T_Voluntarios[[#This Row],[RUN]],BBDD_Formadores[],18,FALSE))</f>
        <v>NO</v>
      </c>
      <c r="AB111" s="13">
        <v>1</v>
      </c>
      <c r="AC111" s="13" t="s">
        <v>1</v>
      </c>
      <c r="AD111" s="13" t="s">
        <v>77</v>
      </c>
      <c r="AF111" s="2" t="str">
        <f>IF(VLOOKUP(T_Voluntarios[[#This Row],[RUN]],BBDD[],25,FALSE)=0,"",VLOOKUP(T_Voluntarios[[#This Row],[RUN]],BBDD[],25,FALSE))</f>
        <v/>
      </c>
      <c r="AG111" s="2" t="str">
        <f>IF(VLOOKUP(T_Voluntarios[[#This Row],[RUN]],BBDD[],26,FALSE)=0,"",VLOOKUP(T_Voluntarios[[#This Row],[RUN]],BBDD[],26,FALSE))</f>
        <v/>
      </c>
      <c r="AH111" s="2" t="str">
        <f>IF(VLOOKUP(T_Voluntarios[[#This Row],[RUN]],BBDD[],24,FALSE)=0,"",VLOOKUP(T_Voluntarios[[#This Row],[RUN]],BBDD[],24,FALSE))</f>
        <v/>
      </c>
      <c r="AI111" s="13" t="str">
        <f>VLOOKUP(T_Voluntarios[[#This Row],[RUN]],BBDD[],28,FALSE)</f>
        <v>SI</v>
      </c>
      <c r="AJ111" s="13" t="str">
        <f>VLOOKUP(T_Voluntarios[[#This Row],[RUN]],BBDD[],28,FALSE)</f>
        <v>SI</v>
      </c>
      <c r="AK111" s="32">
        <f>IF(T_Voluntarios[[#This Row],[ROL]]="Participante",SUMIFS(T_Cuotas[[#All],[Total]],T_Cuotas[[#All],[RUN]],T_Voluntarios[[#This Row],[RUN]]),-1)</f>
        <v>-1</v>
      </c>
      <c r="AL111" s="13" t="s">
        <v>1</v>
      </c>
      <c r="AM111" s="13" t="s">
        <v>2029</v>
      </c>
      <c r="AP111" s="2" t="str">
        <f>MID(T_Voluntarios[[#This Row],[E_MAIL]],SEARCH("@",T_Voluntarios[[#This Row],[E_MAIL]],1),LEN(T_Voluntarios[[#This Row],[E_MAIL]]))</f>
        <v>@gmail.com</v>
      </c>
      <c r="AQ111" s="13" t="str">
        <f>VLOOKUP(T_Voluntarios[[#This Row],[RUN]],BBDD[],37,FALSE)</f>
        <v>27</v>
      </c>
      <c r="AR111" s="2" t="str">
        <f>VLOOKUP(T_Voluntarios[[#This Row],[RUN]],BBDD[],29,FALSE)</f>
        <v>Ingeniero Constructor</v>
      </c>
      <c r="AS111" s="2" t="str">
        <f>VLOOKUP(T_Voluntarios[[#This Row],[RUN]],BBDD[],30,FALSE)</f>
        <v>10 años</v>
      </c>
      <c r="AT111" s="2" t="str">
        <f>VLOOKUP(T_Voluntarios[[#This Row],[RUN]],BBDD[],31,FALSE)</f>
        <v>8 años</v>
      </c>
      <c r="AU111" s="2" t="str">
        <f>VLOOKUP(T_Voluntarios[[#This Row],[RUN]],BBDD[],32,FALSE)</f>
        <v>Soltero(a)</v>
      </c>
      <c r="AV111" s="2" t="str">
        <f>VLOOKUP(T_Voluntarios[[#This Row],[RUN]],BBDD[],33,FALSE)</f>
        <v>Ninguna</v>
      </c>
      <c r="AW111" s="2" t="str">
        <f>VLOOKUP(T_Voluntarios[[#This Row],[RUN]],BBDD[],34,FALSE)</f>
        <v>Moni</v>
      </c>
      <c r="AX111" s="13" t="s">
        <v>733</v>
      </c>
      <c r="AY111" s="76">
        <f>VLOOKUP(T_Voluntarios[[#This Row],[RUN]],BBDD[],2,FALSE)</f>
        <v>45791.936858719135</v>
      </c>
      <c r="AZ111" s="13" t="s">
        <v>2</v>
      </c>
    </row>
    <row r="112" spans="1:52" x14ac:dyDescent="0.3">
      <c r="A112" s="2" t="s">
        <v>147</v>
      </c>
      <c r="B112" s="2" t="str">
        <f>VLOOKUP(T_Voluntarios[[#This Row],[RUN]],BBDD[],3,FALSE)</f>
        <v>srojas.lla@gmail.com</v>
      </c>
      <c r="C112" s="2" t="str">
        <f>VLOOKUP(T_Voluntarios[[#This Row],[RUN]],BBDD[],4,FALSE)</f>
        <v>Sebastián Esteban Rojas Canales</v>
      </c>
      <c r="D112" s="16">
        <f>VLOOKUP(T_Voluntarios[[#This Row],[RUN]],BBDD[],5,FALSE)</f>
        <v>35552</v>
      </c>
      <c r="E112" s="2" t="str">
        <f>VLOOKUP(T_Voluntarios[[#This Row],[RUN]],BBDD[],6,FALSE)</f>
        <v>Chaiten 8024 Depto E201</v>
      </c>
      <c r="F112" s="2" t="str">
        <f>VLOOKUP(T_Voluntarios[[#This Row],[RUN]],BBDD[],7,FALSE)</f>
        <v>Hualpén</v>
      </c>
      <c r="G112" s="2" t="str">
        <f>VLOOKUP(T_Voluntarios[[#This Row],[RUN]],BBDD[],8,FALSE)</f>
        <v>Celular</v>
      </c>
      <c r="H112" s="2" t="str">
        <f>IF(VLOOKUP(T_Voluntarios[[#This Row],[RUN]],BBDD[],9,FALSE)=0,"Falta",VLOOKUP(T_Voluntarios[[#This Row],[RUN]],BBDD[],9,FALSE))</f>
        <v>+56966669088</v>
      </c>
      <c r="I112" s="2" t="str">
        <f>VLOOKUP(T_Voluntarios[[#This Row],[RUN]],BBDD[],10,FALSE)</f>
        <v>Formador(a)</v>
      </c>
      <c r="J112" s="2" t="str">
        <f>VLOOKUP(T_Voluntarios[[#This Row],[RUN]],BBDD[],11,FALSE)</f>
        <v>La Asunción</v>
      </c>
      <c r="K112" s="2" t="str">
        <f>VLOOKUP(T_Voluntarios[[#This Row],[RUN]],BBDD[],12,FALSE)</f>
        <v>Caminantes</v>
      </c>
      <c r="L112" s="2" t="str">
        <f>VLOOKUP(T_Voluntarios[[#This Row],[RUN]],BBDD[],15,FALSE)</f>
        <v>Talcahuano - Hualpén</v>
      </c>
      <c r="M112" s="2" t="str">
        <f>VLOOKUP(T_Voluntarios[[#This Row],[RUN]],BBDD[],20,FALSE)</f>
        <v>Alimentación Tradicional</v>
      </c>
      <c r="N112" s="2" t="str">
        <f>VLOOKUP(T_Voluntarios[[#This Row],[RUN]],BBDD[],21,FALSE)</f>
        <v>Asulfa</v>
      </c>
      <c r="O112" s="2" t="str">
        <f>VLOOKUP(T_Voluntarios[[#This Row],[RUN]],BBDD[],22,FALSE)</f>
        <v>Ninguna</v>
      </c>
      <c r="P112" s="2" t="str">
        <f>VLOOKUP(T_Voluntarios[[#This Row],[RUN]],BBDD[],23,FALSE)</f>
        <v>-</v>
      </c>
      <c r="Q112" s="2" t="str">
        <f>IF(VLOOKUP(T_Voluntarios[[#This Row],[RUN]],BBDD[],27,FALSE)=0,"",VLOOKUP(T_Voluntarios[[#This Row],[RUN]],BBDD[],27,FALSE))</f>
        <v/>
      </c>
      <c r="R112" s="2" t="str">
        <f>VLOOKUP(T_Voluntarios[[#This Row],[RUN]],BBDD[],36,FALSE)</f>
        <v>https://drive.google.com/open?id=1gQe_eo3ee_1XpYVftv2MhdCCZQOqTlKT</v>
      </c>
      <c r="S112" s="2" t="str">
        <f>VLOOKUP(T_Voluntarios[[#This Row],[RUN]],BBDD[],16,FALSE)</f>
        <v>Medio</v>
      </c>
      <c r="T112" s="2" t="str">
        <f>VLOOKUP(T_Voluntarios[[#This Row],[RUN]],BBDD[],17,FALSE)</f>
        <v>9865</v>
      </c>
      <c r="U112" s="2" t="str">
        <f>VLOOKUP(T_Voluntarios[[#This Row],[RUN]],BBDD[],18,FALSE)</f>
        <v>Scouts, Caminantes</v>
      </c>
      <c r="V112" s="2" t="str">
        <f>VLOOKUP(T_Voluntarios[[#This Row],[RUN]],BBDD[],19,FALSE)</f>
        <v>Ninguno</v>
      </c>
      <c r="W112" s="13" t="str">
        <f>IF(OR(T_Voluntarios[[#This Row],[ROL]]="Formador(a)"),"SI","NO")</f>
        <v>SI</v>
      </c>
      <c r="X112" s="13" t="str">
        <f>IF(ISERROR(VLOOKUP(T_Voluntarios[[#This Row],[RUN]],BBDD_Formadores[],15,FALSE)),"NO",VLOOKUP(T_Voluntarios[[#This Row],[RUN]],BBDD_Formadores[],15,FALSE))</f>
        <v>SI</v>
      </c>
      <c r="Y112" s="13" t="str">
        <f>IF(ISERROR(VLOOKUP(T_Voluntarios[[#This Row],[RUN]],BBDD_Formadores[],16,FALSE)),"NO",VLOOKUP(T_Voluntarios[[#This Row],[RUN]],BBDD_Formadores[],16,FALSE))</f>
        <v>Scouts, Caminantes</v>
      </c>
      <c r="Z112" s="13" t="str">
        <f>IF(ISERROR(VLOOKUP(T_Voluntarios[[#This Row],[RUN]],BBDD_Formadores[],17,FALSE)),"NO",VLOOKUP(T_Voluntarios[[#This Row],[RUN]],BBDD_Formadores[],17,FALSE))</f>
        <v>Scouts, Caminantes</v>
      </c>
      <c r="AA112" s="13" t="str">
        <f>IF(ISERROR(VLOOKUP(T_Voluntarios[[#This Row],[RUN]],BBDD_Formadores[],18,FALSE)),"NO",VLOOKUP(T_Voluntarios[[#This Row],[RUN]],BBDD_Formadores[],18,FALSE))</f>
        <v>NO</v>
      </c>
      <c r="AB112" s="13">
        <v>1</v>
      </c>
      <c r="AC112" s="13" t="s">
        <v>1</v>
      </c>
      <c r="AD112" s="13" t="s">
        <v>77</v>
      </c>
      <c r="AF112" s="2" t="str">
        <f>IF(VLOOKUP(T_Voluntarios[[#This Row],[RUN]],BBDD[],25,FALSE)=0,"",VLOOKUP(T_Voluntarios[[#This Row],[RUN]],BBDD[],25,FALSE))</f>
        <v/>
      </c>
      <c r="AG112" s="2" t="str">
        <f>IF(VLOOKUP(T_Voluntarios[[#This Row],[RUN]],BBDD[],26,FALSE)=0,"",VLOOKUP(T_Voluntarios[[#This Row],[RUN]],BBDD[],26,FALSE))</f>
        <v/>
      </c>
      <c r="AH112" s="2" t="str">
        <f>IF(VLOOKUP(T_Voluntarios[[#This Row],[RUN]],BBDD[],24,FALSE)=0,"",VLOOKUP(T_Voluntarios[[#This Row],[RUN]],BBDD[],24,FALSE))</f>
        <v/>
      </c>
      <c r="AI112" s="13" t="str">
        <f>VLOOKUP(T_Voluntarios[[#This Row],[RUN]],BBDD[],28,FALSE)</f>
        <v>SI</v>
      </c>
      <c r="AJ112" s="13" t="str">
        <f>VLOOKUP(T_Voluntarios[[#This Row],[RUN]],BBDD[],28,FALSE)</f>
        <v>SI</v>
      </c>
      <c r="AK112" s="32">
        <f>IF(T_Voluntarios[[#This Row],[ROL]]="Participante",SUMIFS(T_Cuotas[[#All],[Total]],T_Cuotas[[#All],[RUN]],T_Voluntarios[[#This Row],[RUN]]),-1)</f>
        <v>-1</v>
      </c>
      <c r="AL112" s="13" t="s">
        <v>1</v>
      </c>
      <c r="AM112" s="13" t="s">
        <v>2029</v>
      </c>
      <c r="AP112" s="2" t="str">
        <f>MID(T_Voluntarios[[#This Row],[E_MAIL]],SEARCH("@",T_Voluntarios[[#This Row],[E_MAIL]],1),LEN(T_Voluntarios[[#This Row],[E_MAIL]]))</f>
        <v>@gmail.com</v>
      </c>
      <c r="AQ112" s="13" t="str">
        <f>VLOOKUP(T_Voluntarios[[#This Row],[RUN]],BBDD[],37,FALSE)</f>
        <v>28</v>
      </c>
      <c r="AR112" s="2" t="str">
        <f>VLOOKUP(T_Voluntarios[[#This Row],[RUN]],BBDD[],29,FALSE)</f>
        <v>Profesor de Educación Media en Matemática</v>
      </c>
      <c r="AS112" s="2" t="str">
        <f>VLOOKUP(T_Voluntarios[[#This Row],[RUN]],BBDD[],30,FALSE)</f>
        <v>11 años</v>
      </c>
      <c r="AT112" s="2" t="str">
        <f>VLOOKUP(T_Voluntarios[[#This Row],[RUN]],BBDD[],31,FALSE)</f>
        <v>7 años</v>
      </c>
      <c r="AU112" s="2" t="str">
        <f>VLOOKUP(T_Voluntarios[[#This Row],[RUN]],BBDD[],32,FALSE)</f>
        <v>Soltero(a)</v>
      </c>
      <c r="AV112" s="2" t="str">
        <f>VLOOKUP(T_Voluntarios[[#This Row],[RUN]],BBDD[],33,FALSE)</f>
        <v>Católica</v>
      </c>
      <c r="AW112" s="2" t="str">
        <f>VLOOKUP(T_Voluntarios[[#This Row],[RUN]],BBDD[],34,FALSE)</f>
        <v>Seba Rojas</v>
      </c>
      <c r="AX112" s="13" t="s">
        <v>733</v>
      </c>
      <c r="AY112" s="76">
        <f>VLOOKUP(T_Voluntarios[[#This Row],[RUN]],BBDD[],2,FALSE)</f>
        <v>45792.914086728393</v>
      </c>
      <c r="AZ112" s="13" t="s">
        <v>2</v>
      </c>
    </row>
    <row r="113" spans="1:52" x14ac:dyDescent="0.3">
      <c r="A113" s="2" t="s">
        <v>1923</v>
      </c>
      <c r="B113" s="2" t="str">
        <f>VLOOKUP(T_Voluntarios[[#This Row],[RUN]],BBDD[],3,FALSE)</f>
        <v>macarena.manutara@gmail.com</v>
      </c>
      <c r="C113" s="2" t="str">
        <f>VLOOKUP(T_Voluntarios[[#This Row],[RUN]],BBDD[],4,FALSE)</f>
        <v>Macarena Andrea Rodriguez Vidal</v>
      </c>
      <c r="D113" s="16">
        <f>VLOOKUP(T_Voluntarios[[#This Row],[RUN]],BBDD[],5,FALSE)</f>
        <v>34453</v>
      </c>
      <c r="E113" s="2" t="str">
        <f>VLOOKUP(T_Voluntarios[[#This Row],[RUN]],BBDD[],6,FALSE)</f>
        <v>JORDÁN VALDIVIESO 240, BLOCK 15  DEPTO 22</v>
      </c>
      <c r="F113" s="2" t="str">
        <f>VLOOKUP(T_Voluntarios[[#This Row],[RUN]],BBDD[],7,FALSE)</f>
        <v>Talcahuano</v>
      </c>
      <c r="G113" s="2" t="str">
        <f>VLOOKUP(T_Voluntarios[[#This Row],[RUN]],BBDD[],8,FALSE)</f>
        <v>Celular</v>
      </c>
      <c r="H113" s="2" t="str">
        <f>IF(VLOOKUP(T_Voluntarios[[#This Row],[RUN]],BBDD[],9,FALSE)=0,"Falta",VLOOKUP(T_Voluntarios[[#This Row],[RUN]],BBDD[],9,FALSE))</f>
        <v>+56977422201</v>
      </c>
      <c r="I113" s="2" t="str">
        <f>VLOOKUP(T_Voluntarios[[#This Row],[RUN]],BBDD[],10,FALSE)</f>
        <v>Participante</v>
      </c>
      <c r="J113" s="2" t="str">
        <f>VLOOKUP(T_Voluntarios[[#This Row],[RUN]],BBDD[],11,FALSE)</f>
        <v>Manutara</v>
      </c>
      <c r="K113" s="2" t="str">
        <f>VLOOKUP(T_Voluntarios[[#This Row],[RUN]],BBDD[],12,FALSE)</f>
        <v>Caminantes</v>
      </c>
      <c r="L113" s="2" t="str">
        <f>VLOOKUP(T_Voluntarios[[#This Row],[RUN]],BBDD[],15,FALSE)</f>
        <v>Talcahuano - Hualpén</v>
      </c>
      <c r="M113" s="2" t="str">
        <f>VLOOKUP(T_Voluntarios[[#This Row],[RUN]],BBDD[],20,FALSE)</f>
        <v>Sin Almuerzo</v>
      </c>
      <c r="N113" s="2" t="str">
        <f>VLOOKUP(T_Voluntarios[[#This Row],[RUN]],BBDD[],21,FALSE)</f>
        <v>MIGRAÑA CRONICA</v>
      </c>
      <c r="O113" s="2" t="str">
        <f>VLOOKUP(T_Voluntarios[[#This Row],[RUN]],BBDD[],22,FALSE)</f>
        <v>Ninguna</v>
      </c>
      <c r="P113" s="2" t="str">
        <f>VLOOKUP(T_Voluntarios[[#This Row],[RUN]],BBDD[],23,FALSE)</f>
        <v>JORGE RODRÍGUEZ SEPÚLVEDA +56974977434</v>
      </c>
      <c r="Q113" s="2" t="str">
        <f>IF(VLOOKUP(T_Voluntarios[[#This Row],[RUN]],BBDD[],27,FALSE)=0,"",VLOOKUP(T_Voluntarios[[#This Row],[RUN]],BBDD[],27,FALSE))</f>
        <v>NO PUEDO QUEDARME A PERNOCTAR.</v>
      </c>
      <c r="R113" s="2" t="str">
        <f>VLOOKUP(T_Voluntarios[[#This Row],[RUN]],BBDD[],36,FALSE)</f>
        <v>https://drive.google.com/open?id=1onPPqhNmKbDyGU8nByRExM37xwxxdepo</v>
      </c>
      <c r="S113" s="2" t="str">
        <f>VLOOKUP(T_Voluntarios[[#This Row],[RUN]],BBDD[],16,FALSE)</f>
        <v>Inicial</v>
      </c>
      <c r="T113" s="2" t="str">
        <f>VLOOKUP(T_Voluntarios[[#This Row],[RUN]],BBDD[],17,FALSE)</f>
        <v>Ninguno</v>
      </c>
      <c r="U113" s="2" t="str">
        <f>VLOOKUP(T_Voluntarios[[#This Row],[RUN]],BBDD[],18,FALSE)</f>
        <v>Ninguno</v>
      </c>
      <c r="V113" s="2" t="str">
        <f>VLOOKUP(T_Voluntarios[[#This Row],[RUN]],BBDD[],19,FALSE)</f>
        <v>Ninguno</v>
      </c>
      <c r="W113" s="13" t="str">
        <f>IF(OR(T_Voluntarios[[#This Row],[ROL]]="Formador(a)"),"SI","NO")</f>
        <v>NO</v>
      </c>
      <c r="X113" s="13" t="str">
        <f>IF(ISERROR(VLOOKUP(T_Voluntarios[[#This Row],[RUN]],BBDD_Formadores[],15,FALSE)),"NO",VLOOKUP(T_Voluntarios[[#This Row],[RUN]],BBDD_Formadores[],15,FALSE))</f>
        <v>NO</v>
      </c>
      <c r="Y113" s="13" t="str">
        <f>IF(ISERROR(VLOOKUP(T_Voluntarios[[#This Row],[RUN]],BBDD_Formadores[],16,FALSE)),"NO",VLOOKUP(T_Voluntarios[[#This Row],[RUN]],BBDD_Formadores[],16,FALSE))</f>
        <v>NO</v>
      </c>
      <c r="Z113" s="13" t="str">
        <f>IF(ISERROR(VLOOKUP(T_Voluntarios[[#This Row],[RUN]],BBDD_Formadores[],17,FALSE)),"NO",VLOOKUP(T_Voluntarios[[#This Row],[RUN]],BBDD_Formadores[],17,FALSE))</f>
        <v>NO</v>
      </c>
      <c r="AA113" s="13" t="str">
        <f>IF(ISERROR(VLOOKUP(T_Voluntarios[[#This Row],[RUN]],BBDD_Formadores[],18,FALSE)),"NO",VLOOKUP(T_Voluntarios[[#This Row],[RUN]],BBDD_Formadores[],18,FALSE))</f>
        <v>NO</v>
      </c>
      <c r="AB113" s="13">
        <v>1</v>
      </c>
      <c r="AC113" s="13" t="s">
        <v>1</v>
      </c>
      <c r="AD113" s="13" t="s">
        <v>77</v>
      </c>
      <c r="AF113" s="2" t="str">
        <f>IF(VLOOKUP(T_Voluntarios[[#This Row],[RUN]],BBDD[],25,FALSE)=0,"",VLOOKUP(T_Voluntarios[[#This Row],[RUN]],BBDD[],25,FALSE))</f>
        <v>TOYOTA</v>
      </c>
      <c r="AG113" s="2" t="str">
        <f>IF(VLOOKUP(T_Voluntarios[[#This Row],[RUN]],BBDD[],26,FALSE)=0,"",VLOOKUP(T_Voluntarios[[#This Row],[RUN]],BBDD[],26,FALSE))</f>
        <v>YARIS GL</v>
      </c>
      <c r="AH113" s="2" t="str">
        <f>IF(VLOOKUP(T_Voluntarios[[#This Row],[RUN]],BBDD[],24,FALSE)=0,"",VLOOKUP(T_Voluntarios[[#This Row],[RUN]],BBDD[],24,FALSE))</f>
        <v>GHXV-76</v>
      </c>
      <c r="AI113" s="13" t="str">
        <f>VLOOKUP(T_Voluntarios[[#This Row],[RUN]],BBDD[],28,FALSE)</f>
        <v>No</v>
      </c>
      <c r="AJ113" s="13" t="str">
        <f>VLOOKUP(T_Voluntarios[[#This Row],[RUN]],BBDD[],28,FALSE)</f>
        <v>No</v>
      </c>
      <c r="AK113" s="32">
        <f>IF(T_Voluntarios[[#This Row],[ROL]]="Participante",SUMIFS(T_Cuotas[[#All],[Total]],T_Cuotas[[#All],[RUN]],T_Voluntarios[[#This Row],[RUN]]),-1)</f>
        <v>36500</v>
      </c>
      <c r="AL113" s="13" t="s">
        <v>1</v>
      </c>
      <c r="AM113" s="13" t="s">
        <v>2029</v>
      </c>
      <c r="AP113" s="2" t="str">
        <f>MID(T_Voluntarios[[#This Row],[E_MAIL]],SEARCH("@",T_Voluntarios[[#This Row],[E_MAIL]],1),LEN(T_Voluntarios[[#This Row],[E_MAIL]]))</f>
        <v>@gmail.com</v>
      </c>
      <c r="AQ113" s="13" t="str">
        <f>VLOOKUP(T_Voluntarios[[#This Row],[RUN]],BBDD[],37,FALSE)</f>
        <v>31</v>
      </c>
      <c r="AR113" s="2" t="str">
        <f>VLOOKUP(T_Voluntarios[[#This Row],[RUN]],BBDD[],29,FALSE)</f>
        <v>INGENIERO COMERCIAL - INGENIERO DE EJECUCIÓN EN ADMINISTRACIÓN DE EMPRESAS</v>
      </c>
      <c r="AS113" s="2" t="str">
        <f>VLOOKUP(T_Voluntarios[[#This Row],[RUN]],BBDD[],30,FALSE)</f>
        <v>SI, 14 AÑOS</v>
      </c>
      <c r="AT113" s="2" t="str">
        <f>VLOOKUP(T_Voluntarios[[#This Row],[RUN]],BBDD[],31,FALSE)</f>
        <v>BANDADA 6 MESES, COMPAÑÍA 6 MESES, MANADA 1 AÑO Y MEDIO, CLAN 1 AÑO</v>
      </c>
      <c r="AU113" s="2" t="str">
        <f>VLOOKUP(T_Voluntarios[[#This Row],[RUN]],BBDD[],32,FALSE)</f>
        <v>Soltero(a)</v>
      </c>
      <c r="AV113" s="2" t="str">
        <f>VLOOKUP(T_Voluntarios[[#This Row],[RUN]],BBDD[],33,FALSE)</f>
        <v>METODISTA</v>
      </c>
      <c r="AW113" s="2" t="str">
        <f>VLOOKUP(T_Voluntarios[[#This Row],[RUN]],BBDD[],34,FALSE)</f>
        <v>MACA</v>
      </c>
      <c r="AX113" s="13" t="s">
        <v>733</v>
      </c>
      <c r="AY113" s="76">
        <f>VLOOKUP(T_Voluntarios[[#This Row],[RUN]],BBDD[],2,FALSE)</f>
        <v>45792.952212692901</v>
      </c>
      <c r="AZ113" s="13" t="s">
        <v>3403</v>
      </c>
    </row>
    <row r="114" spans="1:52" x14ac:dyDescent="0.3">
      <c r="A114" s="2" t="s">
        <v>1942</v>
      </c>
      <c r="B114" s="2" t="str">
        <f>VLOOKUP(T_Voluntarios[[#This Row],[RUN]],BBDD[],3,FALSE)</f>
        <v>scarletoyarzundiaz@gmail.com</v>
      </c>
      <c r="C114" s="2" t="str">
        <f>VLOOKUP(T_Voluntarios[[#This Row],[RUN]],BBDD[],4,FALSE)</f>
        <v>Scarlet Denisse Oyarzun Diaz</v>
      </c>
      <c r="D114" s="16">
        <f>VLOOKUP(T_Voluntarios[[#This Row],[RUN]],BBDD[],5,FALSE)</f>
        <v>36205</v>
      </c>
      <c r="E114" s="2" t="str">
        <f>VLOOKUP(T_Voluntarios[[#This Row],[RUN]],BBDD[],6,FALSE)</f>
        <v>principal 166, cerro zaror</v>
      </c>
      <c r="F114" s="2" t="str">
        <f>VLOOKUP(T_Voluntarios[[#This Row],[RUN]],BBDD[],7,FALSE)</f>
        <v>Talcahuano</v>
      </c>
      <c r="G114" s="2" t="str">
        <f>VLOOKUP(T_Voluntarios[[#This Row],[RUN]],BBDD[],8,FALSE)</f>
        <v>Celular</v>
      </c>
      <c r="H114" s="2" t="str">
        <f>IF(VLOOKUP(T_Voluntarios[[#This Row],[RUN]],BBDD[],9,FALSE)=0,"Falta",VLOOKUP(T_Voluntarios[[#This Row],[RUN]],BBDD[],9,FALSE))</f>
        <v>+56978458127</v>
      </c>
      <c r="I114" s="2" t="str">
        <f>VLOOKUP(T_Voluntarios[[#This Row],[RUN]],BBDD[],10,FALSE)</f>
        <v>Participante</v>
      </c>
      <c r="J114" s="2" t="str">
        <f>VLOOKUP(T_Voluntarios[[#This Row],[RUN]],BBDD[],11,FALSE)</f>
        <v>Manutara</v>
      </c>
      <c r="K114" s="2" t="str">
        <f>VLOOKUP(T_Voluntarios[[#This Row],[RUN]],BBDD[],12,FALSE)</f>
        <v>Golondrinas</v>
      </c>
      <c r="L114" s="2" t="str">
        <f>VLOOKUP(T_Voluntarios[[#This Row],[RUN]],BBDD[],15,FALSE)</f>
        <v>Talcahuano - Hualpén</v>
      </c>
      <c r="M114" s="2" t="str">
        <f>VLOOKUP(T_Voluntarios[[#This Row],[RUN]],BBDD[],20,FALSE)</f>
        <v>Sin Almuerzo</v>
      </c>
      <c r="N114" s="2" t="str">
        <f>VLOOKUP(T_Voluntarios[[#This Row],[RUN]],BBDD[],21,FALSE)</f>
        <v>sulfa</v>
      </c>
      <c r="O114" s="2" t="str">
        <f>VLOOKUP(T_Voluntarios[[#This Row],[RUN]],BBDD[],22,FALSE)</f>
        <v>Ninguna</v>
      </c>
      <c r="P114" s="2" t="str">
        <f>VLOOKUP(T_Voluntarios[[#This Row],[RUN]],BBDD[],23,FALSE)</f>
        <v>Denisse Diaz 954254276</v>
      </c>
      <c r="Q114" s="2" t="str">
        <f>IF(VLOOKUP(T_Voluntarios[[#This Row],[RUN]],BBDD[],27,FALSE)=0,"",VLOOKUP(T_Voluntarios[[#This Row],[RUN]],BBDD[],27,FALSE))</f>
        <v/>
      </c>
      <c r="R114" s="2" t="str">
        <f>VLOOKUP(T_Voluntarios[[#This Row],[RUN]],BBDD[],36,FALSE)</f>
        <v>https://drive.google.com/open?id=1BPk900m9TCuaCdr2NtEo60HJz47dyRxE</v>
      </c>
      <c r="S114" s="2" t="str">
        <f>VLOOKUP(T_Voluntarios[[#This Row],[RUN]],BBDD[],16,FALSE)</f>
        <v>Inicial</v>
      </c>
      <c r="T114" s="2" t="str">
        <f>VLOOKUP(T_Voluntarios[[#This Row],[RUN]],BBDD[],17,FALSE)</f>
        <v>Ninguno</v>
      </c>
      <c r="U114" s="2" t="str">
        <f>VLOOKUP(T_Voluntarios[[#This Row],[RUN]],BBDD[],18,FALSE)</f>
        <v>Ninguno</v>
      </c>
      <c r="V114" s="2" t="str">
        <f>VLOOKUP(T_Voluntarios[[#This Row],[RUN]],BBDD[],19,FALSE)</f>
        <v>Ninguno</v>
      </c>
      <c r="W114" s="13" t="str">
        <f>IF(OR(T_Voluntarios[[#This Row],[ROL]]="Formador(a)"),"SI","NO")</f>
        <v>NO</v>
      </c>
      <c r="X114" s="13" t="str">
        <f>IF(ISERROR(VLOOKUP(T_Voluntarios[[#This Row],[RUN]],BBDD_Formadores[],15,FALSE)),"NO",VLOOKUP(T_Voluntarios[[#This Row],[RUN]],BBDD_Formadores[],15,FALSE))</f>
        <v>NO</v>
      </c>
      <c r="Y114" s="13" t="str">
        <f>IF(ISERROR(VLOOKUP(T_Voluntarios[[#This Row],[RUN]],BBDD_Formadores[],16,FALSE)),"NO",VLOOKUP(T_Voluntarios[[#This Row],[RUN]],BBDD_Formadores[],16,FALSE))</f>
        <v>NO</v>
      </c>
      <c r="Z114" s="13" t="str">
        <f>IF(ISERROR(VLOOKUP(T_Voluntarios[[#This Row],[RUN]],BBDD_Formadores[],17,FALSE)),"NO",VLOOKUP(T_Voluntarios[[#This Row],[RUN]],BBDD_Formadores[],17,FALSE))</f>
        <v>NO</v>
      </c>
      <c r="AA114" s="13" t="str">
        <f>IF(ISERROR(VLOOKUP(T_Voluntarios[[#This Row],[RUN]],BBDD_Formadores[],18,FALSE)),"NO",VLOOKUP(T_Voluntarios[[#This Row],[RUN]],BBDD_Formadores[],18,FALSE))</f>
        <v>NO</v>
      </c>
      <c r="AB114" s="13">
        <v>1</v>
      </c>
      <c r="AC114" s="13" t="s">
        <v>1</v>
      </c>
      <c r="AD114" s="13" t="s">
        <v>77</v>
      </c>
      <c r="AF114" s="2" t="str">
        <f>IF(VLOOKUP(T_Voluntarios[[#This Row],[RUN]],BBDD[],25,FALSE)=0,"",VLOOKUP(T_Voluntarios[[#This Row],[RUN]],BBDD[],25,FALSE))</f>
        <v/>
      </c>
      <c r="AG114" s="2" t="str">
        <f>IF(VLOOKUP(T_Voluntarios[[#This Row],[RUN]],BBDD[],26,FALSE)=0,"",VLOOKUP(T_Voluntarios[[#This Row],[RUN]],BBDD[],26,FALSE))</f>
        <v/>
      </c>
      <c r="AH114" s="2" t="str">
        <f>IF(VLOOKUP(T_Voluntarios[[#This Row],[RUN]],BBDD[],24,FALSE)=0,"",VLOOKUP(T_Voluntarios[[#This Row],[RUN]],BBDD[],24,FALSE))</f>
        <v/>
      </c>
      <c r="AI114" s="13" t="str">
        <f>VLOOKUP(T_Voluntarios[[#This Row],[RUN]],BBDD[],28,FALSE)</f>
        <v>No</v>
      </c>
      <c r="AJ114" s="13" t="str">
        <f>VLOOKUP(T_Voluntarios[[#This Row],[RUN]],BBDD[],28,FALSE)</f>
        <v>No</v>
      </c>
      <c r="AK114" s="32">
        <f>IF(T_Voluntarios[[#This Row],[ROL]]="Participante",SUMIFS(T_Cuotas[[#All],[Total]],T_Cuotas[[#All],[RUN]],T_Voluntarios[[#This Row],[RUN]]),-1)</f>
        <v>36500</v>
      </c>
      <c r="AL114" s="13" t="s">
        <v>1</v>
      </c>
      <c r="AM114" s="13" t="s">
        <v>2029</v>
      </c>
      <c r="AP114" s="2" t="str">
        <f>MID(T_Voluntarios[[#This Row],[E_MAIL]],SEARCH("@",T_Voluntarios[[#This Row],[E_MAIL]],1),LEN(T_Voluntarios[[#This Row],[E_MAIL]]))</f>
        <v>@gmail.com</v>
      </c>
      <c r="AQ114" s="13" t="str">
        <f>VLOOKUP(T_Voluntarios[[#This Row],[RUN]],BBDD[],37,FALSE)</f>
        <v>26</v>
      </c>
      <c r="AR114" s="2" t="str">
        <f>VLOOKUP(T_Voluntarios[[#This Row],[RUN]],BBDD[],29,FALSE)</f>
        <v>cosmetologa</v>
      </c>
      <c r="AS114" s="2" t="str">
        <f>VLOOKUP(T_Voluntarios[[#This Row],[RUN]],BBDD[],30,FALSE)</f>
        <v>4 años</v>
      </c>
      <c r="AT114" s="2" t="str">
        <f>VLOOKUP(T_Voluntarios[[#This Row],[RUN]],BBDD[],31,FALSE)</f>
        <v>3 años</v>
      </c>
      <c r="AU114" s="2" t="str">
        <f>VLOOKUP(T_Voluntarios[[#This Row],[RUN]],BBDD[],32,FALSE)</f>
        <v>Soltero(a)</v>
      </c>
      <c r="AV114" s="2" t="str">
        <f>VLOOKUP(T_Voluntarios[[#This Row],[RUN]],BBDD[],33,FALSE)</f>
        <v>Ninguna</v>
      </c>
      <c r="AW114" s="2" t="str">
        <f>VLOOKUP(T_Voluntarios[[#This Row],[RUN]],BBDD[],34,FALSE)</f>
        <v>Calee</v>
      </c>
      <c r="AX114" s="13" t="s">
        <v>733</v>
      </c>
      <c r="AY114" s="76">
        <f>VLOOKUP(T_Voluntarios[[#This Row],[RUN]],BBDD[],2,FALSE)</f>
        <v>45792.968961844133</v>
      </c>
      <c r="AZ114" s="13" t="s">
        <v>3403</v>
      </c>
    </row>
    <row r="115" spans="1:52" x14ac:dyDescent="0.3">
      <c r="A115" s="2" t="s">
        <v>1953</v>
      </c>
      <c r="B115" s="2" t="str">
        <f>VLOOKUP(T_Voluntarios[[#This Row],[RUN]],BBDD[],3,FALSE)</f>
        <v>barramonserrat101@gmail.com</v>
      </c>
      <c r="C115" s="2" t="str">
        <f>VLOOKUP(T_Voluntarios[[#This Row],[RUN]],BBDD[],4,FALSE)</f>
        <v>Monserrat Milena Barra Hernández</v>
      </c>
      <c r="D115" s="16">
        <f>VLOOKUP(T_Voluntarios[[#This Row],[RUN]],BBDD[],5,FALSE)</f>
        <v>38000</v>
      </c>
      <c r="E115" s="2" t="str">
        <f>VLOOKUP(T_Voluntarios[[#This Row],[RUN]],BBDD[],6,FALSE)</f>
        <v>Eduardo Parra 336</v>
      </c>
      <c r="F115" s="2" t="str">
        <f>VLOOKUP(T_Voluntarios[[#This Row],[RUN]],BBDD[],7,FALSE)</f>
        <v>Chillán</v>
      </c>
      <c r="G115" s="2" t="str">
        <f>VLOOKUP(T_Voluntarios[[#This Row],[RUN]],BBDD[],8,FALSE)</f>
        <v>Celular</v>
      </c>
      <c r="H115" s="2" t="str">
        <f>IF(VLOOKUP(T_Voluntarios[[#This Row],[RUN]],BBDD[],9,FALSE)=0,"Falta",VLOOKUP(T_Voluntarios[[#This Row],[RUN]],BBDD[],9,FALSE))</f>
        <v>+56956699258</v>
      </c>
      <c r="I115" s="2" t="str">
        <f>VLOOKUP(T_Voluntarios[[#This Row],[RUN]],BBDD[],10,FALSE)</f>
        <v>Participante</v>
      </c>
      <c r="J115" s="2" t="str">
        <f>VLOOKUP(T_Voluntarios[[#This Row],[RUN]],BBDD[],11,FALSE)</f>
        <v>San Bartolomé</v>
      </c>
      <c r="K115" s="2" t="str">
        <f>VLOOKUP(T_Voluntarios[[#This Row],[RUN]],BBDD[],12,FALSE)</f>
        <v>Golondrinas</v>
      </c>
      <c r="L115" s="2" t="str">
        <f>VLOOKUP(T_Voluntarios[[#This Row],[RUN]],BBDD[],15,FALSE)</f>
        <v>Zona Ñuble</v>
      </c>
      <c r="M115" s="2" t="str">
        <f>VLOOKUP(T_Voluntarios[[#This Row],[RUN]],BBDD[],20,FALSE)</f>
        <v>Alimentación Vegetariana</v>
      </c>
      <c r="N115" s="2" t="str">
        <f>VLOOKUP(T_Voluntarios[[#This Row],[RUN]],BBDD[],21,FALSE)</f>
        <v>Ninguna</v>
      </c>
      <c r="O115" s="2" t="str">
        <f>VLOOKUP(T_Voluntarios[[#This Row],[RUN]],BBDD[],22,FALSE)</f>
        <v>Ninguna</v>
      </c>
      <c r="P115" s="2" t="str">
        <f>VLOOKUP(T_Voluntarios[[#This Row],[RUN]],BBDD[],23,FALSE)</f>
        <v>Yessica Hernández +56993912547</v>
      </c>
      <c r="Q115" s="2" t="str">
        <f>IF(VLOOKUP(T_Voluntarios[[#This Row],[RUN]],BBDD[],27,FALSE)=0,"",VLOOKUP(T_Voluntarios[[#This Row],[RUN]],BBDD[],27,FALSE))</f>
        <v/>
      </c>
      <c r="R115" s="2" t="str">
        <f>VLOOKUP(T_Voluntarios[[#This Row],[RUN]],BBDD[],36,FALSE)</f>
        <v>https://drive.google.com/open?id=1UhVFN0_ZmmeedMI4pAuJFrYr-h0sKIM-</v>
      </c>
      <c r="S115" s="2" t="str">
        <f>VLOOKUP(T_Voluntarios[[#This Row],[RUN]],BBDD[],16,FALSE)</f>
        <v>Inicial</v>
      </c>
      <c r="T115" s="2" t="str">
        <f>VLOOKUP(T_Voluntarios[[#This Row],[RUN]],BBDD[],17,FALSE)</f>
        <v>Ninguno</v>
      </c>
      <c r="U115" s="2" t="str">
        <f>VLOOKUP(T_Voluntarios[[#This Row],[RUN]],BBDD[],18,FALSE)</f>
        <v>Ninguno</v>
      </c>
      <c r="V115" s="2" t="str">
        <f>VLOOKUP(T_Voluntarios[[#This Row],[RUN]],BBDD[],19,FALSE)</f>
        <v>Ninguno</v>
      </c>
      <c r="W115" s="13" t="str">
        <f>IF(OR(T_Voluntarios[[#This Row],[ROL]]="Formador(a)"),"SI","NO")</f>
        <v>NO</v>
      </c>
      <c r="X115" s="13" t="str">
        <f>IF(ISERROR(VLOOKUP(T_Voluntarios[[#This Row],[RUN]],BBDD_Formadores[],15,FALSE)),"NO",VLOOKUP(T_Voluntarios[[#This Row],[RUN]],BBDD_Formadores[],15,FALSE))</f>
        <v>NO</v>
      </c>
      <c r="Y115" s="13" t="str">
        <f>IF(ISERROR(VLOOKUP(T_Voluntarios[[#This Row],[RUN]],BBDD_Formadores[],16,FALSE)),"NO",VLOOKUP(T_Voluntarios[[#This Row],[RUN]],BBDD_Formadores[],16,FALSE))</f>
        <v>NO</v>
      </c>
      <c r="Z115" s="13" t="str">
        <f>IF(ISERROR(VLOOKUP(T_Voluntarios[[#This Row],[RUN]],BBDD_Formadores[],17,FALSE)),"NO",VLOOKUP(T_Voluntarios[[#This Row],[RUN]],BBDD_Formadores[],17,FALSE))</f>
        <v>NO</v>
      </c>
      <c r="AA115" s="13" t="str">
        <f>IF(ISERROR(VLOOKUP(T_Voluntarios[[#This Row],[RUN]],BBDD_Formadores[],18,FALSE)),"NO",VLOOKUP(T_Voluntarios[[#This Row],[RUN]],BBDD_Formadores[],18,FALSE))</f>
        <v>NO</v>
      </c>
      <c r="AB115" s="13">
        <v>1</v>
      </c>
      <c r="AC115" s="13" t="s">
        <v>1</v>
      </c>
      <c r="AD115" s="13" t="s">
        <v>77</v>
      </c>
      <c r="AF115" s="2" t="str">
        <f>IF(VLOOKUP(T_Voluntarios[[#This Row],[RUN]],BBDD[],25,FALSE)=0,"",VLOOKUP(T_Voluntarios[[#This Row],[RUN]],BBDD[],25,FALSE))</f>
        <v/>
      </c>
      <c r="AG115" s="2" t="str">
        <f>IF(VLOOKUP(T_Voluntarios[[#This Row],[RUN]],BBDD[],26,FALSE)=0,"",VLOOKUP(T_Voluntarios[[#This Row],[RUN]],BBDD[],26,FALSE))</f>
        <v/>
      </c>
      <c r="AH115" s="2" t="str">
        <f>IF(VLOOKUP(T_Voluntarios[[#This Row],[RUN]],BBDD[],24,FALSE)=0,"",VLOOKUP(T_Voluntarios[[#This Row],[RUN]],BBDD[],24,FALSE))</f>
        <v/>
      </c>
      <c r="AI115" s="13" t="str">
        <f>VLOOKUP(T_Voluntarios[[#This Row],[RUN]],BBDD[],28,FALSE)</f>
        <v>No</v>
      </c>
      <c r="AJ115" s="13" t="str">
        <f>VLOOKUP(T_Voluntarios[[#This Row],[RUN]],BBDD[],28,FALSE)</f>
        <v>No</v>
      </c>
      <c r="AK115" s="32">
        <f>IF(T_Voluntarios[[#This Row],[ROL]]="Participante",SUMIFS(T_Cuotas[[#All],[Total]],T_Cuotas[[#All],[RUN]],T_Voluntarios[[#This Row],[RUN]]),-1)</f>
        <v>50000</v>
      </c>
      <c r="AL115" s="13" t="s">
        <v>1</v>
      </c>
      <c r="AM115" s="13" t="s">
        <v>2029</v>
      </c>
      <c r="AP115" s="2" t="str">
        <f>MID(T_Voluntarios[[#This Row],[E_MAIL]],SEARCH("@",T_Voluntarios[[#This Row],[E_MAIL]],1),LEN(T_Voluntarios[[#This Row],[E_MAIL]]))</f>
        <v>@gmail.com</v>
      </c>
      <c r="AQ115" s="13" t="str">
        <f>VLOOKUP(T_Voluntarios[[#This Row],[RUN]],BBDD[],37,FALSE)</f>
        <v>21</v>
      </c>
      <c r="AR115" s="2" t="str">
        <f>VLOOKUP(T_Voluntarios[[#This Row],[RUN]],BBDD[],29,FALSE)</f>
        <v>Estudiante de Medicina Veterinaria</v>
      </c>
      <c r="AS115" s="2" t="str">
        <f>VLOOKUP(T_Voluntarios[[#This Row],[RUN]],BBDD[],30,FALSE)</f>
        <v>8 años</v>
      </c>
      <c r="AT115" s="2" t="str">
        <f>VLOOKUP(T_Voluntarios[[#This Row],[RUN]],BBDD[],31,FALSE)</f>
        <v>1 año</v>
      </c>
      <c r="AU115" s="2" t="str">
        <f>VLOOKUP(T_Voluntarios[[#This Row],[RUN]],BBDD[],32,FALSE)</f>
        <v>Soltero(a)</v>
      </c>
      <c r="AV115" s="2" t="str">
        <f>VLOOKUP(T_Voluntarios[[#This Row],[RUN]],BBDD[],33,FALSE)</f>
        <v>Ninguna</v>
      </c>
      <c r="AW115" s="2" t="str">
        <f>VLOOKUP(T_Voluntarios[[#This Row],[RUN]],BBDD[],34,FALSE)</f>
        <v>Monse</v>
      </c>
      <c r="AX115" s="13" t="s">
        <v>733</v>
      </c>
      <c r="AY115" s="76">
        <f>VLOOKUP(T_Voluntarios[[#This Row],[RUN]],BBDD[],2,FALSE)</f>
        <v>45793.497970293211</v>
      </c>
      <c r="AZ115" s="13" t="s">
        <v>3403</v>
      </c>
    </row>
    <row r="116" spans="1:52" x14ac:dyDescent="0.3">
      <c r="A116" s="2" t="s">
        <v>2018</v>
      </c>
      <c r="B116" s="2" t="str">
        <f>VLOOKUP(T_Voluntarios[[#This Row],[RUN]],BBDD[],3,FALSE)</f>
        <v>erickrivas.macaya@gmail.com</v>
      </c>
      <c r="C116" s="2" t="str">
        <f>VLOOKUP(T_Voluntarios[[#This Row],[RUN]],BBDD[],4,FALSE)</f>
        <v>Erick Alexis Rivas Macaya</v>
      </c>
      <c r="D116" s="16">
        <f>VLOOKUP(T_Voluntarios[[#This Row],[RUN]],BBDD[],5,FALSE)</f>
        <v>35905</v>
      </c>
      <c r="E116" s="2" t="str">
        <f>VLOOKUP(T_Voluntarios[[#This Row],[RUN]],BBDD[],6,FALSE)</f>
        <v>Jordan Valdivieso 451</v>
      </c>
      <c r="F116" s="2" t="str">
        <f>VLOOKUP(T_Voluntarios[[#This Row],[RUN]],BBDD[],7,FALSE)</f>
        <v>Talcahuano</v>
      </c>
      <c r="G116" s="2" t="str">
        <f>VLOOKUP(T_Voluntarios[[#This Row],[RUN]],BBDD[],8,FALSE)</f>
        <v>Celular</v>
      </c>
      <c r="H116" s="2" t="str">
        <f>IF(VLOOKUP(T_Voluntarios[[#This Row],[RUN]],BBDD[],9,FALSE)=0,"Falta",VLOOKUP(T_Voluntarios[[#This Row],[RUN]],BBDD[],9,FALSE))</f>
        <v>+56997735872</v>
      </c>
      <c r="I116" s="2" t="str">
        <f>VLOOKUP(T_Voluntarios[[#This Row],[RUN]],BBDD[],10,FALSE)</f>
        <v>Participante</v>
      </c>
      <c r="J116" s="2" t="str">
        <f>VLOOKUP(T_Voluntarios[[#This Row],[RUN]],BBDD[],11,FALSE)</f>
        <v>Manutara</v>
      </c>
      <c r="K116" s="2" t="str">
        <f>VLOOKUP(T_Voluntarios[[#This Row],[RUN]],BBDD[],12,FALSE)</f>
        <v>Guias</v>
      </c>
      <c r="L116" s="2" t="str">
        <f>VLOOKUP(T_Voluntarios[[#This Row],[RUN]],BBDD[],15,FALSE)</f>
        <v>Talcahuano - Hualpén</v>
      </c>
      <c r="M116" s="2" t="str">
        <f>VLOOKUP(T_Voluntarios[[#This Row],[RUN]],BBDD[],20,FALSE)</f>
        <v>Sin Almuerzo</v>
      </c>
      <c r="N116" s="2" t="str">
        <f>VLOOKUP(T_Voluntarios[[#This Row],[RUN]],BBDD[],21,FALSE)</f>
        <v>Ninguna</v>
      </c>
      <c r="O116" s="2" t="str">
        <f>VLOOKUP(T_Voluntarios[[#This Row],[RUN]],BBDD[],22,FALSE)</f>
        <v>Ninguna</v>
      </c>
      <c r="P116" s="2" t="str">
        <f>VLOOKUP(T_Voluntarios[[#This Row],[RUN]],BBDD[],23,FALSE)</f>
        <v>Isis Arriagada +56973899697</v>
      </c>
      <c r="Q116" s="2" t="str">
        <f>IF(VLOOKUP(T_Voluntarios[[#This Row],[RUN]],BBDD[],27,FALSE)=0,"",VLOOKUP(T_Voluntarios[[#This Row],[RUN]],BBDD[],27,FALSE))</f>
        <v/>
      </c>
      <c r="R116" s="2" t="str">
        <f>VLOOKUP(T_Voluntarios[[#This Row],[RUN]],BBDD[],36,FALSE)</f>
        <v>https://drive.google.com/open?id=1XMXx-5xrunUJgZLw3vjzLTqwX52gXPW8</v>
      </c>
      <c r="S116" s="2" t="str">
        <f>VLOOKUP(T_Voluntarios[[#This Row],[RUN]],BBDD[],16,FALSE)</f>
        <v>Inicial</v>
      </c>
      <c r="T116" s="2" t="str">
        <f>VLOOKUP(T_Voluntarios[[#This Row],[RUN]],BBDD[],17,FALSE)</f>
        <v>Ninguno</v>
      </c>
      <c r="U116" s="2" t="str">
        <f>VLOOKUP(T_Voluntarios[[#This Row],[RUN]],BBDD[],18,FALSE)</f>
        <v>Ninguno</v>
      </c>
      <c r="V116" s="2" t="str">
        <f>VLOOKUP(T_Voluntarios[[#This Row],[RUN]],BBDD[],19,FALSE)</f>
        <v>Ninguno</v>
      </c>
      <c r="W116" s="13" t="str">
        <f>IF(OR(T_Voluntarios[[#This Row],[ROL]]="Formador(a)"),"SI","NO")</f>
        <v>NO</v>
      </c>
      <c r="X116" s="13" t="str">
        <f>IF(ISERROR(VLOOKUP(T_Voluntarios[[#This Row],[RUN]],BBDD_Formadores[],15,FALSE)),"NO",VLOOKUP(T_Voluntarios[[#This Row],[RUN]],BBDD_Formadores[],15,FALSE))</f>
        <v>NO</v>
      </c>
      <c r="Y116" s="13" t="str">
        <f>IF(ISERROR(VLOOKUP(T_Voluntarios[[#This Row],[RUN]],BBDD_Formadores[],16,FALSE)),"NO",VLOOKUP(T_Voluntarios[[#This Row],[RUN]],BBDD_Formadores[],16,FALSE))</f>
        <v>NO</v>
      </c>
      <c r="Z116" s="13" t="str">
        <f>IF(ISERROR(VLOOKUP(T_Voluntarios[[#This Row],[RUN]],BBDD_Formadores[],17,FALSE)),"NO",VLOOKUP(T_Voluntarios[[#This Row],[RUN]],BBDD_Formadores[],17,FALSE))</f>
        <v>NO</v>
      </c>
      <c r="AA116" s="13" t="str">
        <f>IF(ISERROR(VLOOKUP(T_Voluntarios[[#This Row],[RUN]],BBDD_Formadores[],18,FALSE)),"NO",VLOOKUP(T_Voluntarios[[#This Row],[RUN]],BBDD_Formadores[],18,FALSE))</f>
        <v>NO</v>
      </c>
      <c r="AB116" s="13">
        <v>1</v>
      </c>
      <c r="AC116" s="13" t="s">
        <v>1597</v>
      </c>
      <c r="AD116" s="13" t="s">
        <v>78</v>
      </c>
      <c r="AF116" s="2" t="str">
        <f>IF(VLOOKUP(T_Voluntarios[[#This Row],[RUN]],BBDD[],25,FALSE)=0,"",VLOOKUP(T_Voluntarios[[#This Row],[RUN]],BBDD[],25,FALSE))</f>
        <v/>
      </c>
      <c r="AG116" s="2" t="str">
        <f>IF(VLOOKUP(T_Voluntarios[[#This Row],[RUN]],BBDD[],26,FALSE)=0,"",VLOOKUP(T_Voluntarios[[#This Row],[RUN]],BBDD[],26,FALSE))</f>
        <v/>
      </c>
      <c r="AH116" s="2" t="str">
        <f>IF(VLOOKUP(T_Voluntarios[[#This Row],[RUN]],BBDD[],24,FALSE)=0,"",VLOOKUP(T_Voluntarios[[#This Row],[RUN]],BBDD[],24,FALSE))</f>
        <v/>
      </c>
      <c r="AI116" s="13" t="str">
        <f>VLOOKUP(T_Voluntarios[[#This Row],[RUN]],BBDD[],28,FALSE)</f>
        <v>No</v>
      </c>
      <c r="AJ116" s="13" t="str">
        <f>VLOOKUP(T_Voluntarios[[#This Row],[RUN]],BBDD[],28,FALSE)</f>
        <v>No</v>
      </c>
      <c r="AK116" s="32">
        <f>IF(T_Voluntarios[[#This Row],[ROL]]="Participante",SUMIFS(T_Cuotas[[#All],[Total]],T_Cuotas[[#All],[RUN]],T_Voluntarios[[#This Row],[RUN]]),-1)</f>
        <v>6000</v>
      </c>
      <c r="AL116" s="13" t="s">
        <v>78</v>
      </c>
      <c r="AM116" s="13" t="s">
        <v>733</v>
      </c>
      <c r="AP116" s="2" t="str">
        <f>MID(T_Voluntarios[[#This Row],[E_MAIL]],SEARCH("@",T_Voluntarios[[#This Row],[E_MAIL]],1),LEN(T_Voluntarios[[#This Row],[E_MAIL]]))</f>
        <v>@gmail.com</v>
      </c>
      <c r="AQ116" s="13" t="str">
        <f>VLOOKUP(T_Voluntarios[[#This Row],[RUN]],BBDD[],37,FALSE)</f>
        <v>27</v>
      </c>
      <c r="AR116" s="2" t="str">
        <f>VLOOKUP(T_Voluntarios[[#This Row],[RUN]],BBDD[],29,FALSE)</f>
        <v>Guardia de seguridad</v>
      </c>
      <c r="AS116" s="2" t="str">
        <f>VLOOKUP(T_Voluntarios[[#This Row],[RUN]],BBDD[],30,FALSE)</f>
        <v>6 años</v>
      </c>
      <c r="AT116" s="2" t="str">
        <f>VLOOKUP(T_Voluntarios[[#This Row],[RUN]],BBDD[],31,FALSE)</f>
        <v>5 años</v>
      </c>
      <c r="AU116" s="2" t="str">
        <f>VLOOKUP(T_Voluntarios[[#This Row],[RUN]],BBDD[],32,FALSE)</f>
        <v>Soltero(a)</v>
      </c>
      <c r="AV116" s="2" t="str">
        <f>VLOOKUP(T_Voluntarios[[#This Row],[RUN]],BBDD[],33,FALSE)</f>
        <v>Ninguna</v>
      </c>
      <c r="AW116" s="2" t="str">
        <f>VLOOKUP(T_Voluntarios[[#This Row],[RUN]],BBDD[],34,FALSE)</f>
        <v>ninguna</v>
      </c>
      <c r="AX116" s="13" t="s">
        <v>733</v>
      </c>
      <c r="AY116" s="76">
        <f>VLOOKUP(T_Voluntarios[[#This Row],[RUN]],BBDD[],2,FALSE)</f>
        <v>45794.008785416663</v>
      </c>
      <c r="AZ116" s="13" t="s">
        <v>2</v>
      </c>
    </row>
    <row r="117" spans="1:52" x14ac:dyDescent="0.3">
      <c r="A117" s="2" t="s">
        <v>525</v>
      </c>
      <c r="B117" s="2" t="str">
        <f>VLOOKUP(T_Voluntarios[[#This Row],[RUN]],BBDD[],3,FALSE)</f>
        <v>alexis.auad@gmail.com</v>
      </c>
      <c r="C117" s="2" t="str">
        <f>VLOOKUP(T_Voluntarios[[#This Row],[RUN]],BBDD[],4,FALSE)</f>
        <v>Alexis Hernán Auad Díaz</v>
      </c>
      <c r="D117" s="16">
        <f>VLOOKUP(T_Voluntarios[[#This Row],[RUN]],BBDD[],5,FALSE)</f>
        <v>28657</v>
      </c>
      <c r="E117" s="2" t="str">
        <f>VLOOKUP(T_Voluntarios[[#This Row],[RUN]],BBDD[],6,FALSE)</f>
        <v>Chorrillos 436</v>
      </c>
      <c r="F117" s="2" t="str">
        <f>VLOOKUP(T_Voluntarios[[#This Row],[RUN]],BBDD[],7,FALSE)</f>
        <v>Los Ángeles</v>
      </c>
      <c r="G117" s="2" t="str">
        <f>VLOOKUP(T_Voluntarios[[#This Row],[RUN]],BBDD[],8,FALSE)</f>
        <v>Celular</v>
      </c>
      <c r="H117" s="2" t="str">
        <f>IF(VLOOKUP(T_Voluntarios[[#This Row],[RUN]],BBDD[],9,FALSE)=0,"Falta",VLOOKUP(T_Voluntarios[[#This Row],[RUN]],BBDD[],9,FALSE))</f>
        <v>+56988077917</v>
      </c>
      <c r="I117" s="2" t="str">
        <f>VLOOKUP(T_Voluntarios[[#This Row],[RUN]],BBDD[],10,FALSE)</f>
        <v>Formador(a)</v>
      </c>
      <c r="J117" s="2" t="str">
        <f>VLOOKUP(T_Voluntarios[[#This Row],[RUN]],BBDD[],11,FALSE)</f>
        <v>Liceo Alemán del Verbo Divino</v>
      </c>
      <c r="K117" s="2" t="str">
        <f>VLOOKUP(T_Voluntarios[[#This Row],[RUN]],BBDD[],12,FALSE)</f>
        <v>Caminantes</v>
      </c>
      <c r="L117" s="2" t="str">
        <f>VLOOKUP(T_Voluntarios[[#This Row],[RUN]],BBDD[],15,FALSE)</f>
        <v>Biobío</v>
      </c>
      <c r="M117" s="2" t="str">
        <f>VLOOKUP(T_Voluntarios[[#This Row],[RUN]],BBDD[],20,FALSE)</f>
        <v>Alimentación Tradicional</v>
      </c>
      <c r="N117" s="2" t="str">
        <f>VLOOKUP(T_Voluntarios[[#This Row],[RUN]],BBDD[],21,FALSE)</f>
        <v>Ninguna</v>
      </c>
      <c r="O117" s="2" t="str">
        <f>VLOOKUP(T_Voluntarios[[#This Row],[RUN]],BBDD[],22,FALSE)</f>
        <v>Ninguna</v>
      </c>
      <c r="P117" s="2" t="str">
        <f>VLOOKUP(T_Voluntarios[[#This Row],[RUN]],BBDD[],23,FALSE)</f>
        <v>Vivo solo</v>
      </c>
      <c r="Q117" s="2" t="str">
        <f>IF(VLOOKUP(T_Voluntarios[[#This Row],[RUN]],BBDD[],27,FALSE)=0,"",VLOOKUP(T_Voluntarios[[#This Row],[RUN]],BBDD[],27,FALSE))</f>
        <v/>
      </c>
      <c r="R117" s="2" t="str">
        <f>VLOOKUP(T_Voluntarios[[#This Row],[RUN]],BBDD[],36,FALSE)</f>
        <v>https://drive.google.com/open?id=1qdVGZNb5imOiGcrrrTpD7j4eQeMU5hEw</v>
      </c>
      <c r="S117" s="2" t="str">
        <f>VLOOKUP(T_Voluntarios[[#This Row],[RUN]],BBDD[],16,FALSE)</f>
        <v>Medio</v>
      </c>
      <c r="T117" s="2" t="str">
        <f>VLOOKUP(T_Voluntarios[[#This Row],[RUN]],BBDD[],17,FALSE)</f>
        <v>10714</v>
      </c>
      <c r="U117" s="2" t="str">
        <f>VLOOKUP(T_Voluntarios[[#This Row],[RUN]],BBDD[],18,FALSE)</f>
        <v>Caminantes</v>
      </c>
      <c r="V117" s="2" t="str">
        <f>VLOOKUP(T_Voluntarios[[#This Row],[RUN]],BBDD[],19,FALSE)</f>
        <v>Ninguno</v>
      </c>
      <c r="W117" s="13" t="str">
        <f>IF(OR(T_Voluntarios[[#This Row],[ROL]]="Formador(a)"),"SI","NO")</f>
        <v>SI</v>
      </c>
      <c r="X117" s="13" t="str">
        <f>IF(ISERROR(VLOOKUP(T_Voluntarios[[#This Row],[RUN]],BBDD_Formadores[],15,FALSE)),"NO",VLOOKUP(T_Voluntarios[[#This Row],[RUN]],BBDD_Formadores[],15,FALSE))</f>
        <v>SI</v>
      </c>
      <c r="Y117" s="13" t="str">
        <f>IF(ISERROR(VLOOKUP(T_Voluntarios[[#This Row],[RUN]],BBDD_Formadores[],16,FALSE)),"NO",VLOOKUP(T_Voluntarios[[#This Row],[RUN]],BBDD_Formadores[],16,FALSE))</f>
        <v>Caminantes</v>
      </c>
      <c r="Z117" s="13" t="str">
        <f>IF(ISERROR(VLOOKUP(T_Voluntarios[[#This Row],[RUN]],BBDD_Formadores[],17,FALSE)),"NO",VLOOKUP(T_Voluntarios[[#This Row],[RUN]],BBDD_Formadores[],17,FALSE))</f>
        <v>Caminantes</v>
      </c>
      <c r="AA117" s="13" t="str">
        <f>IF(ISERROR(VLOOKUP(T_Voluntarios[[#This Row],[RUN]],BBDD_Formadores[],18,FALSE)),"NO",VLOOKUP(T_Voluntarios[[#This Row],[RUN]],BBDD_Formadores[],18,FALSE))</f>
        <v>NO</v>
      </c>
      <c r="AB117" s="13">
        <v>1</v>
      </c>
      <c r="AC117" s="13" t="s">
        <v>1</v>
      </c>
      <c r="AD117" s="13" t="s">
        <v>77</v>
      </c>
      <c r="AF117" s="2" t="str">
        <f>IF(VLOOKUP(T_Voluntarios[[#This Row],[RUN]],BBDD[],25,FALSE)=0,"",VLOOKUP(T_Voluntarios[[#This Row],[RUN]],BBDD[],25,FALSE))</f>
        <v>Nissan</v>
      </c>
      <c r="AG117" s="2" t="str">
        <f>IF(VLOOKUP(T_Voluntarios[[#This Row],[RUN]],BBDD[],26,FALSE)=0,"",VLOOKUP(T_Voluntarios[[#This Row],[RUN]],BBDD[],26,FALSE))</f>
        <v>Camioneta</v>
      </c>
      <c r="AH117" s="2" t="str">
        <f>IF(VLOOKUP(T_Voluntarios[[#This Row],[RUN]],BBDD[],24,FALSE)=0,"",VLOOKUP(T_Voluntarios[[#This Row],[RUN]],BBDD[],24,FALSE))</f>
        <v>GJKL 81</v>
      </c>
      <c r="AI117" s="13" t="str">
        <f>VLOOKUP(T_Voluntarios[[#This Row],[RUN]],BBDD[],28,FALSE)</f>
        <v>SI</v>
      </c>
      <c r="AJ117" s="13" t="str">
        <f>VLOOKUP(T_Voluntarios[[#This Row],[RUN]],BBDD[],28,FALSE)</f>
        <v>SI</v>
      </c>
      <c r="AK117" s="32">
        <f>IF(T_Voluntarios[[#This Row],[ROL]]="Participante",SUMIFS(T_Cuotas[[#All],[Total]],T_Cuotas[[#All],[RUN]],T_Voluntarios[[#This Row],[RUN]]),-1)</f>
        <v>-1</v>
      </c>
      <c r="AL117" s="13" t="s">
        <v>1</v>
      </c>
      <c r="AM117" s="13" t="s">
        <v>2029</v>
      </c>
      <c r="AP117" s="2" t="str">
        <f>MID(T_Voluntarios[[#This Row],[E_MAIL]],SEARCH("@",T_Voluntarios[[#This Row],[E_MAIL]],1),LEN(T_Voluntarios[[#This Row],[E_MAIL]]))</f>
        <v>@gmail.com</v>
      </c>
      <c r="AQ117" s="13" t="str">
        <f>VLOOKUP(T_Voluntarios[[#This Row],[RUN]],BBDD[],37,FALSE)</f>
        <v>47</v>
      </c>
      <c r="AR117" s="2" t="str">
        <f>VLOOKUP(T_Voluntarios[[#This Row],[RUN]],BBDD[],29,FALSE)</f>
        <v>Ing. Experto Prevencion de Riesgos</v>
      </c>
      <c r="AS117" s="2" t="str">
        <f>VLOOKUP(T_Voluntarios[[#This Row],[RUN]],BBDD[],30,FALSE)</f>
        <v>8</v>
      </c>
      <c r="AT117" s="2" t="str">
        <f>VLOOKUP(T_Voluntarios[[#This Row],[RUN]],BBDD[],31,FALSE)</f>
        <v>6</v>
      </c>
      <c r="AU117" s="2" t="str">
        <f>VLOOKUP(T_Voluntarios[[#This Row],[RUN]],BBDD[],32,FALSE)</f>
        <v>Soltero(a)</v>
      </c>
      <c r="AV117" s="2" t="str">
        <f>VLOOKUP(T_Voluntarios[[#This Row],[RUN]],BBDD[],33,FALSE)</f>
        <v>Catolica</v>
      </c>
      <c r="AW117" s="2" t="str">
        <f>VLOOKUP(T_Voluntarios[[#This Row],[RUN]],BBDD[],34,FALSE)</f>
        <v>Alexis</v>
      </c>
      <c r="AX117" s="13" t="s">
        <v>733</v>
      </c>
      <c r="AY117" s="76">
        <f>VLOOKUP(T_Voluntarios[[#This Row],[RUN]],BBDD[],2,FALSE)</f>
        <v>45794.577861033948</v>
      </c>
      <c r="AZ117" s="13" t="s">
        <v>2</v>
      </c>
    </row>
    <row r="118" spans="1:52" x14ac:dyDescent="0.3">
      <c r="A118" s="2" t="s">
        <v>228</v>
      </c>
      <c r="B118" s="2" t="str">
        <f>VLOOKUP(T_Voluntarios[[#This Row],[RUN]],BBDD[],3,FALSE)</f>
        <v>scarrasco@guiasyscoutschile.cl</v>
      </c>
      <c r="C118" s="2" t="str">
        <f>VLOOKUP(T_Voluntarios[[#This Row],[RUN]],BBDD[],4,FALSE)</f>
        <v>Silvia Karina Carrasco Avilés</v>
      </c>
      <c r="D118" s="16">
        <f>VLOOKUP(T_Voluntarios[[#This Row],[RUN]],BBDD[],5,FALSE)</f>
        <v>27042</v>
      </c>
      <c r="E118" s="2" t="str">
        <f>VLOOKUP(T_Voluntarios[[#This Row],[RUN]],BBDD[],6,FALSE)</f>
        <v>El Arrayán 310, Villa Los Aromos</v>
      </c>
      <c r="F118" s="2" t="str">
        <f>VLOOKUP(T_Voluntarios[[#This Row],[RUN]],BBDD[],7,FALSE)</f>
        <v>Chillán Viejo</v>
      </c>
      <c r="G118" s="2" t="str">
        <f>VLOOKUP(T_Voluntarios[[#This Row],[RUN]],BBDD[],8,FALSE)</f>
        <v>Celular</v>
      </c>
      <c r="H118" s="2" t="str">
        <f>IF(VLOOKUP(T_Voluntarios[[#This Row],[RUN]],BBDD[],9,FALSE)=0,"Falta",VLOOKUP(T_Voluntarios[[#This Row],[RUN]],BBDD[],9,FALSE))</f>
        <v>+56999912803</v>
      </c>
      <c r="I118" s="2" t="str">
        <f>VLOOKUP(T_Voluntarios[[#This Row],[RUN]],BBDD[],10,FALSE)</f>
        <v>Formador(a)</v>
      </c>
      <c r="J118" s="2" t="str">
        <f>VLOOKUP(T_Voluntarios[[#This Row],[RUN]],BBDD[],11,FALSE)</f>
        <v>San Vicente</v>
      </c>
      <c r="K118" s="2" t="str">
        <f>VLOOKUP(T_Voluntarios[[#This Row],[RUN]],BBDD[],12,FALSE)</f>
        <v>Guias</v>
      </c>
      <c r="L118" s="2" t="str">
        <f>VLOOKUP(T_Voluntarios[[#This Row],[RUN]],BBDD[],15,FALSE)</f>
        <v>Zona Ñuble</v>
      </c>
      <c r="M118" s="2" t="str">
        <f>VLOOKUP(T_Voluntarios[[#This Row],[RUN]],BBDD[],20,FALSE)</f>
        <v>Alimentación Tradicional</v>
      </c>
      <c r="N118" s="2" t="str">
        <f>VLOOKUP(T_Voluntarios[[#This Row],[RUN]],BBDD[],21,FALSE)</f>
        <v>Ninguna</v>
      </c>
      <c r="O118" s="2" t="str">
        <f>VLOOKUP(T_Voluntarios[[#This Row],[RUN]],BBDD[],22,FALSE)</f>
        <v>Movilidad poco limitada, Artrosis, ruptura de meniscos, discopatía</v>
      </c>
      <c r="P118" s="2" t="str">
        <f>VLOOKUP(T_Voluntarios[[#This Row],[RUN]],BBDD[],23,FALSE)</f>
        <v>Nilton Pompeu +56982172589</v>
      </c>
      <c r="Q118" s="2" t="str">
        <f>IF(VLOOKUP(T_Voluntarios[[#This Row],[RUN]],BBDD[],27,FALSE)=0,"",VLOOKUP(T_Voluntarios[[#This Row],[RUN]],BBDD[],27,FALSE))</f>
        <v>No como embutidos</v>
      </c>
      <c r="R118" s="2" t="str">
        <f>VLOOKUP(T_Voluntarios[[#This Row],[RUN]],BBDD[],36,FALSE)</f>
        <v>https://drive.google.com/open?id=1XGdtlVz7Wd8PhGjBLmSWfLhhFpGnif4K</v>
      </c>
      <c r="S118" s="2" t="str">
        <f>VLOOKUP(T_Voluntarios[[#This Row],[RUN]],BBDD[],16,FALSE)</f>
        <v>Medio</v>
      </c>
      <c r="T118" s="2" t="str">
        <f>VLOOKUP(T_Voluntarios[[#This Row],[RUN]],BBDD[],17,FALSE)</f>
        <v>3314</v>
      </c>
      <c r="U118" s="2" t="str">
        <f>VLOOKUP(T_Voluntarios[[#This Row],[RUN]],BBDD[],18,FALSE)</f>
        <v>Guias</v>
      </c>
      <c r="V118" s="2" t="str">
        <f>VLOOKUP(T_Voluntarios[[#This Row],[RUN]],BBDD[],19,FALSE)</f>
        <v>Ninguno</v>
      </c>
      <c r="W118" s="13" t="str">
        <f>IF(OR(T_Voluntarios[[#This Row],[ROL]]="Formador(a)"),"SI","NO")</f>
        <v>SI</v>
      </c>
      <c r="X118" s="13" t="str">
        <f>IF(ISERROR(VLOOKUP(T_Voluntarios[[#This Row],[RUN]],BBDD_Formadores[],15,FALSE)),"NO",VLOOKUP(T_Voluntarios[[#This Row],[RUN]],BBDD_Formadores[],15,FALSE))</f>
        <v>SI</v>
      </c>
      <c r="Y118" s="13" t="str">
        <f>IF(ISERROR(VLOOKUP(T_Voluntarios[[#This Row],[RUN]],BBDD_Formadores[],16,FALSE)),"NO",VLOOKUP(T_Voluntarios[[#This Row],[RUN]],BBDD_Formadores[],16,FALSE))</f>
        <v>Guias</v>
      </c>
      <c r="Z118" s="13" t="str">
        <f>IF(ISERROR(VLOOKUP(T_Voluntarios[[#This Row],[RUN]],BBDD_Formadores[],17,FALSE)),"NO",VLOOKUP(T_Voluntarios[[#This Row],[RUN]],BBDD_Formadores[],17,FALSE))</f>
        <v>Guias</v>
      </c>
      <c r="AA118" s="13" t="str">
        <f>IF(ISERROR(VLOOKUP(T_Voluntarios[[#This Row],[RUN]],BBDD_Formadores[],18,FALSE)),"NO",VLOOKUP(T_Voluntarios[[#This Row],[RUN]],BBDD_Formadores[],18,FALSE))</f>
        <v>SI</v>
      </c>
      <c r="AB118" s="13">
        <v>1</v>
      </c>
      <c r="AC118" s="13" t="s">
        <v>1</v>
      </c>
      <c r="AD118" s="13" t="s">
        <v>77</v>
      </c>
      <c r="AF118" s="2" t="str">
        <f>IF(VLOOKUP(T_Voluntarios[[#This Row],[RUN]],BBDD[],25,FALSE)=0,"",VLOOKUP(T_Voluntarios[[#This Row],[RUN]],BBDD[],25,FALSE))</f>
        <v/>
      </c>
      <c r="AG118" s="2" t="str">
        <f>IF(VLOOKUP(T_Voluntarios[[#This Row],[RUN]],BBDD[],26,FALSE)=0,"",VLOOKUP(T_Voluntarios[[#This Row],[RUN]],BBDD[],26,FALSE))</f>
        <v/>
      </c>
      <c r="AH118" s="2" t="str">
        <f>IF(VLOOKUP(T_Voluntarios[[#This Row],[RUN]],BBDD[],24,FALSE)=0,"",VLOOKUP(T_Voluntarios[[#This Row],[RUN]],BBDD[],24,FALSE))</f>
        <v/>
      </c>
      <c r="AI118" s="13" t="str">
        <f>VLOOKUP(T_Voluntarios[[#This Row],[RUN]],BBDD[],28,FALSE)</f>
        <v>SI</v>
      </c>
      <c r="AJ118" s="13" t="str">
        <f>VLOOKUP(T_Voluntarios[[#This Row],[RUN]],BBDD[],28,FALSE)</f>
        <v>SI</v>
      </c>
      <c r="AK118" s="32">
        <f>IF(T_Voluntarios[[#This Row],[ROL]]="Participante",SUMIFS(T_Cuotas[[#All],[Total]],T_Cuotas[[#All],[RUN]],T_Voluntarios[[#This Row],[RUN]]),-1)</f>
        <v>-1</v>
      </c>
      <c r="AL118" s="13" t="s">
        <v>1</v>
      </c>
      <c r="AM118" s="13" t="s">
        <v>2029</v>
      </c>
      <c r="AP118" s="2" t="str">
        <f>MID(T_Voluntarios[[#This Row],[E_MAIL]],SEARCH("@",T_Voluntarios[[#This Row],[E_MAIL]],1),LEN(T_Voluntarios[[#This Row],[E_MAIL]]))</f>
        <v>@guiasyscoutschile.cl</v>
      </c>
      <c r="AQ118" s="13" t="str">
        <f>VLOOKUP(T_Voluntarios[[#This Row],[RUN]],BBDD[],37,FALSE)</f>
        <v>51</v>
      </c>
      <c r="AR118" s="2" t="str">
        <f>VLOOKUP(T_Voluntarios[[#This Row],[RUN]],BBDD[],29,FALSE)</f>
        <v>Mg en Actividad física y deporte adaptado, profesora de Educación Física</v>
      </c>
      <c r="AS118" s="2" t="str">
        <f>VLOOKUP(T_Voluntarios[[#This Row],[RUN]],BBDD[],30,FALSE)</f>
        <v>6 años</v>
      </c>
      <c r="AT118" s="2" t="str">
        <f>VLOOKUP(T_Voluntarios[[#This Row],[RUN]],BBDD[],31,FALSE)</f>
        <v>34 años</v>
      </c>
      <c r="AU118" s="2" t="str">
        <f>VLOOKUP(T_Voluntarios[[#This Row],[RUN]],BBDD[],32,FALSE)</f>
        <v>Casado(a)</v>
      </c>
      <c r="AV118" s="2" t="str">
        <f>VLOOKUP(T_Voluntarios[[#This Row],[RUN]],BBDD[],33,FALSE)</f>
        <v>Católica</v>
      </c>
      <c r="AW118" s="2" t="str">
        <f>VLOOKUP(T_Voluntarios[[#This Row],[RUN]],BBDD[],34,FALSE)</f>
        <v>Chivi</v>
      </c>
      <c r="AX118" s="13" t="s">
        <v>733</v>
      </c>
      <c r="AY118" s="76">
        <f>VLOOKUP(T_Voluntarios[[#This Row],[RUN]],BBDD[],2,FALSE)</f>
        <v>45794.82606265432</v>
      </c>
      <c r="AZ118" s="13" t="s">
        <v>2</v>
      </c>
    </row>
    <row r="119" spans="1:52" x14ac:dyDescent="0.3">
      <c r="A119" s="2" t="s">
        <v>2114</v>
      </c>
      <c r="B119" s="2" t="str">
        <f>VLOOKUP(T_Voluntarios[[#This Row],[RUN]],BBDD[],3,FALSE)</f>
        <v>caritoandreabarcelona@gmail.com</v>
      </c>
      <c r="C119" s="2" t="str">
        <f>VLOOKUP(T_Voluntarios[[#This Row],[RUN]],BBDD[],4,FALSE)</f>
        <v>Carolina Andrea Vega Contreras</v>
      </c>
      <c r="D119" s="16">
        <f>VLOOKUP(T_Voluntarios[[#This Row],[RUN]],BBDD[],5,FALSE)</f>
        <v>29939</v>
      </c>
      <c r="E119" s="2" t="str">
        <f>VLOOKUP(T_Voluntarios[[#This Row],[RUN]],BBDD[],6,FALSE)</f>
        <v>Alcazar 2378 villa Barcelona</v>
      </c>
      <c r="F119" s="2" t="str">
        <f>VLOOKUP(T_Voluntarios[[#This Row],[RUN]],BBDD[],7,FALSE)</f>
        <v>Chillán</v>
      </c>
      <c r="G119" s="2" t="str">
        <f>VLOOKUP(T_Voluntarios[[#This Row],[RUN]],BBDD[],8,FALSE)</f>
        <v>Celular</v>
      </c>
      <c r="H119" s="2" t="str">
        <f>IF(VLOOKUP(T_Voluntarios[[#This Row],[RUN]],BBDD[],9,FALSE)=0,"Falta",VLOOKUP(T_Voluntarios[[#This Row],[RUN]],BBDD[],9,FALSE))</f>
        <v>+56956030526</v>
      </c>
      <c r="I119" s="2" t="str">
        <f>VLOOKUP(T_Voluntarios[[#This Row],[RUN]],BBDD[],10,FALSE)</f>
        <v>Participante</v>
      </c>
      <c r="J119" s="2" t="str">
        <f>VLOOKUP(T_Voluntarios[[#This Row],[RUN]],BBDD[],11,FALSE)</f>
        <v>San Bartolomé</v>
      </c>
      <c r="K119" s="2" t="str">
        <f>VLOOKUP(T_Voluntarios[[#This Row],[RUN]],BBDD[],12,FALSE)</f>
        <v>Golondrinas</v>
      </c>
      <c r="L119" s="2" t="str">
        <f>VLOOKUP(T_Voluntarios[[#This Row],[RUN]],BBDD[],15,FALSE)</f>
        <v>Zona Ñuble</v>
      </c>
      <c r="M119" s="2" t="str">
        <f>VLOOKUP(T_Voluntarios[[#This Row],[RUN]],BBDD[],20,FALSE)</f>
        <v>Alimentación Tradicional</v>
      </c>
      <c r="N119" s="2" t="str">
        <f>VLOOKUP(T_Voluntarios[[#This Row],[RUN]],BBDD[],21,FALSE)</f>
        <v>Hipertensa , alérgica a la penicilina y al picante (ají )</v>
      </c>
      <c r="O119" s="2" t="str">
        <f>VLOOKUP(T_Voluntarios[[#This Row],[RUN]],BBDD[],22,FALSE)</f>
        <v>Ninguna</v>
      </c>
      <c r="P119" s="2" t="str">
        <f>VLOOKUP(T_Voluntarios[[#This Row],[RUN]],BBDD[],23,FALSE)</f>
        <v>Marcos Fernandez gallardo 956005748</v>
      </c>
      <c r="Q119" s="2" t="str">
        <f>IF(VLOOKUP(T_Voluntarios[[#This Row],[RUN]],BBDD[],27,FALSE)=0,"",VLOOKUP(T_Voluntarios[[#This Row],[RUN]],BBDD[],27,FALSE))</f>
        <v/>
      </c>
      <c r="R119" s="2" t="str">
        <f>VLOOKUP(T_Voluntarios[[#This Row],[RUN]],BBDD[],36,FALSE)</f>
        <v>https://drive.google.com/open?id=1kc30bNpDPq-bNO98nQ8kNWe-gLu8Bo32</v>
      </c>
      <c r="S119" s="2" t="str">
        <f>VLOOKUP(T_Voluntarios[[#This Row],[RUN]],BBDD[],16,FALSE)</f>
        <v>Inicial</v>
      </c>
      <c r="T119" s="2" t="str">
        <f>VLOOKUP(T_Voluntarios[[#This Row],[RUN]],BBDD[],17,FALSE)</f>
        <v>Ninguno</v>
      </c>
      <c r="U119" s="2" t="str">
        <f>VLOOKUP(T_Voluntarios[[#This Row],[RUN]],BBDD[],18,FALSE)</f>
        <v>Ninguno</v>
      </c>
      <c r="V119" s="2" t="str">
        <f>VLOOKUP(T_Voluntarios[[#This Row],[RUN]],BBDD[],19,FALSE)</f>
        <v>Ninguno</v>
      </c>
      <c r="W119" s="13" t="str">
        <f>IF(OR(T_Voluntarios[[#This Row],[ROL]]="Formador(a)"),"SI","NO")</f>
        <v>NO</v>
      </c>
      <c r="X119" s="13" t="str">
        <f>IF(ISERROR(VLOOKUP(T_Voluntarios[[#This Row],[RUN]],BBDD_Formadores[],15,FALSE)),"NO",VLOOKUP(T_Voluntarios[[#This Row],[RUN]],BBDD_Formadores[],15,FALSE))</f>
        <v>NO</v>
      </c>
      <c r="Y119" s="13" t="str">
        <f>IF(ISERROR(VLOOKUP(T_Voluntarios[[#This Row],[RUN]],BBDD_Formadores[],16,FALSE)),"NO",VLOOKUP(T_Voluntarios[[#This Row],[RUN]],BBDD_Formadores[],16,FALSE))</f>
        <v>NO</v>
      </c>
      <c r="Z119" s="13" t="str">
        <f>IF(ISERROR(VLOOKUP(T_Voluntarios[[#This Row],[RUN]],BBDD_Formadores[],17,FALSE)),"NO",VLOOKUP(T_Voluntarios[[#This Row],[RUN]],BBDD_Formadores[],17,FALSE))</f>
        <v>NO</v>
      </c>
      <c r="AA119" s="13" t="str">
        <f>IF(ISERROR(VLOOKUP(T_Voluntarios[[#This Row],[RUN]],BBDD_Formadores[],18,FALSE)),"NO",VLOOKUP(T_Voluntarios[[#This Row],[RUN]],BBDD_Formadores[],18,FALSE))</f>
        <v>NO</v>
      </c>
      <c r="AB119" s="13">
        <v>1</v>
      </c>
      <c r="AC119" s="13" t="s">
        <v>1</v>
      </c>
      <c r="AD119" s="13" t="s">
        <v>77</v>
      </c>
      <c r="AF119" s="2" t="str">
        <f>IF(VLOOKUP(T_Voluntarios[[#This Row],[RUN]],BBDD[],25,FALSE)=0,"",VLOOKUP(T_Voluntarios[[#This Row],[RUN]],BBDD[],25,FALSE))</f>
        <v/>
      </c>
      <c r="AG119" s="2" t="str">
        <f>IF(VLOOKUP(T_Voluntarios[[#This Row],[RUN]],BBDD[],26,FALSE)=0,"",VLOOKUP(T_Voluntarios[[#This Row],[RUN]],BBDD[],26,FALSE))</f>
        <v/>
      </c>
      <c r="AH119" s="2" t="str">
        <f>IF(VLOOKUP(T_Voluntarios[[#This Row],[RUN]],BBDD[],24,FALSE)=0,"",VLOOKUP(T_Voluntarios[[#This Row],[RUN]],BBDD[],24,FALSE))</f>
        <v/>
      </c>
      <c r="AI119" s="13" t="str">
        <f>VLOOKUP(T_Voluntarios[[#This Row],[RUN]],BBDD[],28,FALSE)</f>
        <v>No</v>
      </c>
      <c r="AJ119" s="13" t="str">
        <f>VLOOKUP(T_Voluntarios[[#This Row],[RUN]],BBDD[],28,FALSE)</f>
        <v>No</v>
      </c>
      <c r="AK119" s="32">
        <f>IF(T_Voluntarios[[#This Row],[ROL]]="Participante",SUMIFS(T_Cuotas[[#All],[Total]],T_Cuotas[[#All],[RUN]],T_Voluntarios[[#This Row],[RUN]]),-1)</f>
        <v>50000</v>
      </c>
      <c r="AL119" s="13" t="s">
        <v>1</v>
      </c>
      <c r="AM119" s="13" t="s">
        <v>2029</v>
      </c>
      <c r="AP119" s="2" t="str">
        <f>MID(T_Voluntarios[[#This Row],[E_MAIL]],SEARCH("@",T_Voluntarios[[#This Row],[E_MAIL]],1),LEN(T_Voluntarios[[#This Row],[E_MAIL]]))</f>
        <v>@gmail.com</v>
      </c>
      <c r="AQ119" s="13" t="str">
        <f>VLOOKUP(T_Voluntarios[[#This Row],[RUN]],BBDD[],37,FALSE)</f>
        <v>43</v>
      </c>
      <c r="AR119" s="2" t="str">
        <f>VLOOKUP(T_Voluntarios[[#This Row],[RUN]],BBDD[],29,FALSE)</f>
        <v>Tens y podóloga</v>
      </c>
      <c r="AS119" s="2" t="str">
        <f>VLOOKUP(T_Voluntarios[[#This Row],[RUN]],BBDD[],30,FALSE)</f>
        <v xml:space="preserve"> No fui beneficiario</v>
      </c>
      <c r="AT119" s="2" t="str">
        <f>VLOOKUP(T_Voluntarios[[#This Row],[RUN]],BBDD[],31,FALSE)</f>
        <v>1 año</v>
      </c>
      <c r="AU119" s="2" t="str">
        <f>VLOOKUP(T_Voluntarios[[#This Row],[RUN]],BBDD[],32,FALSE)</f>
        <v>Casado(a)</v>
      </c>
      <c r="AV119" s="2" t="str">
        <f>VLOOKUP(T_Voluntarios[[#This Row],[RUN]],BBDD[],33,FALSE)</f>
        <v>Cristiana evangélica</v>
      </c>
      <c r="AW119" s="2" t="str">
        <f>VLOOKUP(T_Voluntarios[[#This Row],[RUN]],BBDD[],34,FALSE)</f>
        <v>Carito</v>
      </c>
      <c r="AX119" s="13" t="s">
        <v>733</v>
      </c>
      <c r="AY119" s="76">
        <f>VLOOKUP(T_Voluntarios[[#This Row],[RUN]],BBDD[],2,FALSE)</f>
        <v>45794.867059722223</v>
      </c>
      <c r="AZ119" s="13" t="s">
        <v>3402</v>
      </c>
    </row>
    <row r="120" spans="1:52" x14ac:dyDescent="0.3">
      <c r="A120" s="2" t="s">
        <v>2054</v>
      </c>
      <c r="B120" s="2" t="str">
        <f>VLOOKUP(T_Voluntarios[[#This Row],[RUN]],BBDD[],3,FALSE)</f>
        <v>ang.michellod@gmail.com</v>
      </c>
      <c r="C120" s="2" t="str">
        <f>VLOOKUP(T_Voluntarios[[#This Row],[RUN]],BBDD[],4,FALSE)</f>
        <v>Andrés Nicolás González Michellod</v>
      </c>
      <c r="D120" s="16">
        <f>VLOOKUP(T_Voluntarios[[#This Row],[RUN]],BBDD[],5,FALSE)</f>
        <v>35911</v>
      </c>
      <c r="E120" s="2" t="str">
        <f>VLOOKUP(T_Voluntarios[[#This Row],[RUN]],BBDD[],6,FALSE)</f>
        <v>Vinicio 465</v>
      </c>
      <c r="F120" s="2" t="str">
        <f>VLOOKUP(T_Voluntarios[[#This Row],[RUN]],BBDD[],7,FALSE)</f>
        <v>Talcahuano</v>
      </c>
      <c r="G120" s="2" t="str">
        <f>VLOOKUP(T_Voluntarios[[#This Row],[RUN]],BBDD[],8,FALSE)</f>
        <v>Celular</v>
      </c>
      <c r="H120" s="2" t="str">
        <f>IF(VLOOKUP(T_Voluntarios[[#This Row],[RUN]],BBDD[],9,FALSE)=0,"Falta",VLOOKUP(T_Voluntarios[[#This Row],[RUN]],BBDD[],9,FALSE))</f>
        <v>+56957612676</v>
      </c>
      <c r="I120" s="2" t="str">
        <f>VLOOKUP(T_Voluntarios[[#This Row],[RUN]],BBDD[],10,FALSE)</f>
        <v>Participante</v>
      </c>
      <c r="J120" s="2" t="str">
        <f>VLOOKUP(T_Voluntarios[[#This Row],[RUN]],BBDD[],11,FALSE)</f>
        <v>La Asunción</v>
      </c>
      <c r="K120" s="2" t="str">
        <f>VLOOKUP(T_Voluntarios[[#This Row],[RUN]],BBDD[],12,FALSE)</f>
        <v>Caminantes</v>
      </c>
      <c r="L120" s="2" t="str">
        <f>VLOOKUP(T_Voluntarios[[#This Row],[RUN]],BBDD[],15,FALSE)</f>
        <v>Talcahuano - Hualpén</v>
      </c>
      <c r="M120" s="2" t="str">
        <f>VLOOKUP(T_Voluntarios[[#This Row],[RUN]],BBDD[],20,FALSE)</f>
        <v>Alimentación Tradicional</v>
      </c>
      <c r="N120" s="2" t="str">
        <f>VLOOKUP(T_Voluntarios[[#This Row],[RUN]],BBDD[],21,FALSE)</f>
        <v>Ninguna</v>
      </c>
      <c r="O120" s="2" t="str">
        <f>VLOOKUP(T_Voluntarios[[#This Row],[RUN]],BBDD[],22,FALSE)</f>
        <v>Ninguna</v>
      </c>
      <c r="P120" s="2" t="str">
        <f>VLOOKUP(T_Voluntarios[[#This Row],[RUN]],BBDD[],23,FALSE)</f>
        <v>Lorenzo González 996764508</v>
      </c>
      <c r="Q120" s="2" t="str">
        <f>IF(VLOOKUP(T_Voluntarios[[#This Row],[RUN]],BBDD[],27,FALSE)=0,"",VLOOKUP(T_Voluntarios[[#This Row],[RUN]],BBDD[],27,FALSE))</f>
        <v/>
      </c>
      <c r="R120" s="2" t="str">
        <f>VLOOKUP(T_Voluntarios[[#This Row],[RUN]],BBDD[],36,FALSE)</f>
        <v>https://drive.google.com/open?id=1BBfKD2z7SIUZhdvwvnoqsoziKQQqJu3S</v>
      </c>
      <c r="S120" s="2" t="str">
        <f>VLOOKUP(T_Voluntarios[[#This Row],[RUN]],BBDD[],16,FALSE)</f>
        <v>Inicial</v>
      </c>
      <c r="T120" s="2" t="str">
        <f>VLOOKUP(T_Voluntarios[[#This Row],[RUN]],BBDD[],17,FALSE)</f>
        <v>Ninguno</v>
      </c>
      <c r="U120" s="2" t="str">
        <f>VLOOKUP(T_Voluntarios[[#This Row],[RUN]],BBDD[],18,FALSE)</f>
        <v>Ninguno</v>
      </c>
      <c r="V120" s="2" t="str">
        <f>VLOOKUP(T_Voluntarios[[#This Row],[RUN]],BBDD[],19,FALSE)</f>
        <v>Ninguno</v>
      </c>
      <c r="W120" s="13" t="str">
        <f>IF(OR(T_Voluntarios[[#This Row],[ROL]]="Formador(a)"),"SI","NO")</f>
        <v>NO</v>
      </c>
      <c r="X120" s="13" t="str">
        <f>IF(ISERROR(VLOOKUP(T_Voluntarios[[#This Row],[RUN]],BBDD_Formadores[],15,FALSE)),"NO",VLOOKUP(T_Voluntarios[[#This Row],[RUN]],BBDD_Formadores[],15,FALSE))</f>
        <v>NO</v>
      </c>
      <c r="Y120" s="13" t="str">
        <f>IF(ISERROR(VLOOKUP(T_Voluntarios[[#This Row],[RUN]],BBDD_Formadores[],16,FALSE)),"NO",VLOOKUP(T_Voluntarios[[#This Row],[RUN]],BBDD_Formadores[],16,FALSE))</f>
        <v>NO</v>
      </c>
      <c r="Z120" s="13" t="str">
        <f>IF(ISERROR(VLOOKUP(T_Voluntarios[[#This Row],[RUN]],BBDD_Formadores[],17,FALSE)),"NO",VLOOKUP(T_Voluntarios[[#This Row],[RUN]],BBDD_Formadores[],17,FALSE))</f>
        <v>NO</v>
      </c>
      <c r="AA120" s="13" t="str">
        <f>IF(ISERROR(VLOOKUP(T_Voluntarios[[#This Row],[RUN]],BBDD_Formadores[],18,FALSE)),"NO",VLOOKUP(T_Voluntarios[[#This Row],[RUN]],BBDD_Formadores[],18,FALSE))</f>
        <v>NO</v>
      </c>
      <c r="AB120" s="13">
        <v>1</v>
      </c>
      <c r="AC120" s="13" t="s">
        <v>1</v>
      </c>
      <c r="AD120" s="13" t="s">
        <v>77</v>
      </c>
      <c r="AF120" s="2" t="str">
        <f>IF(VLOOKUP(T_Voluntarios[[#This Row],[RUN]],BBDD[],25,FALSE)=0,"",VLOOKUP(T_Voluntarios[[#This Row],[RUN]],BBDD[],25,FALSE))</f>
        <v/>
      </c>
      <c r="AG120" s="2" t="str">
        <f>IF(VLOOKUP(T_Voluntarios[[#This Row],[RUN]],BBDD[],26,FALSE)=0,"",VLOOKUP(T_Voluntarios[[#This Row],[RUN]],BBDD[],26,FALSE))</f>
        <v/>
      </c>
      <c r="AH120" s="2" t="str">
        <f>IF(VLOOKUP(T_Voluntarios[[#This Row],[RUN]],BBDD[],24,FALSE)=0,"",VLOOKUP(T_Voluntarios[[#This Row],[RUN]],BBDD[],24,FALSE))</f>
        <v/>
      </c>
      <c r="AI120" s="13" t="str">
        <f>VLOOKUP(T_Voluntarios[[#This Row],[RUN]],BBDD[],28,FALSE)</f>
        <v>SI</v>
      </c>
      <c r="AJ120" s="13" t="str">
        <f>VLOOKUP(T_Voluntarios[[#This Row],[RUN]],BBDD[],28,FALSE)</f>
        <v>SI</v>
      </c>
      <c r="AK120" s="32">
        <f>IF(T_Voluntarios[[#This Row],[ROL]]="Participante",SUMIFS(T_Cuotas[[#All],[Total]],T_Cuotas[[#All],[RUN]],T_Voluntarios[[#This Row],[RUN]]),-1)</f>
        <v>50000</v>
      </c>
      <c r="AL120" s="13" t="s">
        <v>1</v>
      </c>
      <c r="AM120" s="13" t="s">
        <v>2029</v>
      </c>
      <c r="AP120" s="2" t="str">
        <f>MID(T_Voluntarios[[#This Row],[E_MAIL]],SEARCH("@",T_Voluntarios[[#This Row],[E_MAIL]],1),LEN(T_Voluntarios[[#This Row],[E_MAIL]]))</f>
        <v>@gmail.com</v>
      </c>
      <c r="AQ120" s="13" t="str">
        <f>VLOOKUP(T_Voluntarios[[#This Row],[RUN]],BBDD[],37,FALSE)</f>
        <v>27</v>
      </c>
      <c r="AR120" s="2" t="str">
        <f>VLOOKUP(T_Voluntarios[[#This Row],[RUN]],BBDD[],29,FALSE)</f>
        <v>Ingeniero Civil Industrial</v>
      </c>
      <c r="AS120" s="2" t="str">
        <f>VLOOKUP(T_Voluntarios[[#This Row],[RUN]],BBDD[],30,FALSE)</f>
        <v>6 años</v>
      </c>
      <c r="AT120" s="2" t="str">
        <f>VLOOKUP(T_Voluntarios[[#This Row],[RUN]],BBDD[],31,FALSE)</f>
        <v>4 años</v>
      </c>
      <c r="AU120" s="2" t="str">
        <f>VLOOKUP(T_Voluntarios[[#This Row],[RUN]],BBDD[],32,FALSE)</f>
        <v>Soltero(a)</v>
      </c>
      <c r="AV120" s="2" t="str">
        <f>VLOOKUP(T_Voluntarios[[#This Row],[RUN]],BBDD[],33,FALSE)</f>
        <v>Católica</v>
      </c>
      <c r="AW120" s="2" t="str">
        <f>VLOOKUP(T_Voluntarios[[#This Row],[RUN]],BBDD[],34,FALSE)</f>
        <v>Andrés</v>
      </c>
      <c r="AX120" s="13" t="s">
        <v>733</v>
      </c>
      <c r="AY120" s="76">
        <f>VLOOKUP(T_Voluntarios[[#This Row],[RUN]],BBDD[],2,FALSE)</f>
        <v>45795.734300733027</v>
      </c>
      <c r="AZ120" s="13" t="s">
        <v>3403</v>
      </c>
    </row>
    <row r="121" spans="1:52" x14ac:dyDescent="0.3">
      <c r="A121" s="2" t="s">
        <v>2062</v>
      </c>
      <c r="B121" s="2" t="str">
        <f>VLOOKUP(T_Voluntarios[[#This Row],[RUN]],BBDD[],3,FALSE)</f>
        <v>donoso.ce@gmail.com</v>
      </c>
      <c r="C121" s="2" t="str">
        <f>VLOOKUP(T_Voluntarios[[#This Row],[RUN]],BBDD[],4,FALSE)</f>
        <v>Constanza Belén Donoso González</v>
      </c>
      <c r="D121" s="16">
        <f>VLOOKUP(T_Voluntarios[[#This Row],[RUN]],BBDD[],5,FALSE)</f>
        <v>35751</v>
      </c>
      <c r="E121" s="2" t="str">
        <f>VLOOKUP(T_Voluntarios[[#This Row],[RUN]],BBDD[],6,FALSE)</f>
        <v>Toulose 968</v>
      </c>
      <c r="F121" s="2" t="str">
        <f>VLOOKUP(T_Voluntarios[[#This Row],[RUN]],BBDD[],7,FALSE)</f>
        <v>Hualpén</v>
      </c>
      <c r="G121" s="2" t="str">
        <f>VLOOKUP(T_Voluntarios[[#This Row],[RUN]],BBDD[],8,FALSE)</f>
        <v>Celular</v>
      </c>
      <c r="H121" s="2" t="str">
        <f>IF(VLOOKUP(T_Voluntarios[[#This Row],[RUN]],BBDD[],9,FALSE)=0,"Falta",VLOOKUP(T_Voluntarios[[#This Row],[RUN]],BBDD[],9,FALSE))</f>
        <v>+56995041101</v>
      </c>
      <c r="I121" s="2" t="str">
        <f>VLOOKUP(T_Voluntarios[[#This Row],[RUN]],BBDD[],10,FALSE)</f>
        <v>Participante</v>
      </c>
      <c r="J121" s="2" t="str">
        <f>VLOOKUP(T_Voluntarios[[#This Row],[RUN]],BBDD[],11,FALSE)</f>
        <v>La Asunción</v>
      </c>
      <c r="K121" s="2" t="str">
        <f>VLOOKUP(T_Voluntarios[[#This Row],[RUN]],BBDD[],12,FALSE)</f>
        <v>Lobatos</v>
      </c>
      <c r="L121" s="2" t="str">
        <f>VLOOKUP(T_Voluntarios[[#This Row],[RUN]],BBDD[],15,FALSE)</f>
        <v>Talcahuano - Hualpén</v>
      </c>
      <c r="M121" s="2" t="str">
        <f>VLOOKUP(T_Voluntarios[[#This Row],[RUN]],BBDD[],20,FALSE)</f>
        <v>Alimentación Vegetariana</v>
      </c>
      <c r="N121" s="2" t="str">
        <f>VLOOKUP(T_Voluntarios[[#This Row],[RUN]],BBDD[],21,FALSE)</f>
        <v>Ninguna</v>
      </c>
      <c r="O121" s="2" t="str">
        <f>VLOOKUP(T_Voluntarios[[#This Row],[RUN]],BBDD[],22,FALSE)</f>
        <v>Ninguna</v>
      </c>
      <c r="P121" s="2" t="str">
        <f>VLOOKUP(T_Voluntarios[[#This Row],[RUN]],BBDD[],23,FALSE)</f>
        <v>Alejandra González 982726091</v>
      </c>
      <c r="Q121" s="2" t="str">
        <f>IF(VLOOKUP(T_Voluntarios[[#This Row],[RUN]],BBDD[],27,FALSE)=0,"",VLOOKUP(T_Voluntarios[[#This Row],[RUN]],BBDD[],27,FALSE))</f>
        <v>no.</v>
      </c>
      <c r="R121" s="2" t="str">
        <f>VLOOKUP(T_Voluntarios[[#This Row],[RUN]],BBDD[],36,FALSE)</f>
        <v>https://drive.google.com/open?id=1opVyi37dL2Ex7qAOskLzGbVU68VqaRXQ</v>
      </c>
      <c r="S121" s="2" t="str">
        <f>VLOOKUP(T_Voluntarios[[#This Row],[RUN]],BBDD[],16,FALSE)</f>
        <v>Inicial</v>
      </c>
      <c r="T121" s="2" t="str">
        <f>VLOOKUP(T_Voluntarios[[#This Row],[RUN]],BBDD[],17,FALSE)</f>
        <v>Ninguno</v>
      </c>
      <c r="U121" s="2" t="str">
        <f>VLOOKUP(T_Voluntarios[[#This Row],[RUN]],BBDD[],18,FALSE)</f>
        <v>Ninguno</v>
      </c>
      <c r="V121" s="2" t="str">
        <f>VLOOKUP(T_Voluntarios[[#This Row],[RUN]],BBDD[],19,FALSE)</f>
        <v>Ninguno</v>
      </c>
      <c r="W121" s="13" t="str">
        <f>IF(OR(T_Voluntarios[[#This Row],[ROL]]="Formador(a)"),"SI","NO")</f>
        <v>NO</v>
      </c>
      <c r="X121" s="13" t="str">
        <f>IF(ISERROR(VLOOKUP(T_Voluntarios[[#This Row],[RUN]],BBDD_Formadores[],15,FALSE)),"NO",VLOOKUP(T_Voluntarios[[#This Row],[RUN]],BBDD_Formadores[],15,FALSE))</f>
        <v>NO</v>
      </c>
      <c r="Y121" s="13" t="str">
        <f>IF(ISERROR(VLOOKUP(T_Voluntarios[[#This Row],[RUN]],BBDD_Formadores[],16,FALSE)),"NO",VLOOKUP(T_Voluntarios[[#This Row],[RUN]],BBDD_Formadores[],16,FALSE))</f>
        <v>NO</v>
      </c>
      <c r="Z121" s="13" t="str">
        <f>IF(ISERROR(VLOOKUP(T_Voluntarios[[#This Row],[RUN]],BBDD_Formadores[],17,FALSE)),"NO",VLOOKUP(T_Voluntarios[[#This Row],[RUN]],BBDD_Formadores[],17,FALSE))</f>
        <v>NO</v>
      </c>
      <c r="AA121" s="13" t="str">
        <f>IF(ISERROR(VLOOKUP(T_Voluntarios[[#This Row],[RUN]],BBDD_Formadores[],18,FALSE)),"NO",VLOOKUP(T_Voluntarios[[#This Row],[RUN]],BBDD_Formadores[],18,FALSE))</f>
        <v>NO</v>
      </c>
      <c r="AB121" s="13">
        <v>1</v>
      </c>
      <c r="AC121" s="13" t="s">
        <v>1</v>
      </c>
      <c r="AD121" s="13" t="s">
        <v>77</v>
      </c>
      <c r="AF121" s="2" t="str">
        <f>IF(VLOOKUP(T_Voluntarios[[#This Row],[RUN]],BBDD[],25,FALSE)=0,"",VLOOKUP(T_Voluntarios[[#This Row],[RUN]],BBDD[],25,FALSE))</f>
        <v>Chevrolet</v>
      </c>
      <c r="AG121" s="2" t="str">
        <f>IF(VLOOKUP(T_Voluntarios[[#This Row],[RUN]],BBDD[],26,FALSE)=0,"",VLOOKUP(T_Voluntarios[[#This Row],[RUN]],BBDD[],26,FALSE))</f>
        <v>Spark</v>
      </c>
      <c r="AH121" s="2" t="str">
        <f>IF(VLOOKUP(T_Voluntarios[[#This Row],[RUN]],BBDD[],24,FALSE)=0,"",VLOOKUP(T_Voluntarios[[#This Row],[RUN]],BBDD[],24,FALSE))</f>
        <v>CDTT43</v>
      </c>
      <c r="AI121" s="13" t="str">
        <f>VLOOKUP(T_Voluntarios[[#This Row],[RUN]],BBDD[],28,FALSE)</f>
        <v>SI</v>
      </c>
      <c r="AJ121" s="13" t="str">
        <f>VLOOKUP(T_Voluntarios[[#This Row],[RUN]],BBDD[],28,FALSE)</f>
        <v>SI</v>
      </c>
      <c r="AK121" s="32">
        <f>IF(T_Voluntarios[[#This Row],[ROL]]="Participante",SUMIFS(T_Cuotas[[#All],[Total]],T_Cuotas[[#All],[RUN]],T_Voluntarios[[#This Row],[RUN]]),-1)</f>
        <v>50000</v>
      </c>
      <c r="AL121" s="13" t="s">
        <v>1</v>
      </c>
      <c r="AM121" s="13" t="s">
        <v>2029</v>
      </c>
      <c r="AP121" s="2" t="str">
        <f>MID(T_Voluntarios[[#This Row],[E_MAIL]],SEARCH("@",T_Voluntarios[[#This Row],[E_MAIL]],1),LEN(T_Voluntarios[[#This Row],[E_MAIL]]))</f>
        <v>@gmail.com</v>
      </c>
      <c r="AQ121" s="13" t="str">
        <f>VLOOKUP(T_Voluntarios[[#This Row],[RUN]],BBDD[],37,FALSE)</f>
        <v>27</v>
      </c>
      <c r="AR121" s="2" t="str">
        <f>VLOOKUP(T_Voluntarios[[#This Row],[RUN]],BBDD[],29,FALSE)</f>
        <v>Profesora de Historia y Geografía</v>
      </c>
      <c r="AS121" s="2" t="str">
        <f>VLOOKUP(T_Voluntarios[[#This Row],[RUN]],BBDD[],30,FALSE)</f>
        <v>13 años</v>
      </c>
      <c r="AT121" s="2" t="str">
        <f>VLOOKUP(T_Voluntarios[[#This Row],[RUN]],BBDD[],31,FALSE)</f>
        <v>3 años y medio</v>
      </c>
      <c r="AU121" s="2" t="str">
        <f>VLOOKUP(T_Voluntarios[[#This Row],[RUN]],BBDD[],32,FALSE)</f>
        <v>Soltero(a)</v>
      </c>
      <c r="AV121" s="2" t="str">
        <f>VLOOKUP(T_Voluntarios[[#This Row],[RUN]],BBDD[],33,FALSE)</f>
        <v>Católica</v>
      </c>
      <c r="AW121" s="2" t="str">
        <f>VLOOKUP(T_Voluntarios[[#This Row],[RUN]],BBDD[],34,FALSE)</f>
        <v>Conita Donoso</v>
      </c>
      <c r="AX121" s="13" t="s">
        <v>733</v>
      </c>
      <c r="AY121" s="76">
        <f>VLOOKUP(T_Voluntarios[[#This Row],[RUN]],BBDD[],2,FALSE)</f>
        <v>45795.758965586421</v>
      </c>
      <c r="AZ121" s="13" t="s">
        <v>3403</v>
      </c>
    </row>
    <row r="122" spans="1:52" x14ac:dyDescent="0.3">
      <c r="A122" s="2" t="s">
        <v>2141</v>
      </c>
      <c r="B122" s="2" t="str">
        <f>VLOOKUP(T_Voluntarios[[#This Row],[RUN]],BBDD[],3,FALSE)</f>
        <v>vivirodriguez.vidal@gmail.com</v>
      </c>
      <c r="C122" s="2" t="str">
        <f>VLOOKUP(T_Voluntarios[[#This Row],[RUN]],BBDD[],4,FALSE)</f>
        <v>Viviana Alejandra Rodríguez Vidal</v>
      </c>
      <c r="D122" s="16">
        <f>VLOOKUP(T_Voluntarios[[#This Row],[RUN]],BBDD[],5,FALSE)</f>
        <v>32002</v>
      </c>
      <c r="E122" s="2" t="str">
        <f>VLOOKUP(T_Voluntarios[[#This Row],[RUN]],BBDD[],6,FALSE)</f>
        <v>Claudio gay oriente 3949</v>
      </c>
      <c r="F122" s="2" t="str">
        <f>VLOOKUP(T_Voluntarios[[#This Row],[RUN]],BBDD[],7,FALSE)</f>
        <v>Talcahuano</v>
      </c>
      <c r="G122" s="2" t="str">
        <f>VLOOKUP(T_Voluntarios[[#This Row],[RUN]],BBDD[],8,FALSE)</f>
        <v>Celular</v>
      </c>
      <c r="H122" s="2" t="str">
        <f>IF(VLOOKUP(T_Voluntarios[[#This Row],[RUN]],BBDD[],9,FALSE)=0,"Falta",VLOOKUP(T_Voluntarios[[#This Row],[RUN]],BBDD[],9,FALSE))</f>
        <v>+56996444971</v>
      </c>
      <c r="I122" s="2" t="str">
        <f>VLOOKUP(T_Voluntarios[[#This Row],[RUN]],BBDD[],10,FALSE)</f>
        <v>Participante</v>
      </c>
      <c r="J122" s="2" t="str">
        <f>VLOOKUP(T_Voluntarios[[#This Row],[RUN]],BBDD[],11,FALSE)</f>
        <v>Manutara</v>
      </c>
      <c r="K122" s="2" t="str">
        <f>VLOOKUP(T_Voluntarios[[#This Row],[RUN]],BBDD[],12,FALSE)</f>
        <v>Guias</v>
      </c>
      <c r="L122" s="2" t="str">
        <f>VLOOKUP(T_Voluntarios[[#This Row],[RUN]],BBDD[],15,FALSE)</f>
        <v>Talcahuano - Hualpén</v>
      </c>
      <c r="M122" s="2" t="str">
        <f>VLOOKUP(T_Voluntarios[[#This Row],[RUN]],BBDD[],20,FALSE)</f>
        <v>Sin Almuerzo</v>
      </c>
      <c r="N122" s="2" t="str">
        <f>VLOOKUP(T_Voluntarios[[#This Row],[RUN]],BBDD[],21,FALSE)</f>
        <v>Ninguna</v>
      </c>
      <c r="O122" s="2" t="str">
        <f>VLOOKUP(T_Voluntarios[[#This Row],[RUN]],BBDD[],22,FALSE)</f>
        <v>Ninguna</v>
      </c>
      <c r="P122" s="2" t="str">
        <f>VLOOKUP(T_Voluntarios[[#This Row],[RUN]],BBDD[],23,FALSE)</f>
        <v>Jonathan Álvarez Santander+56985123295</v>
      </c>
      <c r="Q122" s="2" t="str">
        <f>IF(VLOOKUP(T_Voluntarios[[#This Row],[RUN]],BBDD[],27,FALSE)=0,"",VLOOKUP(T_Voluntarios[[#This Row],[RUN]],BBDD[],27,FALSE))</f>
        <v/>
      </c>
      <c r="R122" s="2" t="str">
        <f>VLOOKUP(T_Voluntarios[[#This Row],[RUN]],BBDD[],36,FALSE)</f>
        <v>https://drive.google.com/open?id=1W3OhReslimba6AqacR25jPy4jKdm2vXR</v>
      </c>
      <c r="S122" s="2" t="str">
        <f>VLOOKUP(T_Voluntarios[[#This Row],[RUN]],BBDD[],16,FALSE)</f>
        <v>Medio</v>
      </c>
      <c r="T122" s="2" t="str">
        <f>VLOOKUP(T_Voluntarios[[#This Row],[RUN]],BBDD[],17,FALSE)</f>
        <v>7378</v>
      </c>
      <c r="U122" s="2" t="str">
        <f>VLOOKUP(T_Voluntarios[[#This Row],[RUN]],BBDD[],18,FALSE)</f>
        <v>Golondrinas</v>
      </c>
      <c r="V122" s="2" t="str">
        <f>VLOOKUP(T_Voluntarios[[#This Row],[RUN]],BBDD[],19,FALSE)</f>
        <v>Ninguno</v>
      </c>
      <c r="W122" s="13" t="str">
        <f>IF(OR(T_Voluntarios[[#This Row],[ROL]]="Formador(a)"),"SI","NO")</f>
        <v>NO</v>
      </c>
      <c r="X122" s="13" t="str">
        <f>IF(ISERROR(VLOOKUP(T_Voluntarios[[#This Row],[RUN]],BBDD_Formadores[],15,FALSE)),"NO",VLOOKUP(T_Voluntarios[[#This Row],[RUN]],BBDD_Formadores[],15,FALSE))</f>
        <v>NO</v>
      </c>
      <c r="Y122" s="13" t="str">
        <f>IF(ISERROR(VLOOKUP(T_Voluntarios[[#This Row],[RUN]],BBDD_Formadores[],16,FALSE)),"NO",VLOOKUP(T_Voluntarios[[#This Row],[RUN]],BBDD_Formadores[],16,FALSE))</f>
        <v>NO</v>
      </c>
      <c r="Z122" s="13" t="str">
        <f>IF(ISERROR(VLOOKUP(T_Voluntarios[[#This Row],[RUN]],BBDD_Formadores[],17,FALSE)),"NO",VLOOKUP(T_Voluntarios[[#This Row],[RUN]],BBDD_Formadores[],17,FALSE))</f>
        <v>NO</v>
      </c>
      <c r="AA122" s="13" t="str">
        <f>IF(ISERROR(VLOOKUP(T_Voluntarios[[#This Row],[RUN]],BBDD_Formadores[],18,FALSE)),"NO",VLOOKUP(T_Voluntarios[[#This Row],[RUN]],BBDD_Formadores[],18,FALSE))</f>
        <v>NO</v>
      </c>
      <c r="AB122" s="13">
        <v>1</v>
      </c>
      <c r="AC122" s="13" t="s">
        <v>1</v>
      </c>
      <c r="AD122" s="13" t="s">
        <v>77</v>
      </c>
      <c r="AF122" s="2" t="str">
        <f>IF(VLOOKUP(T_Voluntarios[[#This Row],[RUN]],BBDD[],25,FALSE)=0,"",VLOOKUP(T_Voluntarios[[#This Row],[RUN]],BBDD[],25,FALSE))</f>
        <v>Chevrolet</v>
      </c>
      <c r="AG122" s="2" t="str">
        <f>IF(VLOOKUP(T_Voluntarios[[#This Row],[RUN]],BBDD[],26,FALSE)=0,"",VLOOKUP(T_Voluntarios[[#This Row],[RUN]],BBDD[],26,FALSE))</f>
        <v>Sail</v>
      </c>
      <c r="AH122" s="2" t="str">
        <f>IF(VLOOKUP(T_Voluntarios[[#This Row],[RUN]],BBDD[],24,FALSE)=0,"",VLOOKUP(T_Voluntarios[[#This Row],[RUN]],BBDD[],24,FALSE))</f>
        <v>FFCC25</v>
      </c>
      <c r="AI122" s="13" t="str">
        <f>VLOOKUP(T_Voluntarios[[#This Row],[RUN]],BBDD[],28,FALSE)</f>
        <v>No</v>
      </c>
      <c r="AJ122" s="13" t="str">
        <f>VLOOKUP(T_Voluntarios[[#This Row],[RUN]],BBDD[],28,FALSE)</f>
        <v>No</v>
      </c>
      <c r="AK122" s="32">
        <f>IF(T_Voluntarios[[#This Row],[ROL]]="Participante",SUMIFS(T_Cuotas[[#All],[Total]],T_Cuotas[[#All],[RUN]],T_Voluntarios[[#This Row],[RUN]]),-1)</f>
        <v>36500</v>
      </c>
      <c r="AL122" s="13" t="s">
        <v>1</v>
      </c>
      <c r="AM122" s="13" t="s">
        <v>2029</v>
      </c>
      <c r="AP122" s="2" t="str">
        <f>MID(T_Voluntarios[[#This Row],[E_MAIL]],SEARCH("@",T_Voluntarios[[#This Row],[E_MAIL]],1),LEN(T_Voluntarios[[#This Row],[E_MAIL]]))</f>
        <v>@gmail.com</v>
      </c>
      <c r="AQ122" s="13" t="str">
        <f>VLOOKUP(T_Voluntarios[[#This Row],[RUN]],BBDD[],37,FALSE)</f>
        <v>37</v>
      </c>
      <c r="AR122" s="2" t="str">
        <f>VLOOKUP(T_Voluntarios[[#This Row],[RUN]],BBDD[],29,FALSE)</f>
        <v>Ingeniero Civil Industrial</v>
      </c>
      <c r="AS122" s="2" t="str">
        <f>VLOOKUP(T_Voluntarios[[#This Row],[RUN]],BBDD[],30,FALSE)</f>
        <v>De bandada a ruta</v>
      </c>
      <c r="AT122" s="2" t="str">
        <f>VLOOKUP(T_Voluntarios[[#This Row],[RUN]],BBDD[],31,FALSE)</f>
        <v>10</v>
      </c>
      <c r="AU122" s="2" t="str">
        <f>VLOOKUP(T_Voluntarios[[#This Row],[RUN]],BBDD[],32,FALSE)</f>
        <v>Casado(a)</v>
      </c>
      <c r="AV122" s="2" t="str">
        <f>VLOOKUP(T_Voluntarios[[#This Row],[RUN]],BBDD[],33,FALSE)</f>
        <v>METODISTA</v>
      </c>
      <c r="AW122" s="2" t="str">
        <f>VLOOKUP(T_Voluntarios[[#This Row],[RUN]],BBDD[],34,FALSE)</f>
        <v>Vivi</v>
      </c>
      <c r="AX122" s="13" t="s">
        <v>733</v>
      </c>
      <c r="AY122" s="76">
        <f>VLOOKUP(T_Voluntarios[[#This Row],[RUN]],BBDD[],2,FALSE)</f>
        <v>45795.8192498071</v>
      </c>
      <c r="AZ122" s="13" t="s">
        <v>3403</v>
      </c>
    </row>
    <row r="123" spans="1:52" x14ac:dyDescent="0.3">
      <c r="A123" s="2" t="s">
        <v>2077</v>
      </c>
      <c r="B123" s="2" t="str">
        <f>VLOOKUP(T_Voluntarios[[#This Row],[RUN]],BBDD[],3,FALSE)</f>
        <v>patricio1642@hotmail.com</v>
      </c>
      <c r="C123" s="2" t="str">
        <f>VLOOKUP(T_Voluntarios[[#This Row],[RUN]],BBDD[],4,FALSE)</f>
        <v>Patricio Javier Esparza Espinoza</v>
      </c>
      <c r="D123" s="16">
        <f>VLOOKUP(T_Voluntarios[[#This Row],[RUN]],BBDD[],5,FALSE)</f>
        <v>37266</v>
      </c>
      <c r="E123" s="2" t="str">
        <f>VLOOKUP(T_Voluntarios[[#This Row],[RUN]],BBDD[],6,FALSE)</f>
        <v>Calle Transporte lamar #1642</v>
      </c>
      <c r="F123" s="2" t="str">
        <f>VLOOKUP(T_Voluntarios[[#This Row],[RUN]],BBDD[],7,FALSE)</f>
        <v>Chillán</v>
      </c>
      <c r="G123" s="2" t="str">
        <f>VLOOKUP(T_Voluntarios[[#This Row],[RUN]],BBDD[],8,FALSE)</f>
        <v>Celular</v>
      </c>
      <c r="H123" s="2" t="str">
        <f>IF(VLOOKUP(T_Voluntarios[[#This Row],[RUN]],BBDD[],9,FALSE)=0,"Falta",VLOOKUP(T_Voluntarios[[#This Row],[RUN]],BBDD[],9,FALSE))</f>
        <v>+56962003621</v>
      </c>
      <c r="I123" s="2" t="str">
        <f>VLOOKUP(T_Voluntarios[[#This Row],[RUN]],BBDD[],10,FALSE)</f>
        <v>Participante</v>
      </c>
      <c r="J123" s="2" t="str">
        <f>VLOOKUP(T_Voluntarios[[#This Row],[RUN]],BBDD[],11,FALSE)</f>
        <v>San Bartolomé</v>
      </c>
      <c r="K123" s="2" t="str">
        <f>VLOOKUP(T_Voluntarios[[#This Row],[RUN]],BBDD[],12,FALSE)</f>
        <v>Scouts</v>
      </c>
      <c r="L123" s="2" t="str">
        <f>VLOOKUP(T_Voluntarios[[#This Row],[RUN]],BBDD[],15,FALSE)</f>
        <v>Zona Ñuble</v>
      </c>
      <c r="M123" s="2" t="str">
        <f>VLOOKUP(T_Voluntarios[[#This Row],[RUN]],BBDD[],20,FALSE)</f>
        <v>Alimentación Tradicional</v>
      </c>
      <c r="N123" s="2" t="str">
        <f>VLOOKUP(T_Voluntarios[[#This Row],[RUN]],BBDD[],21,FALSE)</f>
        <v>Ninguna</v>
      </c>
      <c r="O123" s="2" t="str">
        <f>VLOOKUP(T_Voluntarios[[#This Row],[RUN]],BBDD[],22,FALSE)</f>
        <v>Ninguna</v>
      </c>
      <c r="P123" s="2" t="str">
        <f>VLOOKUP(T_Voluntarios[[#This Row],[RUN]],BBDD[],23,FALSE)</f>
        <v>Luis Esparza +56978736805</v>
      </c>
      <c r="Q123" s="2" t="str">
        <f>IF(VLOOKUP(T_Voluntarios[[#This Row],[RUN]],BBDD[],27,FALSE)=0,"",VLOOKUP(T_Voluntarios[[#This Row],[RUN]],BBDD[],27,FALSE))</f>
        <v/>
      </c>
      <c r="R123" s="2" t="str">
        <f>VLOOKUP(T_Voluntarios[[#This Row],[RUN]],BBDD[],36,FALSE)</f>
        <v>https://drive.google.com/open?id=1R_PgOgz3gX7n2439wjF47ssoVhSHy-8p</v>
      </c>
      <c r="S123" s="2" t="str">
        <f>VLOOKUP(T_Voluntarios[[#This Row],[RUN]],BBDD[],16,FALSE)</f>
        <v>Inicial</v>
      </c>
      <c r="T123" s="2" t="str">
        <f>VLOOKUP(T_Voluntarios[[#This Row],[RUN]],BBDD[],17,FALSE)</f>
        <v>Ninguno</v>
      </c>
      <c r="U123" s="2" t="str">
        <f>VLOOKUP(T_Voluntarios[[#This Row],[RUN]],BBDD[],18,FALSE)</f>
        <v>Ninguno</v>
      </c>
      <c r="V123" s="2" t="str">
        <f>VLOOKUP(T_Voluntarios[[#This Row],[RUN]],BBDD[],19,FALSE)</f>
        <v>Ninguno</v>
      </c>
      <c r="W123" s="13" t="str">
        <f>IF(OR(T_Voluntarios[[#This Row],[ROL]]="Formador(a)"),"SI","NO")</f>
        <v>NO</v>
      </c>
      <c r="X123" s="13" t="str">
        <f>IF(ISERROR(VLOOKUP(T_Voluntarios[[#This Row],[RUN]],BBDD_Formadores[],15,FALSE)),"NO",VLOOKUP(T_Voluntarios[[#This Row],[RUN]],BBDD_Formadores[],15,FALSE))</f>
        <v>NO</v>
      </c>
      <c r="Y123" s="13" t="str">
        <f>IF(ISERROR(VLOOKUP(T_Voluntarios[[#This Row],[RUN]],BBDD_Formadores[],16,FALSE)),"NO",VLOOKUP(T_Voluntarios[[#This Row],[RUN]],BBDD_Formadores[],16,FALSE))</f>
        <v>NO</v>
      </c>
      <c r="Z123" s="13" t="str">
        <f>IF(ISERROR(VLOOKUP(T_Voluntarios[[#This Row],[RUN]],BBDD_Formadores[],17,FALSE)),"NO",VLOOKUP(T_Voluntarios[[#This Row],[RUN]],BBDD_Formadores[],17,FALSE))</f>
        <v>NO</v>
      </c>
      <c r="AA123" s="13" t="str">
        <f>IF(ISERROR(VLOOKUP(T_Voluntarios[[#This Row],[RUN]],BBDD_Formadores[],18,FALSE)),"NO",VLOOKUP(T_Voluntarios[[#This Row],[RUN]],BBDD_Formadores[],18,FALSE))</f>
        <v>NO</v>
      </c>
      <c r="AB123" s="13">
        <v>1</v>
      </c>
      <c r="AC123" s="13" t="s">
        <v>1</v>
      </c>
      <c r="AD123" s="13" t="s">
        <v>77</v>
      </c>
      <c r="AF123" s="2" t="str">
        <f>IF(VLOOKUP(T_Voluntarios[[#This Row],[RUN]],BBDD[],25,FALSE)=0,"",VLOOKUP(T_Voluntarios[[#This Row],[RUN]],BBDD[],25,FALSE))</f>
        <v/>
      </c>
      <c r="AG123" s="2" t="str">
        <f>IF(VLOOKUP(T_Voluntarios[[#This Row],[RUN]],BBDD[],26,FALSE)=0,"",VLOOKUP(T_Voluntarios[[#This Row],[RUN]],BBDD[],26,FALSE))</f>
        <v/>
      </c>
      <c r="AH123" s="2" t="str">
        <f>IF(VLOOKUP(T_Voluntarios[[#This Row],[RUN]],BBDD[],24,FALSE)=0,"",VLOOKUP(T_Voluntarios[[#This Row],[RUN]],BBDD[],24,FALSE))</f>
        <v/>
      </c>
      <c r="AI123" s="13" t="str">
        <f>VLOOKUP(T_Voluntarios[[#This Row],[RUN]],BBDD[],28,FALSE)</f>
        <v>SI</v>
      </c>
      <c r="AJ123" s="13" t="str">
        <f>VLOOKUP(T_Voluntarios[[#This Row],[RUN]],BBDD[],28,FALSE)</f>
        <v>SI</v>
      </c>
      <c r="AK123" s="32">
        <f>IF(T_Voluntarios[[#This Row],[ROL]]="Participante",SUMIFS(T_Cuotas[[#All],[Total]],T_Cuotas[[#All],[RUN]],T_Voluntarios[[#This Row],[RUN]]),-1)</f>
        <v>50000</v>
      </c>
      <c r="AL123" s="13" t="s">
        <v>1</v>
      </c>
      <c r="AM123" s="13" t="s">
        <v>2029</v>
      </c>
      <c r="AN123" s="2" t="s">
        <v>3243</v>
      </c>
      <c r="AP123" s="2" t="str">
        <f>MID(T_Voluntarios[[#This Row],[E_MAIL]],SEARCH("@",T_Voluntarios[[#This Row],[E_MAIL]],1),LEN(T_Voluntarios[[#This Row],[E_MAIL]]))</f>
        <v>@hotmail.com</v>
      </c>
      <c r="AQ123" s="13" t="str">
        <f>VLOOKUP(T_Voluntarios[[#This Row],[RUN]],BBDD[],37,FALSE)</f>
        <v>23</v>
      </c>
      <c r="AR123" s="2" t="str">
        <f>VLOOKUP(T_Voluntarios[[#This Row],[RUN]],BBDD[],29,FALSE)</f>
        <v>Estudiante de Geología</v>
      </c>
      <c r="AS123" s="2" t="str">
        <f>VLOOKUP(T_Voluntarios[[#This Row],[RUN]],BBDD[],30,FALSE)</f>
        <v>4 años</v>
      </c>
      <c r="AT123" s="2" t="str">
        <f>VLOOKUP(T_Voluntarios[[#This Row],[RUN]],BBDD[],31,FALSE)</f>
        <v>1 Años y 3 meses</v>
      </c>
      <c r="AU123" s="2" t="str">
        <f>VLOOKUP(T_Voluntarios[[#This Row],[RUN]],BBDD[],32,FALSE)</f>
        <v>Soltero(a)</v>
      </c>
      <c r="AV123" s="2" t="str">
        <f>VLOOKUP(T_Voluntarios[[#This Row],[RUN]],BBDD[],33,FALSE)</f>
        <v>Ninguna</v>
      </c>
      <c r="AW123" s="2" t="str">
        <f>VLOOKUP(T_Voluntarios[[#This Row],[RUN]],BBDD[],34,FALSE)</f>
        <v>Pato</v>
      </c>
      <c r="AX123" s="13" t="s">
        <v>733</v>
      </c>
      <c r="AY123" s="76">
        <f>VLOOKUP(T_Voluntarios[[#This Row],[RUN]],BBDD[],2,FALSE)</f>
        <v>45795.887010609571</v>
      </c>
      <c r="AZ123" s="13" t="s">
        <v>3402</v>
      </c>
    </row>
    <row r="124" spans="1:52" x14ac:dyDescent="0.3">
      <c r="A124" s="2" t="s">
        <v>2152</v>
      </c>
      <c r="B124" s="2" t="str">
        <f>VLOOKUP(T_Voluntarios[[#This Row],[RUN]],BBDD[],3,FALSE)</f>
        <v>pedrerosszk@gmail.com</v>
      </c>
      <c r="C124" s="2" t="str">
        <f>VLOOKUP(T_Voluntarios[[#This Row],[RUN]],BBDD[],4,FALSE)</f>
        <v>Rodrigo Felipe Pedreros Reyes</v>
      </c>
      <c r="D124" s="16">
        <f>VLOOKUP(T_Voluntarios[[#This Row],[RUN]],BBDD[],5,FALSE)</f>
        <v>36241</v>
      </c>
      <c r="E124" s="2" t="str">
        <f>VLOOKUP(T_Voluntarios[[#This Row],[RUN]],BBDD[],6,FALSE)</f>
        <v>Villa emannuel, Pasaje Santa Magdalena #1669.</v>
      </c>
      <c r="F124" s="2" t="str">
        <f>VLOOKUP(T_Voluntarios[[#This Row],[RUN]],BBDD[],7,FALSE)</f>
        <v>Chillán</v>
      </c>
      <c r="G124" s="2" t="str">
        <f>VLOOKUP(T_Voluntarios[[#This Row],[RUN]],BBDD[],8,FALSE)</f>
        <v>Celular</v>
      </c>
      <c r="H124" s="2" t="str">
        <f>IF(VLOOKUP(T_Voluntarios[[#This Row],[RUN]],BBDD[],9,FALSE)=0,"Falta",VLOOKUP(T_Voluntarios[[#This Row],[RUN]],BBDD[],9,FALSE))</f>
        <v>+56995886415</v>
      </c>
      <c r="I124" s="2" t="str">
        <f>VLOOKUP(T_Voluntarios[[#This Row],[RUN]],BBDD[],10,FALSE)</f>
        <v>Formador(a)</v>
      </c>
      <c r="J124" s="2" t="str">
        <f>VLOOKUP(T_Voluntarios[[#This Row],[RUN]],BBDD[],11,FALSE)</f>
        <v>San Francisco</v>
      </c>
      <c r="K124" s="2" t="str">
        <f>VLOOKUP(T_Voluntarios[[#This Row],[RUN]],BBDD[],12,FALSE)</f>
        <v>Guias</v>
      </c>
      <c r="L124" s="2" t="str">
        <f>VLOOKUP(T_Voluntarios[[#This Row],[RUN]],BBDD[],15,FALSE)</f>
        <v>Zona Ñuble</v>
      </c>
      <c r="M124" s="2" t="str">
        <f>VLOOKUP(T_Voluntarios[[#This Row],[RUN]],BBDD[],20,FALSE)</f>
        <v>Alimentación Tradicional</v>
      </c>
      <c r="N124" s="2" t="str">
        <f>VLOOKUP(T_Voluntarios[[#This Row],[RUN]],BBDD[],21,FALSE)</f>
        <v>Ninguna</v>
      </c>
      <c r="O124" s="2" t="str">
        <f>VLOOKUP(T_Voluntarios[[#This Row],[RUN]],BBDD[],22,FALSE)</f>
        <v>Ninguna</v>
      </c>
      <c r="P124" s="2" t="str">
        <f>VLOOKUP(T_Voluntarios[[#This Row],[RUN]],BBDD[],23,FALSE)</f>
        <v>Javiera Cordova +56 9 8620 7151</v>
      </c>
      <c r="Q124" s="2" t="str">
        <f>IF(VLOOKUP(T_Voluntarios[[#This Row],[RUN]],BBDD[],27,FALSE)=0,"",VLOOKUP(T_Voluntarios[[#This Row],[RUN]],BBDD[],27,FALSE))</f>
        <v/>
      </c>
      <c r="R124" s="2" t="str">
        <f>VLOOKUP(T_Voluntarios[[#This Row],[RUN]],BBDD[],36,FALSE)</f>
        <v>https://drive.google.com/open?id=15nYUBGAXdgeFn9USV2eIBKjdzU-GR2NR</v>
      </c>
      <c r="S124" s="2" t="str">
        <f>VLOOKUP(T_Voluntarios[[#This Row],[RUN]],BBDD[],16,FALSE)</f>
        <v>Medio</v>
      </c>
      <c r="T124" s="2" t="str">
        <f>VLOOKUP(T_Voluntarios[[#This Row],[RUN]],BBDD[],17,FALSE)</f>
        <v>10696</v>
      </c>
      <c r="U124" s="2" t="str">
        <f>VLOOKUP(T_Voluntarios[[#This Row],[RUN]],BBDD[],18,FALSE)</f>
        <v>Guias</v>
      </c>
      <c r="V124" s="2" t="str">
        <f>VLOOKUP(T_Voluntarios[[#This Row],[RUN]],BBDD[],19,FALSE)</f>
        <v>Ninguno</v>
      </c>
      <c r="W124" s="13" t="str">
        <f>IF(OR(T_Voluntarios[[#This Row],[ROL]]="Formador(a)"),"SI","NO")</f>
        <v>SI</v>
      </c>
      <c r="X124" s="13" t="str">
        <f>IF(ISERROR(VLOOKUP(T_Voluntarios[[#This Row],[RUN]],BBDD_Formadores[],15,FALSE)),"NO",VLOOKUP(T_Voluntarios[[#This Row],[RUN]],BBDD_Formadores[],15,FALSE))</f>
        <v>SI</v>
      </c>
      <c r="Y124" s="13" t="str">
        <f>IF(ISERROR(VLOOKUP(T_Voluntarios[[#This Row],[RUN]],BBDD_Formadores[],16,FALSE)),"NO",VLOOKUP(T_Voluntarios[[#This Row],[RUN]],BBDD_Formadores[],16,FALSE))</f>
        <v>Guias</v>
      </c>
      <c r="Z124" s="13" t="str">
        <f>IF(ISERROR(VLOOKUP(T_Voluntarios[[#This Row],[RUN]],BBDD_Formadores[],17,FALSE)),"NO",VLOOKUP(T_Voluntarios[[#This Row],[RUN]],BBDD_Formadores[],17,FALSE))</f>
        <v>Guias</v>
      </c>
      <c r="AA124" s="13" t="str">
        <f>IF(ISERROR(VLOOKUP(T_Voluntarios[[#This Row],[RUN]],BBDD_Formadores[],18,FALSE)),"NO",VLOOKUP(T_Voluntarios[[#This Row],[RUN]],BBDD_Formadores[],18,FALSE))</f>
        <v>NO</v>
      </c>
      <c r="AB124" s="13">
        <v>1</v>
      </c>
      <c r="AC124" s="13" t="s">
        <v>1</v>
      </c>
      <c r="AD124" s="13" t="s">
        <v>77</v>
      </c>
      <c r="AF124" s="2" t="str">
        <f>IF(VLOOKUP(T_Voluntarios[[#This Row],[RUN]],BBDD[],25,FALSE)=0,"",VLOOKUP(T_Voluntarios[[#This Row],[RUN]],BBDD[],25,FALSE))</f>
        <v/>
      </c>
      <c r="AG124" s="2" t="str">
        <f>IF(VLOOKUP(T_Voluntarios[[#This Row],[RUN]],BBDD[],26,FALSE)=0,"",VLOOKUP(T_Voluntarios[[#This Row],[RUN]],BBDD[],26,FALSE))</f>
        <v/>
      </c>
      <c r="AH124" s="2" t="str">
        <f>IF(VLOOKUP(T_Voluntarios[[#This Row],[RUN]],BBDD[],24,FALSE)=0,"",VLOOKUP(T_Voluntarios[[#This Row],[RUN]],BBDD[],24,FALSE))</f>
        <v/>
      </c>
      <c r="AI124" s="13" t="str">
        <f>VLOOKUP(T_Voluntarios[[#This Row],[RUN]],BBDD[],28,FALSE)</f>
        <v>SI</v>
      </c>
      <c r="AJ124" s="13" t="str">
        <f>VLOOKUP(T_Voluntarios[[#This Row],[RUN]],BBDD[],28,FALSE)</f>
        <v>SI</v>
      </c>
      <c r="AK124" s="32">
        <f>IF(T_Voluntarios[[#This Row],[ROL]]="Participante",SUMIFS(T_Cuotas[[#All],[Total]],T_Cuotas[[#All],[RUN]],T_Voluntarios[[#This Row],[RUN]]),-1)</f>
        <v>-1</v>
      </c>
      <c r="AL124" s="13" t="s">
        <v>1</v>
      </c>
      <c r="AM124" s="13" t="s">
        <v>2029</v>
      </c>
      <c r="AP124" s="2" t="str">
        <f>MID(T_Voluntarios[[#This Row],[E_MAIL]],SEARCH("@",T_Voluntarios[[#This Row],[E_MAIL]],1),LEN(T_Voluntarios[[#This Row],[E_MAIL]]))</f>
        <v>@gmail.com</v>
      </c>
      <c r="AQ124" s="13" t="str">
        <f>VLOOKUP(T_Voluntarios[[#This Row],[RUN]],BBDD[],37,FALSE)</f>
        <v>26</v>
      </c>
      <c r="AR124" s="2" t="str">
        <f>VLOOKUP(T_Voluntarios[[#This Row],[RUN]],BBDD[],29,FALSE)</f>
        <v>Ingeniero Ambiental</v>
      </c>
      <c r="AS124" s="2" t="str">
        <f>VLOOKUP(T_Voluntarios[[#This Row],[RUN]],BBDD[],30,FALSE)</f>
        <v>7 años</v>
      </c>
      <c r="AT124" s="2" t="str">
        <f>VLOOKUP(T_Voluntarios[[#This Row],[RUN]],BBDD[],31,FALSE)</f>
        <v>8 años</v>
      </c>
      <c r="AU124" s="2" t="str">
        <f>VLOOKUP(T_Voluntarios[[#This Row],[RUN]],BBDD[],32,FALSE)</f>
        <v>Soltero(a)</v>
      </c>
      <c r="AV124" s="2" t="str">
        <f>VLOOKUP(T_Voluntarios[[#This Row],[RUN]],BBDD[],33,FALSE)</f>
        <v>Catolica</v>
      </c>
      <c r="AW124" s="2" t="str">
        <f>VLOOKUP(T_Voluntarios[[#This Row],[RUN]],BBDD[],34,FALSE)</f>
        <v>RodrigoFelipe</v>
      </c>
      <c r="AX124" s="13" t="s">
        <v>733</v>
      </c>
      <c r="AY124" s="76">
        <f>VLOOKUP(T_Voluntarios[[#This Row],[RUN]],BBDD[],2,FALSE)</f>
        <v>45796.382619212964</v>
      </c>
      <c r="AZ124" s="13" t="s">
        <v>2</v>
      </c>
    </row>
    <row r="125" spans="1:52" x14ac:dyDescent="0.3">
      <c r="A125" s="2" t="s">
        <v>2087</v>
      </c>
      <c r="B125" s="2" t="str">
        <f>VLOOKUP(T_Voluntarios[[#This Row],[RUN]],BBDD[],3,FALSE)</f>
        <v>javiera.abril3@gmail.com</v>
      </c>
      <c r="C125" s="2" t="str">
        <f>VLOOKUP(T_Voluntarios[[#This Row],[RUN]],BBDD[],4,FALSE)</f>
        <v>Javiera Abril Bastías Muñoz</v>
      </c>
      <c r="D125" s="16">
        <f>VLOOKUP(T_Voluntarios[[#This Row],[RUN]],BBDD[],5,FALSE)</f>
        <v>38326</v>
      </c>
      <c r="E125" s="2" t="str">
        <f>VLOOKUP(T_Voluntarios[[#This Row],[RUN]],BBDD[],6,FALSE)</f>
        <v>Colicheo #15</v>
      </c>
      <c r="F125" s="2" t="str">
        <f>VLOOKUP(T_Voluntarios[[#This Row],[RUN]],BBDD[],7,FALSE)</f>
        <v>Chillán</v>
      </c>
      <c r="G125" s="2" t="str">
        <f>VLOOKUP(T_Voluntarios[[#This Row],[RUN]],BBDD[],8,FALSE)</f>
        <v>Celular</v>
      </c>
      <c r="H125" s="2" t="str">
        <f>IF(VLOOKUP(T_Voluntarios[[#This Row],[RUN]],BBDD[],9,FALSE)=0,"Falta",VLOOKUP(T_Voluntarios[[#This Row],[RUN]],BBDD[],9,FALSE))</f>
        <v>+56964967222</v>
      </c>
      <c r="I125" s="2" t="str">
        <f>VLOOKUP(T_Voluntarios[[#This Row],[RUN]],BBDD[],10,FALSE)</f>
        <v>Participante</v>
      </c>
      <c r="J125" s="2" t="str">
        <f>VLOOKUP(T_Voluntarios[[#This Row],[RUN]],BBDD[],11,FALSE)</f>
        <v>San Bartolomé</v>
      </c>
      <c r="K125" s="2" t="str">
        <f>VLOOKUP(T_Voluntarios[[#This Row],[RUN]],BBDD[],12,FALSE)</f>
        <v>Guias</v>
      </c>
      <c r="L125" s="2" t="str">
        <f>VLOOKUP(T_Voluntarios[[#This Row],[RUN]],BBDD[],15,FALSE)</f>
        <v>Zona Ñuble</v>
      </c>
      <c r="M125" s="2" t="str">
        <f>VLOOKUP(T_Voluntarios[[#This Row],[RUN]],BBDD[],20,FALSE)</f>
        <v>Sin Almuerzo</v>
      </c>
      <c r="N125" s="2" t="str">
        <f>VLOOKUP(T_Voluntarios[[#This Row],[RUN]],BBDD[],21,FALSE)</f>
        <v>Ninguna</v>
      </c>
      <c r="O125" s="2" t="str">
        <f>VLOOKUP(T_Voluntarios[[#This Row],[RUN]],BBDD[],22,FALSE)</f>
        <v>Ninguna</v>
      </c>
      <c r="P125" s="2" t="str">
        <f>VLOOKUP(T_Voluntarios[[#This Row],[RUN]],BBDD[],23,FALSE)</f>
        <v>Yolanda Muñoz Riveros 955848807</v>
      </c>
      <c r="Q125" s="2" t="str">
        <f>IF(VLOOKUP(T_Voluntarios[[#This Row],[RUN]],BBDD[],27,FALSE)=0,"",VLOOKUP(T_Voluntarios[[#This Row],[RUN]],BBDD[],27,FALSE))</f>
        <v/>
      </c>
      <c r="R125" s="2" t="str">
        <f>VLOOKUP(T_Voluntarios[[#This Row],[RUN]],BBDD[],36,FALSE)</f>
        <v>https://drive.google.com/open?id=1ZdD096k7UEBUskuSM4n4DugqfpQcnPUR</v>
      </c>
      <c r="S125" s="2" t="str">
        <f>VLOOKUP(T_Voluntarios[[#This Row],[RUN]],BBDD[],16,FALSE)</f>
        <v>Inicial</v>
      </c>
      <c r="T125" s="2" t="str">
        <f>VLOOKUP(T_Voluntarios[[#This Row],[RUN]],BBDD[],17,FALSE)</f>
        <v>Ninguno</v>
      </c>
      <c r="U125" s="2" t="str">
        <f>VLOOKUP(T_Voluntarios[[#This Row],[RUN]],BBDD[],18,FALSE)</f>
        <v>Ninguno</v>
      </c>
      <c r="V125" s="2" t="str">
        <f>VLOOKUP(T_Voluntarios[[#This Row],[RUN]],BBDD[],19,FALSE)</f>
        <v>Ninguno</v>
      </c>
      <c r="W125" s="13" t="str">
        <f>IF(OR(T_Voluntarios[[#This Row],[ROL]]="Formador(a)"),"SI","NO")</f>
        <v>NO</v>
      </c>
      <c r="X125" s="13" t="str">
        <f>IF(ISERROR(VLOOKUP(T_Voluntarios[[#This Row],[RUN]],BBDD_Formadores[],15,FALSE)),"NO",VLOOKUP(T_Voluntarios[[#This Row],[RUN]],BBDD_Formadores[],15,FALSE))</f>
        <v>NO</v>
      </c>
      <c r="Y125" s="13" t="str">
        <f>IF(ISERROR(VLOOKUP(T_Voluntarios[[#This Row],[RUN]],BBDD_Formadores[],16,FALSE)),"NO",VLOOKUP(T_Voluntarios[[#This Row],[RUN]],BBDD_Formadores[],16,FALSE))</f>
        <v>NO</v>
      </c>
      <c r="Z125" s="13" t="str">
        <f>IF(ISERROR(VLOOKUP(T_Voluntarios[[#This Row],[RUN]],BBDD_Formadores[],17,FALSE)),"NO",VLOOKUP(T_Voluntarios[[#This Row],[RUN]],BBDD_Formadores[],17,FALSE))</f>
        <v>NO</v>
      </c>
      <c r="AA125" s="13" t="str">
        <f>IF(ISERROR(VLOOKUP(T_Voluntarios[[#This Row],[RUN]],BBDD_Formadores[],18,FALSE)),"NO",VLOOKUP(T_Voluntarios[[#This Row],[RUN]],BBDD_Formadores[],18,FALSE))</f>
        <v>NO</v>
      </c>
      <c r="AB125" s="13">
        <v>1</v>
      </c>
      <c r="AC125" s="13" t="s">
        <v>1597</v>
      </c>
      <c r="AD125" s="13" t="s">
        <v>78</v>
      </c>
      <c r="AF125" s="2" t="str">
        <f>IF(VLOOKUP(T_Voluntarios[[#This Row],[RUN]],BBDD[],25,FALSE)=0,"",VLOOKUP(T_Voluntarios[[#This Row],[RUN]],BBDD[],25,FALSE))</f>
        <v/>
      </c>
      <c r="AG125" s="2" t="str">
        <f>IF(VLOOKUP(T_Voluntarios[[#This Row],[RUN]],BBDD[],26,FALSE)=0,"",VLOOKUP(T_Voluntarios[[#This Row],[RUN]],BBDD[],26,FALSE))</f>
        <v/>
      </c>
      <c r="AH125" s="2" t="str">
        <f>IF(VLOOKUP(T_Voluntarios[[#This Row],[RUN]],BBDD[],24,FALSE)=0,"",VLOOKUP(T_Voluntarios[[#This Row],[RUN]],BBDD[],24,FALSE))</f>
        <v/>
      </c>
      <c r="AI125" s="13" t="str">
        <f>VLOOKUP(T_Voluntarios[[#This Row],[RUN]],BBDD[],28,FALSE)</f>
        <v>No</v>
      </c>
      <c r="AJ125" s="13" t="str">
        <f>VLOOKUP(T_Voluntarios[[#This Row],[RUN]],BBDD[],28,FALSE)</f>
        <v>No</v>
      </c>
      <c r="AK125" s="32">
        <f>IF(T_Voluntarios[[#This Row],[ROL]]="Participante",SUMIFS(T_Cuotas[[#All],[Total]],T_Cuotas[[#All],[RUN]],T_Voluntarios[[#This Row],[RUN]]),-1)</f>
        <v>0</v>
      </c>
      <c r="AL125" s="13" t="s">
        <v>78</v>
      </c>
      <c r="AM125" s="13" t="s">
        <v>733</v>
      </c>
      <c r="AP125" s="2" t="str">
        <f>MID(T_Voluntarios[[#This Row],[E_MAIL]],SEARCH("@",T_Voluntarios[[#This Row],[E_MAIL]],1),LEN(T_Voluntarios[[#This Row],[E_MAIL]]))</f>
        <v>@gmail.com</v>
      </c>
      <c r="AQ125" s="13" t="str">
        <f>VLOOKUP(T_Voluntarios[[#This Row],[RUN]],BBDD[],37,FALSE)</f>
        <v>20</v>
      </c>
      <c r="AR125" s="2" t="str">
        <f>VLOOKUP(T_Voluntarios[[#This Row],[RUN]],BBDD[],29,FALSE)</f>
        <v>Estudiante</v>
      </c>
      <c r="AS125" s="2" t="str">
        <f>VLOOKUP(T_Voluntarios[[#This Row],[RUN]],BBDD[],30,FALSE)</f>
        <v>6 años</v>
      </c>
      <c r="AT125" s="2" t="str">
        <f>VLOOKUP(T_Voluntarios[[#This Row],[RUN]],BBDD[],31,FALSE)</f>
        <v>1 año y 3 meses</v>
      </c>
      <c r="AU125" s="2" t="str">
        <f>VLOOKUP(T_Voluntarios[[#This Row],[RUN]],BBDD[],32,FALSE)</f>
        <v>Soltero(a)</v>
      </c>
      <c r="AV125" s="2" t="str">
        <f>VLOOKUP(T_Voluntarios[[#This Row],[RUN]],BBDD[],33,FALSE)</f>
        <v>Ninguna</v>
      </c>
      <c r="AW125" s="2" t="str">
        <f>VLOOKUP(T_Voluntarios[[#This Row],[RUN]],BBDD[],34,FALSE)</f>
        <v>Javi</v>
      </c>
      <c r="AX125" s="13" t="s">
        <v>733</v>
      </c>
      <c r="AY125" s="76">
        <f>VLOOKUP(T_Voluntarios[[#This Row],[RUN]],BBDD[],2,FALSE)</f>
        <v>45796.670062770063</v>
      </c>
      <c r="AZ125" s="13" t="s">
        <v>2</v>
      </c>
    </row>
    <row r="126" spans="1:52" x14ac:dyDescent="0.3">
      <c r="A126" s="2" t="s">
        <v>2095</v>
      </c>
      <c r="B126" s="2" t="str">
        <f>VLOOKUP(T_Voluntarios[[#This Row],[RUN]],BBDD[],3,FALSE)</f>
        <v>clauandreasilvestremaldonado@gmail.com</v>
      </c>
      <c r="C126" s="2" t="str">
        <f>VLOOKUP(T_Voluntarios[[#This Row],[RUN]],BBDD[],4,FALSE)</f>
        <v>Claudia Andrea Silvestre Maldonado</v>
      </c>
      <c r="D126" s="16">
        <f>VLOOKUP(T_Voluntarios[[#This Row],[RUN]],BBDD[],5,FALSE)</f>
        <v>37483</v>
      </c>
      <c r="E126" s="2" t="str">
        <f>VLOOKUP(T_Voluntarios[[#This Row],[RUN]],BBDD[],6,FALSE)</f>
        <v>O'higgins 61</v>
      </c>
      <c r="F126" s="2" t="str">
        <f>VLOOKUP(T_Voluntarios[[#This Row],[RUN]],BBDD[],7,FALSE)</f>
        <v>Yumbel</v>
      </c>
      <c r="G126" s="2" t="str">
        <f>VLOOKUP(T_Voluntarios[[#This Row],[RUN]],BBDD[],8,FALSE)</f>
        <v>Celular</v>
      </c>
      <c r="H126" s="2" t="str">
        <f>IF(VLOOKUP(T_Voluntarios[[#This Row],[RUN]],BBDD[],9,FALSE)=0,"Falta",VLOOKUP(T_Voluntarios[[#This Row],[RUN]],BBDD[],9,FALSE))</f>
        <v>+56961368501</v>
      </c>
      <c r="I126" s="2" t="str">
        <f>VLOOKUP(T_Voluntarios[[#This Row],[RUN]],BBDD[],10,FALSE)</f>
        <v>Participante</v>
      </c>
      <c r="J126" s="2" t="str">
        <f>VLOOKUP(T_Voluntarios[[#This Row],[RUN]],BBDD[],11,FALSE)</f>
        <v>San Sebastian</v>
      </c>
      <c r="K126" s="2" t="str">
        <f>VLOOKUP(T_Voluntarios[[#This Row],[RUN]],BBDD[],12,FALSE)</f>
        <v>Guias</v>
      </c>
      <c r="L126" s="2" t="str">
        <f>VLOOKUP(T_Voluntarios[[#This Row],[RUN]],BBDD[],15,FALSE)</f>
        <v>Biobío</v>
      </c>
      <c r="M126" s="2" t="str">
        <f>VLOOKUP(T_Voluntarios[[#This Row],[RUN]],BBDD[],20,FALSE)</f>
        <v>Alimentación Vegetariana</v>
      </c>
      <c r="N126" s="2" t="str">
        <f>VLOOKUP(T_Voluntarios[[#This Row],[RUN]],BBDD[],21,FALSE)</f>
        <v>Ninguna</v>
      </c>
      <c r="O126" s="2" t="str">
        <f>VLOOKUP(T_Voluntarios[[#This Row],[RUN]],BBDD[],22,FALSE)</f>
        <v>Ninguna</v>
      </c>
      <c r="P126" s="2" t="str">
        <f>VLOOKUP(T_Voluntarios[[#This Row],[RUN]],BBDD[],23,FALSE)</f>
        <v>Tattiana Maldonado +56993760901</v>
      </c>
      <c r="Q126" s="2" t="str">
        <f>IF(VLOOKUP(T_Voluntarios[[#This Row],[RUN]],BBDD[],27,FALSE)=0,"",VLOOKUP(T_Voluntarios[[#This Row],[RUN]],BBDD[],27,FALSE))</f>
        <v/>
      </c>
      <c r="R126" s="2" t="str">
        <f>VLOOKUP(T_Voluntarios[[#This Row],[RUN]],BBDD[],36,FALSE)</f>
        <v>https://drive.google.com/open?id=1wyuw_0jjUNL2W4fV4W2Xn4c6io66PEwy</v>
      </c>
      <c r="S126" s="2" t="str">
        <f>VLOOKUP(T_Voluntarios[[#This Row],[RUN]],BBDD[],16,FALSE)</f>
        <v>Inicial</v>
      </c>
      <c r="T126" s="2" t="str">
        <f>VLOOKUP(T_Voluntarios[[#This Row],[RUN]],BBDD[],17,FALSE)</f>
        <v>Ninguno</v>
      </c>
      <c r="U126" s="2" t="str">
        <f>VLOOKUP(T_Voluntarios[[#This Row],[RUN]],BBDD[],18,FALSE)</f>
        <v>Ninguno</v>
      </c>
      <c r="V126" s="2" t="str">
        <f>VLOOKUP(T_Voluntarios[[#This Row],[RUN]],BBDD[],19,FALSE)</f>
        <v>Ninguno</v>
      </c>
      <c r="W126" s="13" t="str">
        <f>IF(OR(T_Voluntarios[[#This Row],[ROL]]="Formador(a)"),"SI","NO")</f>
        <v>NO</v>
      </c>
      <c r="X126" s="13" t="str">
        <f>IF(ISERROR(VLOOKUP(T_Voluntarios[[#This Row],[RUN]],BBDD_Formadores[],15,FALSE)),"NO",VLOOKUP(T_Voluntarios[[#This Row],[RUN]],BBDD_Formadores[],15,FALSE))</f>
        <v>NO</v>
      </c>
      <c r="Y126" s="13" t="str">
        <f>IF(ISERROR(VLOOKUP(T_Voluntarios[[#This Row],[RUN]],BBDD_Formadores[],16,FALSE)),"NO",VLOOKUP(T_Voluntarios[[#This Row],[RUN]],BBDD_Formadores[],16,FALSE))</f>
        <v>NO</v>
      </c>
      <c r="Z126" s="13" t="str">
        <f>IF(ISERROR(VLOOKUP(T_Voluntarios[[#This Row],[RUN]],BBDD_Formadores[],17,FALSE)),"NO",VLOOKUP(T_Voluntarios[[#This Row],[RUN]],BBDD_Formadores[],17,FALSE))</f>
        <v>NO</v>
      </c>
      <c r="AA126" s="13" t="str">
        <f>IF(ISERROR(VLOOKUP(T_Voluntarios[[#This Row],[RUN]],BBDD_Formadores[],18,FALSE)),"NO",VLOOKUP(T_Voluntarios[[#This Row],[RUN]],BBDD_Formadores[],18,FALSE))</f>
        <v>NO</v>
      </c>
      <c r="AB126" s="13">
        <v>1</v>
      </c>
      <c r="AC126" s="13" t="s">
        <v>1</v>
      </c>
      <c r="AD126" s="13" t="s">
        <v>77</v>
      </c>
      <c r="AF126" s="2" t="str">
        <f>IF(VLOOKUP(T_Voluntarios[[#This Row],[RUN]],BBDD[],25,FALSE)=0,"",VLOOKUP(T_Voluntarios[[#This Row],[RUN]],BBDD[],25,FALSE))</f>
        <v/>
      </c>
      <c r="AG126" s="2" t="str">
        <f>IF(VLOOKUP(T_Voluntarios[[#This Row],[RUN]],BBDD[],26,FALSE)=0,"",VLOOKUP(T_Voluntarios[[#This Row],[RUN]],BBDD[],26,FALSE))</f>
        <v/>
      </c>
      <c r="AH126" s="2" t="str">
        <f>IF(VLOOKUP(T_Voluntarios[[#This Row],[RUN]],BBDD[],24,FALSE)=0,"",VLOOKUP(T_Voluntarios[[#This Row],[RUN]],BBDD[],24,FALSE))</f>
        <v/>
      </c>
      <c r="AI126" s="13" t="str">
        <f>VLOOKUP(T_Voluntarios[[#This Row],[RUN]],BBDD[],28,FALSE)</f>
        <v>SI</v>
      </c>
      <c r="AJ126" s="13" t="str">
        <f>VLOOKUP(T_Voluntarios[[#This Row],[RUN]],BBDD[],28,FALSE)</f>
        <v>SI</v>
      </c>
      <c r="AK126" s="32">
        <f>IF(T_Voluntarios[[#This Row],[ROL]]="Participante",SUMIFS(T_Cuotas[[#All],[Total]],T_Cuotas[[#All],[RUN]],T_Voluntarios[[#This Row],[RUN]]),-1)</f>
        <v>50000</v>
      </c>
      <c r="AL126" s="13" t="s">
        <v>1</v>
      </c>
      <c r="AM126" s="13" t="s">
        <v>2029</v>
      </c>
      <c r="AP126" s="2" t="str">
        <f>MID(T_Voluntarios[[#This Row],[E_MAIL]],SEARCH("@",T_Voluntarios[[#This Row],[E_MAIL]],1),LEN(T_Voluntarios[[#This Row],[E_MAIL]]))</f>
        <v>@gmail.com</v>
      </c>
      <c r="AQ126" s="13" t="str">
        <f>VLOOKUP(T_Voluntarios[[#This Row],[RUN]],BBDD[],37,FALSE)</f>
        <v>22</v>
      </c>
      <c r="AR126" s="2" t="str">
        <f>VLOOKUP(T_Voluntarios[[#This Row],[RUN]],BBDD[],29,FALSE)</f>
        <v>Estudiante de nutrición y dietética</v>
      </c>
      <c r="AS126" s="2" t="str">
        <f>VLOOKUP(T_Voluntarios[[#This Row],[RUN]],BBDD[],30,FALSE)</f>
        <v>5 años</v>
      </c>
      <c r="AT126" s="2" t="str">
        <f>VLOOKUP(T_Voluntarios[[#This Row],[RUN]],BBDD[],31,FALSE)</f>
        <v>4 años</v>
      </c>
      <c r="AU126" s="2" t="str">
        <f>VLOOKUP(T_Voluntarios[[#This Row],[RUN]],BBDD[],32,FALSE)</f>
        <v>Soltero(a)</v>
      </c>
      <c r="AV126" s="2" t="str">
        <f>VLOOKUP(T_Voluntarios[[#This Row],[RUN]],BBDD[],33,FALSE)</f>
        <v>Ninguna</v>
      </c>
      <c r="AW126" s="2" t="str">
        <f>VLOOKUP(T_Voluntarios[[#This Row],[RUN]],BBDD[],34,FALSE)</f>
        <v>Cloudy</v>
      </c>
      <c r="AX126" s="13" t="s">
        <v>733</v>
      </c>
      <c r="AY126" s="76">
        <f>VLOOKUP(T_Voluntarios[[#This Row],[RUN]],BBDD[],2,FALSE)</f>
        <v>45796.852564891975</v>
      </c>
      <c r="AZ126" s="13" t="s">
        <v>3403</v>
      </c>
    </row>
    <row r="127" spans="1:52" x14ac:dyDescent="0.3">
      <c r="A127" s="2" t="s">
        <v>2106</v>
      </c>
      <c r="B127" s="2" t="str">
        <f>VLOOKUP(T_Voluntarios[[#This Row],[RUN]],BBDD[],3,FALSE)</f>
        <v>gabrirose25@gmail.com</v>
      </c>
      <c r="C127" s="2" t="str">
        <f>VLOOKUP(T_Voluntarios[[#This Row],[RUN]],BBDD[],4,FALSE)</f>
        <v>Gabriel Alberto Faúndez Vera</v>
      </c>
      <c r="D127" s="16">
        <f>VLOOKUP(T_Voluntarios[[#This Row],[RUN]],BBDD[],5,FALSE)</f>
        <v>37685</v>
      </c>
      <c r="E127" s="2" t="str">
        <f>VLOOKUP(T_Voluntarios[[#This Row],[RUN]],BBDD[],6,FALSE)</f>
        <v>El arroyo 1198</v>
      </c>
      <c r="F127" s="2" t="str">
        <f>VLOOKUP(T_Voluntarios[[#This Row],[RUN]],BBDD[],7,FALSE)</f>
        <v>Chillán</v>
      </c>
      <c r="G127" s="2" t="str">
        <f>VLOOKUP(T_Voluntarios[[#This Row],[RUN]],BBDD[],8,FALSE)</f>
        <v>Celular</v>
      </c>
      <c r="H127" s="2" t="str">
        <f>IF(VLOOKUP(T_Voluntarios[[#This Row],[RUN]],BBDD[],9,FALSE)=0,"Falta",VLOOKUP(T_Voluntarios[[#This Row],[RUN]],BBDD[],9,FALSE))</f>
        <v>+56949483106</v>
      </c>
      <c r="I127" s="2" t="str">
        <f>VLOOKUP(T_Voluntarios[[#This Row],[RUN]],BBDD[],10,FALSE)</f>
        <v>Participante</v>
      </c>
      <c r="J127" s="2" t="str">
        <f>VLOOKUP(T_Voluntarios[[#This Row],[RUN]],BBDD[],11,FALSE)</f>
        <v>San Bartolomé</v>
      </c>
      <c r="K127" s="2" t="str">
        <f>VLOOKUP(T_Voluntarios[[#This Row],[RUN]],BBDD[],12,FALSE)</f>
        <v>Pioneros</v>
      </c>
      <c r="L127" s="2" t="str">
        <f>VLOOKUP(T_Voluntarios[[#This Row],[RUN]],BBDD[],15,FALSE)</f>
        <v>Zona Ñuble</v>
      </c>
      <c r="M127" s="2" t="str">
        <f>VLOOKUP(T_Voluntarios[[#This Row],[RUN]],BBDD[],20,FALSE)</f>
        <v>Sin Almuerzo</v>
      </c>
      <c r="N127" s="2" t="str">
        <f>VLOOKUP(T_Voluntarios[[#This Row],[RUN]],BBDD[],21,FALSE)</f>
        <v>Ninguna</v>
      </c>
      <c r="O127" s="2" t="str">
        <f>VLOOKUP(T_Voluntarios[[#This Row],[RUN]],BBDD[],22,FALSE)</f>
        <v>Ninguna</v>
      </c>
      <c r="P127" s="2" t="str">
        <f>VLOOKUP(T_Voluntarios[[#This Row],[RUN]],BBDD[],23,FALSE)</f>
        <v>+56 9 4408 5154</v>
      </c>
      <c r="Q127" s="2" t="str">
        <f>IF(VLOOKUP(T_Voluntarios[[#This Row],[RUN]],BBDD[],27,FALSE)=0,"",VLOOKUP(T_Voluntarios[[#This Row],[RUN]],BBDD[],27,FALSE))</f>
        <v/>
      </c>
      <c r="R127" s="2" t="str">
        <f>VLOOKUP(T_Voluntarios[[#This Row],[RUN]],BBDD[],36,FALSE)</f>
        <v>https://drive.google.com/open?id=1XTaiGgSW1pedP8qtI6cXxnvSPni7Zdto</v>
      </c>
      <c r="S127" s="2" t="str">
        <f>VLOOKUP(T_Voluntarios[[#This Row],[RUN]],BBDD[],16,FALSE)</f>
        <v>Inicial</v>
      </c>
      <c r="T127" s="2" t="str">
        <f>VLOOKUP(T_Voluntarios[[#This Row],[RUN]],BBDD[],17,FALSE)</f>
        <v>Ninguno</v>
      </c>
      <c r="U127" s="2" t="str">
        <f>VLOOKUP(T_Voluntarios[[#This Row],[RUN]],BBDD[],18,FALSE)</f>
        <v>Ninguno</v>
      </c>
      <c r="V127" s="2" t="str">
        <f>VLOOKUP(T_Voluntarios[[#This Row],[RUN]],BBDD[],19,FALSE)</f>
        <v>Ninguno</v>
      </c>
      <c r="W127" s="13" t="str">
        <f>IF(OR(T_Voluntarios[[#This Row],[ROL]]="Formador(a)"),"SI","NO")</f>
        <v>NO</v>
      </c>
      <c r="X127" s="13" t="str">
        <f>IF(ISERROR(VLOOKUP(T_Voluntarios[[#This Row],[RUN]],BBDD_Formadores[],15,FALSE)),"NO",VLOOKUP(T_Voluntarios[[#This Row],[RUN]],BBDD_Formadores[],15,FALSE))</f>
        <v>NO</v>
      </c>
      <c r="Y127" s="13" t="str">
        <f>IF(ISERROR(VLOOKUP(T_Voluntarios[[#This Row],[RUN]],BBDD_Formadores[],16,FALSE)),"NO",VLOOKUP(T_Voluntarios[[#This Row],[RUN]],BBDD_Formadores[],16,FALSE))</f>
        <v>NO</v>
      </c>
      <c r="Z127" s="13" t="str">
        <f>IF(ISERROR(VLOOKUP(T_Voluntarios[[#This Row],[RUN]],BBDD_Formadores[],17,FALSE)),"NO",VLOOKUP(T_Voluntarios[[#This Row],[RUN]],BBDD_Formadores[],17,FALSE))</f>
        <v>NO</v>
      </c>
      <c r="AA127" s="13" t="str">
        <f>IF(ISERROR(VLOOKUP(T_Voluntarios[[#This Row],[RUN]],BBDD_Formadores[],18,FALSE)),"NO",VLOOKUP(T_Voluntarios[[#This Row],[RUN]],BBDD_Formadores[],18,FALSE))</f>
        <v>NO</v>
      </c>
      <c r="AB127" s="13">
        <v>1</v>
      </c>
      <c r="AC127" s="13" t="s">
        <v>1</v>
      </c>
      <c r="AD127" s="13" t="s">
        <v>77</v>
      </c>
      <c r="AF127" s="2" t="str">
        <f>IF(VLOOKUP(T_Voluntarios[[#This Row],[RUN]],BBDD[],25,FALSE)=0,"",VLOOKUP(T_Voluntarios[[#This Row],[RUN]],BBDD[],25,FALSE))</f>
        <v/>
      </c>
      <c r="AG127" s="2" t="str">
        <f>IF(VLOOKUP(T_Voluntarios[[#This Row],[RUN]],BBDD[],26,FALSE)=0,"",VLOOKUP(T_Voluntarios[[#This Row],[RUN]],BBDD[],26,FALSE))</f>
        <v/>
      </c>
      <c r="AH127" s="2" t="str">
        <f>IF(VLOOKUP(T_Voluntarios[[#This Row],[RUN]],BBDD[],24,FALSE)=0,"",VLOOKUP(T_Voluntarios[[#This Row],[RUN]],BBDD[],24,FALSE))</f>
        <v/>
      </c>
      <c r="AI127" s="13" t="str">
        <f>VLOOKUP(T_Voluntarios[[#This Row],[RUN]],BBDD[],28,FALSE)</f>
        <v>SI</v>
      </c>
      <c r="AJ127" s="13" t="str">
        <f>VLOOKUP(T_Voluntarios[[#This Row],[RUN]],BBDD[],28,FALSE)</f>
        <v>SI</v>
      </c>
      <c r="AK127" s="32">
        <f>IF(T_Voluntarios[[#This Row],[ROL]]="Participante",SUMIFS(T_Cuotas[[#All],[Total]],T_Cuotas[[#All],[RUN]],T_Voluntarios[[#This Row],[RUN]]),-1)</f>
        <v>36500</v>
      </c>
      <c r="AL127" s="13" t="s">
        <v>1</v>
      </c>
      <c r="AM127" s="13" t="s">
        <v>2029</v>
      </c>
      <c r="AP127" s="2" t="str">
        <f>MID(T_Voluntarios[[#This Row],[E_MAIL]],SEARCH("@",T_Voluntarios[[#This Row],[E_MAIL]],1),LEN(T_Voluntarios[[#This Row],[E_MAIL]]))</f>
        <v>@gmail.com</v>
      </c>
      <c r="AQ127" s="13" t="str">
        <f>VLOOKUP(T_Voluntarios[[#This Row],[RUN]],BBDD[],37,FALSE)</f>
        <v>22</v>
      </c>
      <c r="AR127" s="2" t="str">
        <f>VLOOKUP(T_Voluntarios[[#This Row],[RUN]],BBDD[],29,FALSE)</f>
        <v>Estudiante</v>
      </c>
      <c r="AS127" s="2" t="str">
        <f>VLOOKUP(T_Voluntarios[[#This Row],[RUN]],BBDD[],30,FALSE)</f>
        <v>4 años</v>
      </c>
      <c r="AT127" s="2" t="str">
        <f>VLOOKUP(T_Voluntarios[[#This Row],[RUN]],BBDD[],31,FALSE)</f>
        <v>3 años</v>
      </c>
      <c r="AU127" s="2" t="str">
        <f>VLOOKUP(T_Voluntarios[[#This Row],[RUN]],BBDD[],32,FALSE)</f>
        <v>Soltero(a)</v>
      </c>
      <c r="AV127" s="2" t="str">
        <f>VLOOKUP(T_Voluntarios[[#This Row],[RUN]],BBDD[],33,FALSE)</f>
        <v>Ninguna</v>
      </c>
      <c r="AW127" s="2" t="str">
        <f>VLOOKUP(T_Voluntarios[[#This Row],[RUN]],BBDD[],34,FALSE)</f>
        <v>Gabris</v>
      </c>
      <c r="AX127" s="13" t="s">
        <v>733</v>
      </c>
      <c r="AY127" s="76">
        <f>VLOOKUP(T_Voluntarios[[#This Row],[RUN]],BBDD[],2,FALSE)</f>
        <v>45797.129446412036</v>
      </c>
      <c r="AZ127" s="13" t="s">
        <v>3402</v>
      </c>
    </row>
    <row r="128" spans="1:52" x14ac:dyDescent="0.3">
      <c r="A128" s="2" t="s">
        <v>2127</v>
      </c>
      <c r="B128" s="2" t="str">
        <f>VLOOKUP(T_Voluntarios[[#This Row],[RUN]],BBDD[],3,FALSE)</f>
        <v>aolavezagal@gmail.com</v>
      </c>
      <c r="C128" s="2" t="str">
        <f>VLOOKUP(T_Voluntarios[[#This Row],[RUN]],BBDD[],4,FALSE)</f>
        <v>Angela Alejandra Olave Zagal</v>
      </c>
      <c r="D128" s="16">
        <f>VLOOKUP(T_Voluntarios[[#This Row],[RUN]],BBDD[],5,FALSE)</f>
        <v>29744</v>
      </c>
      <c r="E128" s="2" t="str">
        <f>VLOOKUP(T_Voluntarios[[#This Row],[RUN]],BBDD[],6,FALSE)</f>
        <v>Francisco Pizarro 1875 Lagunillas Norte</v>
      </c>
      <c r="F128" s="2" t="str">
        <f>VLOOKUP(T_Voluntarios[[#This Row],[RUN]],BBDD[],7,FALSE)</f>
        <v>Coronel</v>
      </c>
      <c r="G128" s="2" t="str">
        <f>VLOOKUP(T_Voluntarios[[#This Row],[RUN]],BBDD[],8,FALSE)</f>
        <v>Celular</v>
      </c>
      <c r="H128" s="2" t="str">
        <f>IF(VLOOKUP(T_Voluntarios[[#This Row],[RUN]],BBDD[],9,FALSE)=0,"Falta",VLOOKUP(T_Voluntarios[[#This Row],[RUN]],BBDD[],9,FALSE))</f>
        <v>+56981567659</v>
      </c>
      <c r="I128" s="2" t="str">
        <f>VLOOKUP(T_Voluntarios[[#This Row],[RUN]],BBDD[],10,FALSE)</f>
        <v>Participante</v>
      </c>
      <c r="J128" s="2" t="str">
        <f>VLOOKUP(T_Voluntarios[[#This Row],[RUN]],BBDD[],11,FALSE)</f>
        <v>Tricolor Chileno</v>
      </c>
      <c r="K128" s="2" t="str">
        <f>VLOOKUP(T_Voluntarios[[#This Row],[RUN]],BBDD[],12,FALSE)</f>
        <v>Golondrinas</v>
      </c>
      <c r="L128" s="2" t="str">
        <f>VLOOKUP(T_Voluntarios[[#This Row],[RUN]],BBDD[],15,FALSE)</f>
        <v>Nahuelbuta</v>
      </c>
      <c r="M128" s="2" t="str">
        <f>VLOOKUP(T_Voluntarios[[#This Row],[RUN]],BBDD[],20,FALSE)</f>
        <v>Alimentación Tradicional</v>
      </c>
      <c r="N128" s="2" t="str">
        <f>VLOOKUP(T_Voluntarios[[#This Row],[RUN]],BBDD[],21,FALSE)</f>
        <v>Ácido clavulánico</v>
      </c>
      <c r="O128" s="2" t="str">
        <f>VLOOKUP(T_Voluntarios[[#This Row],[RUN]],BBDD[],22,FALSE)</f>
        <v>Ninguna</v>
      </c>
      <c r="P128" s="2" t="str">
        <f>VLOOKUP(T_Voluntarios[[#This Row],[RUN]],BBDD[],23,FALSE)</f>
        <v>Nora Zagal +56 9 9820 1717</v>
      </c>
      <c r="Q128" s="2" t="str">
        <f>IF(VLOOKUP(T_Voluntarios[[#This Row],[RUN]],BBDD[],27,FALSE)=0,"",VLOOKUP(T_Voluntarios[[#This Row],[RUN]],BBDD[],27,FALSE))</f>
        <v/>
      </c>
      <c r="R128" s="2" t="str">
        <f>VLOOKUP(T_Voluntarios[[#This Row],[RUN]],BBDD[],36,FALSE)</f>
        <v>https://drive.google.com/open?id=1lMZp--DpauktScMVtHRSNzBQauCVkk56</v>
      </c>
      <c r="S128" s="2" t="str">
        <f>VLOOKUP(T_Voluntarios[[#This Row],[RUN]],BBDD[],16,FALSE)</f>
        <v>Inicial</v>
      </c>
      <c r="T128" s="2" t="str">
        <f>VLOOKUP(T_Voluntarios[[#This Row],[RUN]],BBDD[],17,FALSE)</f>
        <v>Ninguno</v>
      </c>
      <c r="U128" s="2" t="str">
        <f>VLOOKUP(T_Voluntarios[[#This Row],[RUN]],BBDD[],18,FALSE)</f>
        <v>Ninguno</v>
      </c>
      <c r="V128" s="2" t="str">
        <f>VLOOKUP(T_Voluntarios[[#This Row],[RUN]],BBDD[],19,FALSE)</f>
        <v>Ninguno</v>
      </c>
      <c r="W128" s="13" t="str">
        <f>IF(OR(T_Voluntarios[[#This Row],[ROL]]="Formador(a)"),"SI","NO")</f>
        <v>NO</v>
      </c>
      <c r="X128" s="13" t="str">
        <f>IF(ISERROR(VLOOKUP(T_Voluntarios[[#This Row],[RUN]],BBDD_Formadores[],15,FALSE)),"NO",VLOOKUP(T_Voluntarios[[#This Row],[RUN]],BBDD_Formadores[],15,FALSE))</f>
        <v>NO</v>
      </c>
      <c r="Y128" s="13" t="str">
        <f>IF(ISERROR(VLOOKUP(T_Voluntarios[[#This Row],[RUN]],BBDD_Formadores[],16,FALSE)),"NO",VLOOKUP(T_Voluntarios[[#This Row],[RUN]],BBDD_Formadores[],16,FALSE))</f>
        <v>NO</v>
      </c>
      <c r="Z128" s="13" t="str">
        <f>IF(ISERROR(VLOOKUP(T_Voluntarios[[#This Row],[RUN]],BBDD_Formadores[],17,FALSE)),"NO",VLOOKUP(T_Voluntarios[[#This Row],[RUN]],BBDD_Formadores[],17,FALSE))</f>
        <v>NO</v>
      </c>
      <c r="AA128" s="13" t="str">
        <f>IF(ISERROR(VLOOKUP(T_Voluntarios[[#This Row],[RUN]],BBDD_Formadores[],18,FALSE)),"NO",VLOOKUP(T_Voluntarios[[#This Row],[RUN]],BBDD_Formadores[],18,FALSE))</f>
        <v>NO</v>
      </c>
      <c r="AB128" s="13">
        <v>1</v>
      </c>
      <c r="AC128" s="13" t="s">
        <v>1</v>
      </c>
      <c r="AD128" s="13" t="s">
        <v>77</v>
      </c>
      <c r="AF128" s="2" t="str">
        <f>IF(VLOOKUP(T_Voluntarios[[#This Row],[RUN]],BBDD[],25,FALSE)=0,"",VLOOKUP(T_Voluntarios[[#This Row],[RUN]],BBDD[],25,FALSE))</f>
        <v>Hyundai</v>
      </c>
      <c r="AG128" s="2" t="str">
        <f>IF(VLOOKUP(T_Voluntarios[[#This Row],[RUN]],BBDD[],26,FALSE)=0,"",VLOOKUP(T_Voluntarios[[#This Row],[RUN]],BBDD[],26,FALSE))</f>
        <v>Accent</v>
      </c>
      <c r="AH128" s="2" t="str">
        <f>IF(VLOOKUP(T_Voluntarios[[#This Row],[RUN]],BBDD[],24,FALSE)=0,"",VLOOKUP(T_Voluntarios[[#This Row],[RUN]],BBDD[],24,FALSE))</f>
        <v>BYHZ49</v>
      </c>
      <c r="AI128" s="13" t="str">
        <f>VLOOKUP(T_Voluntarios[[#This Row],[RUN]],BBDD[],28,FALSE)</f>
        <v>SI</v>
      </c>
      <c r="AJ128" s="13" t="str">
        <f>VLOOKUP(T_Voluntarios[[#This Row],[RUN]],BBDD[],28,FALSE)</f>
        <v>SI</v>
      </c>
      <c r="AK128" s="32">
        <f>IF(T_Voluntarios[[#This Row],[ROL]]="Participante",SUMIFS(T_Cuotas[[#All],[Total]],T_Cuotas[[#All],[RUN]],T_Voluntarios[[#This Row],[RUN]]),-1)</f>
        <v>50000</v>
      </c>
      <c r="AL128" s="13" t="s">
        <v>1</v>
      </c>
      <c r="AM128" s="13" t="s">
        <v>2029</v>
      </c>
      <c r="AP128" s="2" t="str">
        <f>MID(T_Voluntarios[[#This Row],[E_MAIL]],SEARCH("@",T_Voluntarios[[#This Row],[E_MAIL]],1),LEN(T_Voluntarios[[#This Row],[E_MAIL]]))</f>
        <v>@gmail.com</v>
      </c>
      <c r="AQ128" s="13" t="str">
        <f>VLOOKUP(T_Voluntarios[[#This Row],[RUN]],BBDD[],37,FALSE)</f>
        <v>44</v>
      </c>
      <c r="AR128" s="2" t="str">
        <f>VLOOKUP(T_Voluntarios[[#This Row],[RUN]],BBDD[],29,FALSE)</f>
        <v>Químico</v>
      </c>
      <c r="AS128" s="2" t="str">
        <f>VLOOKUP(T_Voluntarios[[#This Row],[RUN]],BBDD[],30,FALSE)</f>
        <v>10años</v>
      </c>
      <c r="AT128" s="2" t="str">
        <f>VLOOKUP(T_Voluntarios[[#This Row],[RUN]],BBDD[],31,FALSE)</f>
        <v>3años</v>
      </c>
      <c r="AU128" s="2" t="str">
        <f>VLOOKUP(T_Voluntarios[[#This Row],[RUN]],BBDD[],32,FALSE)</f>
        <v>Casado(a)</v>
      </c>
      <c r="AV128" s="2" t="str">
        <f>VLOOKUP(T_Voluntarios[[#This Row],[RUN]],BBDD[],33,FALSE)</f>
        <v>Ninguna</v>
      </c>
      <c r="AW128" s="2" t="str">
        <f>VLOOKUP(T_Voluntarios[[#This Row],[RUN]],BBDD[],34,FALSE)</f>
        <v>Angela</v>
      </c>
      <c r="AX128" s="13" t="s">
        <v>733</v>
      </c>
      <c r="AY128" s="76">
        <f>VLOOKUP(T_Voluntarios[[#This Row],[RUN]],BBDD[],2,FALSE)</f>
        <v>45797.432323070985</v>
      </c>
      <c r="AZ128" s="13" t="s">
        <v>3403</v>
      </c>
    </row>
    <row r="129" spans="1:52" x14ac:dyDescent="0.3">
      <c r="A129" s="2" t="s">
        <v>559</v>
      </c>
      <c r="B129" s="2" t="str">
        <f>VLOOKUP(T_Voluntarios[[#This Row],[RUN]],BBDD[],3,FALSE)</f>
        <v>danitza.valencia.p@gmail.com</v>
      </c>
      <c r="C129" s="2" t="str">
        <f>VLOOKUP(T_Voluntarios[[#This Row],[RUN]],BBDD[],4,FALSE)</f>
        <v>Danitza Monserrat Valencia Pedreros</v>
      </c>
      <c r="D129" s="16">
        <f>VLOOKUP(T_Voluntarios[[#This Row],[RUN]],BBDD[],5,FALSE)</f>
        <v>37349</v>
      </c>
      <c r="E129" s="2" t="str">
        <f>VLOOKUP(T_Voluntarios[[#This Row],[RUN]],BBDD[],6,FALSE)</f>
        <v>Río ñuble 13</v>
      </c>
      <c r="F129" s="2" t="str">
        <f>VLOOKUP(T_Voluntarios[[#This Row],[RUN]],BBDD[],7,FALSE)</f>
        <v>Penco</v>
      </c>
      <c r="G129" s="2" t="str">
        <f>VLOOKUP(T_Voluntarios[[#This Row],[RUN]],BBDD[],8,FALSE)</f>
        <v>Celular</v>
      </c>
      <c r="H129" s="2" t="str">
        <f>IF(VLOOKUP(T_Voluntarios[[#This Row],[RUN]],BBDD[],9,FALSE)=0,"Falta",VLOOKUP(T_Voluntarios[[#This Row],[RUN]],BBDD[],9,FALSE))</f>
        <v>+56964030087</v>
      </c>
      <c r="I129" s="2" t="str">
        <f>VLOOKUP(T_Voluntarios[[#This Row],[RUN]],BBDD[],10,FALSE)</f>
        <v>Formador(a)</v>
      </c>
      <c r="J129" s="2" t="str">
        <f>VLOOKUP(T_Voluntarios[[#This Row],[RUN]],BBDD[],11,FALSE)</f>
        <v>Salesianos Concepción</v>
      </c>
      <c r="K129" s="2" t="str">
        <f>VLOOKUP(T_Voluntarios[[#This Row],[RUN]],BBDD[],12,FALSE)</f>
        <v>Guias</v>
      </c>
      <c r="L129" s="2" t="str">
        <f>VLOOKUP(T_Voluntarios[[#This Row],[RUN]],BBDD[],15,FALSE)</f>
        <v>Rio Andalién</v>
      </c>
      <c r="M129" s="2" t="str">
        <f>VLOOKUP(T_Voluntarios[[#This Row],[RUN]],BBDD[],20,FALSE)</f>
        <v>Alimentación Tradicional</v>
      </c>
      <c r="N129" s="2" t="str">
        <f>VLOOKUP(T_Voluntarios[[#This Row],[RUN]],BBDD[],21,FALSE)</f>
        <v>Ninguna</v>
      </c>
      <c r="O129" s="2" t="str">
        <f>VLOOKUP(T_Voluntarios[[#This Row],[RUN]],BBDD[],22,FALSE)</f>
        <v>Ninguna</v>
      </c>
      <c r="P129" s="2" t="str">
        <f>VLOOKUP(T_Voluntarios[[#This Row],[RUN]],BBDD[],23,FALSE)</f>
        <v>Maritza Pedreros +569 85356970</v>
      </c>
      <c r="Q129" s="2" t="str">
        <f>IF(VLOOKUP(T_Voluntarios[[#This Row],[RUN]],BBDD[],27,FALSE)=0,"",VLOOKUP(T_Voluntarios[[#This Row],[RUN]],BBDD[],27,FALSE))</f>
        <v/>
      </c>
      <c r="R129" s="2" t="str">
        <f>VLOOKUP(T_Voluntarios[[#This Row],[RUN]],BBDD[],36,FALSE)</f>
        <v>https://drive.google.com/open?id=1crMaS3XGrrAB_jyE9_P1qVkXf42A4ThX</v>
      </c>
      <c r="S129" s="2" t="str">
        <f>VLOOKUP(T_Voluntarios[[#This Row],[RUN]],BBDD[],16,FALSE)</f>
        <v>Medio</v>
      </c>
      <c r="T129" s="2" t="str">
        <f>VLOOKUP(T_Voluntarios[[#This Row],[RUN]],BBDD[],17,FALSE)</f>
        <v>10777</v>
      </c>
      <c r="U129" s="2" t="str">
        <f>VLOOKUP(T_Voluntarios[[#This Row],[RUN]],BBDD[],18,FALSE)</f>
        <v>Guias</v>
      </c>
      <c r="V129" s="2" t="str">
        <f>VLOOKUP(T_Voluntarios[[#This Row],[RUN]],BBDD[],19,FALSE)</f>
        <v>Ninguno</v>
      </c>
      <c r="W129" s="13" t="str">
        <f>IF(OR(T_Voluntarios[[#This Row],[ROL]]="Formador(a)"),"SI","NO")</f>
        <v>SI</v>
      </c>
      <c r="X129" s="13" t="str">
        <f>IF(ISERROR(VLOOKUP(T_Voluntarios[[#This Row],[RUN]],BBDD_Formadores[],15,FALSE)),"NO",VLOOKUP(T_Voluntarios[[#This Row],[RUN]],BBDD_Formadores[],15,FALSE))</f>
        <v>SI</v>
      </c>
      <c r="Y129" s="13" t="str">
        <f>IF(ISERROR(VLOOKUP(T_Voluntarios[[#This Row],[RUN]],BBDD_Formadores[],16,FALSE)),"NO",VLOOKUP(T_Voluntarios[[#This Row],[RUN]],BBDD_Formadores[],16,FALSE))</f>
        <v>Guias</v>
      </c>
      <c r="Z129" s="13" t="str">
        <f>IF(ISERROR(VLOOKUP(T_Voluntarios[[#This Row],[RUN]],BBDD_Formadores[],17,FALSE)),"NO",VLOOKUP(T_Voluntarios[[#This Row],[RUN]],BBDD_Formadores[],17,FALSE))</f>
        <v>Guias</v>
      </c>
      <c r="AA129" s="13" t="str">
        <f>IF(ISERROR(VLOOKUP(T_Voluntarios[[#This Row],[RUN]],BBDD_Formadores[],18,FALSE)),"NO",VLOOKUP(T_Voluntarios[[#This Row],[RUN]],BBDD_Formadores[],18,FALSE))</f>
        <v>NO</v>
      </c>
      <c r="AB129" s="13">
        <v>1</v>
      </c>
      <c r="AC129" s="13" t="s">
        <v>1</v>
      </c>
      <c r="AD129" s="13" t="s">
        <v>77</v>
      </c>
      <c r="AF129" s="2" t="str">
        <f>IF(VLOOKUP(T_Voluntarios[[#This Row],[RUN]],BBDD[],25,FALSE)=0,"",VLOOKUP(T_Voluntarios[[#This Row],[RUN]],BBDD[],25,FALSE))</f>
        <v/>
      </c>
      <c r="AG129" s="2" t="str">
        <f>IF(VLOOKUP(T_Voluntarios[[#This Row],[RUN]],BBDD[],26,FALSE)=0,"",VLOOKUP(T_Voluntarios[[#This Row],[RUN]],BBDD[],26,FALSE))</f>
        <v/>
      </c>
      <c r="AH129" s="2" t="str">
        <f>IF(VLOOKUP(T_Voluntarios[[#This Row],[RUN]],BBDD[],24,FALSE)=0,"",VLOOKUP(T_Voluntarios[[#This Row],[RUN]],BBDD[],24,FALSE))</f>
        <v/>
      </c>
      <c r="AI129" s="13" t="str">
        <f>VLOOKUP(T_Voluntarios[[#This Row],[RUN]],BBDD[],28,FALSE)</f>
        <v>SI</v>
      </c>
      <c r="AJ129" s="13" t="str">
        <f>VLOOKUP(T_Voluntarios[[#This Row],[RUN]],BBDD[],28,FALSE)</f>
        <v>SI</v>
      </c>
      <c r="AK129" s="32">
        <f>IF(T_Voluntarios[[#This Row],[ROL]]="Participante",SUMIFS(T_Cuotas[[#All],[Total]],T_Cuotas[[#All],[RUN]],T_Voluntarios[[#This Row],[RUN]]),-1)</f>
        <v>-1</v>
      </c>
      <c r="AL129" s="13" t="s">
        <v>1</v>
      </c>
      <c r="AM129" s="13" t="s">
        <v>2029</v>
      </c>
      <c r="AP129" s="2" t="str">
        <f>MID(T_Voluntarios[[#This Row],[E_MAIL]],SEARCH("@",T_Voluntarios[[#This Row],[E_MAIL]],1),LEN(T_Voluntarios[[#This Row],[E_MAIL]]))</f>
        <v>@gmail.com</v>
      </c>
      <c r="AQ129" s="13" t="str">
        <f>VLOOKUP(T_Voluntarios[[#This Row],[RUN]],BBDD[],37,FALSE)</f>
        <v>23</v>
      </c>
      <c r="AR129" s="2" t="str">
        <f>VLOOKUP(T_Voluntarios[[#This Row],[RUN]],BBDD[],29,FALSE)</f>
        <v>Estudiante</v>
      </c>
      <c r="AS129" s="2" t="str">
        <f>VLOOKUP(T_Voluntarios[[#This Row],[RUN]],BBDD[],30,FALSE)</f>
        <v>5 años</v>
      </c>
      <c r="AT129" s="2" t="str">
        <f>VLOOKUP(T_Voluntarios[[#This Row],[RUN]],BBDD[],31,FALSE)</f>
        <v>5 años</v>
      </c>
      <c r="AU129" s="2" t="str">
        <f>VLOOKUP(T_Voluntarios[[#This Row],[RUN]],BBDD[],32,FALSE)</f>
        <v>Soltero(a)</v>
      </c>
      <c r="AV129" s="2" t="str">
        <f>VLOOKUP(T_Voluntarios[[#This Row],[RUN]],BBDD[],33,FALSE)</f>
        <v>Catolica</v>
      </c>
      <c r="AW129" s="2" t="str">
        <f>VLOOKUP(T_Voluntarios[[#This Row],[RUN]],BBDD[],34,FALSE)</f>
        <v>Danii</v>
      </c>
      <c r="AX129" s="13" t="s">
        <v>733</v>
      </c>
      <c r="AY129" s="76">
        <f>VLOOKUP(T_Voluntarios[[#This Row],[RUN]],BBDD[],2,FALSE)</f>
        <v>45797.511870447532</v>
      </c>
      <c r="AZ129" s="13" t="s">
        <v>2</v>
      </c>
    </row>
    <row r="130" spans="1:52" x14ac:dyDescent="0.3">
      <c r="A130" s="2" t="s">
        <v>2334</v>
      </c>
      <c r="B130" s="2" t="str">
        <f>VLOOKUP(T_Voluntarios[[#This Row],[RUN]],BBDD[],3,FALSE)</f>
        <v>josefarebolledogonzalez@gmail.com</v>
      </c>
      <c r="C130" s="2" t="str">
        <f>VLOOKUP(T_Voluntarios[[#This Row],[RUN]],BBDD[],4,FALSE)</f>
        <v>Josefa Catalina Rebolledo González</v>
      </c>
      <c r="D130" s="16">
        <f>VLOOKUP(T_Voluntarios[[#This Row],[RUN]],BBDD[],5,FALSE)</f>
        <v>37519</v>
      </c>
      <c r="E130" s="2" t="str">
        <f>VLOOKUP(T_Voluntarios[[#This Row],[RUN]],BBDD[],6,FALSE)</f>
        <v>Brasilia 444,Hualpen</v>
      </c>
      <c r="F130" s="2" t="str">
        <f>VLOOKUP(T_Voluntarios[[#This Row],[RUN]],BBDD[],7,FALSE)</f>
        <v>Hualpén</v>
      </c>
      <c r="G130" s="2" t="str">
        <f>VLOOKUP(T_Voluntarios[[#This Row],[RUN]],BBDD[],8,FALSE)</f>
        <v>Celular</v>
      </c>
      <c r="H130" s="2" t="str">
        <f>IF(VLOOKUP(T_Voluntarios[[#This Row],[RUN]],BBDD[],9,FALSE)=0,"Falta",VLOOKUP(T_Voluntarios[[#This Row],[RUN]],BBDD[],9,FALSE))</f>
        <v>+56973073309</v>
      </c>
      <c r="I130" s="2" t="str">
        <f>VLOOKUP(T_Voluntarios[[#This Row],[RUN]],BBDD[],10,FALSE)</f>
        <v>Participante</v>
      </c>
      <c r="J130" s="2" t="str">
        <f>VLOOKUP(T_Voluntarios[[#This Row],[RUN]],BBDD[],11,FALSE)</f>
        <v>Sagrados Corazones</v>
      </c>
      <c r="K130" s="2" t="str">
        <f>VLOOKUP(T_Voluntarios[[#This Row],[RUN]],BBDD[],12,FALSE)</f>
        <v>Lobatos</v>
      </c>
      <c r="L130" s="2" t="str">
        <f>VLOOKUP(T_Voluntarios[[#This Row],[RUN]],BBDD[],15,FALSE)</f>
        <v>Concepción</v>
      </c>
      <c r="M130" s="2" t="str">
        <f>VLOOKUP(T_Voluntarios[[#This Row],[RUN]],BBDD[],20,FALSE)</f>
        <v>Alimentación Tradicional</v>
      </c>
      <c r="N130" s="2" t="str">
        <f>VLOOKUP(T_Voluntarios[[#This Row],[RUN]],BBDD[],21,FALSE)</f>
        <v>Intolerante a la lactosa</v>
      </c>
      <c r="O130" s="2" t="str">
        <f>VLOOKUP(T_Voluntarios[[#This Row],[RUN]],BBDD[],22,FALSE)</f>
        <v>Ninguna</v>
      </c>
      <c r="P130" s="2" t="str">
        <f>VLOOKUP(T_Voluntarios[[#This Row],[RUN]],BBDD[],23,FALSE)</f>
        <v>Alberto Rebolledo Gatica (papá) +569 92194516</v>
      </c>
      <c r="Q130" s="2" t="str">
        <f>IF(VLOOKUP(T_Voluntarios[[#This Row],[RUN]],BBDD[],27,FALSE)=0,"",VLOOKUP(T_Voluntarios[[#This Row],[RUN]],BBDD[],27,FALSE))</f>
        <v/>
      </c>
      <c r="R130" s="2" t="str">
        <f>VLOOKUP(T_Voluntarios[[#This Row],[RUN]],BBDD[],36,FALSE)</f>
        <v>https://drive.google.com/open?id=138H8U7g4mNy_WPcfgf25JZ48DQAzFR5J</v>
      </c>
      <c r="S130" s="2" t="str">
        <f>VLOOKUP(T_Voluntarios[[#This Row],[RUN]],BBDD[],16,FALSE)</f>
        <v>Inicial</v>
      </c>
      <c r="T130" s="2" t="str">
        <f>VLOOKUP(T_Voluntarios[[#This Row],[RUN]],BBDD[],17,FALSE)</f>
        <v>Ninguno</v>
      </c>
      <c r="U130" s="2" t="str">
        <f>VLOOKUP(T_Voluntarios[[#This Row],[RUN]],BBDD[],18,FALSE)</f>
        <v>Ninguno</v>
      </c>
      <c r="V130" s="2" t="str">
        <f>VLOOKUP(T_Voluntarios[[#This Row],[RUN]],BBDD[],19,FALSE)</f>
        <v>Ninguno</v>
      </c>
      <c r="W130" s="13" t="str">
        <f>IF(OR(T_Voluntarios[[#This Row],[ROL]]="Formador(a)"),"SI","NO")</f>
        <v>NO</v>
      </c>
      <c r="X130" s="13" t="str">
        <f>IF(ISERROR(VLOOKUP(T_Voluntarios[[#This Row],[RUN]],BBDD_Formadores[],15,FALSE)),"NO",VLOOKUP(T_Voluntarios[[#This Row],[RUN]],BBDD_Formadores[],15,FALSE))</f>
        <v>NO</v>
      </c>
      <c r="Y130" s="13" t="str">
        <f>IF(ISERROR(VLOOKUP(T_Voluntarios[[#This Row],[RUN]],BBDD_Formadores[],16,FALSE)),"NO",VLOOKUP(T_Voluntarios[[#This Row],[RUN]],BBDD_Formadores[],16,FALSE))</f>
        <v>NO</v>
      </c>
      <c r="Z130" s="13" t="str">
        <f>IF(ISERROR(VLOOKUP(T_Voluntarios[[#This Row],[RUN]],BBDD_Formadores[],17,FALSE)),"NO",VLOOKUP(T_Voluntarios[[#This Row],[RUN]],BBDD_Formadores[],17,FALSE))</f>
        <v>NO</v>
      </c>
      <c r="AA130" s="13" t="str">
        <f>IF(ISERROR(VLOOKUP(T_Voluntarios[[#This Row],[RUN]],BBDD_Formadores[],18,FALSE)),"NO",VLOOKUP(T_Voluntarios[[#This Row],[RUN]],BBDD_Formadores[],18,FALSE))</f>
        <v>NO</v>
      </c>
      <c r="AB130" s="13">
        <v>1</v>
      </c>
      <c r="AC130" s="13" t="s">
        <v>1</v>
      </c>
      <c r="AD130" s="13" t="s">
        <v>77</v>
      </c>
      <c r="AF130" s="2" t="str">
        <f>IF(VLOOKUP(T_Voluntarios[[#This Row],[RUN]],BBDD[],25,FALSE)=0,"",VLOOKUP(T_Voluntarios[[#This Row],[RUN]],BBDD[],25,FALSE))</f>
        <v>Ford</v>
      </c>
      <c r="AG130" s="2" t="str">
        <f>IF(VLOOKUP(T_Voluntarios[[#This Row],[RUN]],BBDD[],26,FALSE)=0,"",VLOOKUP(T_Voluntarios[[#This Row],[RUN]],BBDD[],26,FALSE))</f>
        <v>Explorer</v>
      </c>
      <c r="AH130" s="2" t="str">
        <f>IF(VLOOKUP(T_Voluntarios[[#This Row],[RUN]],BBDD[],24,FALSE)=0,"",VLOOKUP(T_Voluntarios[[#This Row],[RUN]],BBDD[],24,FALSE))</f>
        <v>CG XG 98</v>
      </c>
      <c r="AI130" s="13" t="str">
        <f>VLOOKUP(T_Voluntarios[[#This Row],[RUN]],BBDD[],28,FALSE)</f>
        <v>SI</v>
      </c>
      <c r="AJ130" s="13" t="str">
        <f>VLOOKUP(T_Voluntarios[[#This Row],[RUN]],BBDD[],28,FALSE)</f>
        <v>SI</v>
      </c>
      <c r="AK130" s="32">
        <f>IF(T_Voluntarios[[#This Row],[ROL]]="Participante",SUMIFS(T_Cuotas[[#All],[Total]],T_Cuotas[[#All],[RUN]],T_Voluntarios[[#This Row],[RUN]]),-1)</f>
        <v>50000</v>
      </c>
      <c r="AL130" s="13" t="s">
        <v>1</v>
      </c>
      <c r="AM130" s="13" t="s">
        <v>2029</v>
      </c>
      <c r="AP130" s="2" t="str">
        <f>MID(T_Voluntarios[[#This Row],[E_MAIL]],SEARCH("@",T_Voluntarios[[#This Row],[E_MAIL]],1),LEN(T_Voluntarios[[#This Row],[E_MAIL]]))</f>
        <v>@gmail.com</v>
      </c>
      <c r="AQ130" s="13" t="str">
        <f>VLOOKUP(T_Voluntarios[[#This Row],[RUN]],BBDD[],37,FALSE)</f>
        <v>22</v>
      </c>
      <c r="AR130" s="2" t="str">
        <f>VLOOKUP(T_Voluntarios[[#This Row],[RUN]],BBDD[],29,FALSE)</f>
        <v>Estudiante de ingeniería civil industrial</v>
      </c>
      <c r="AS130" s="2" t="str">
        <f>VLOOKUP(T_Voluntarios[[#This Row],[RUN]],BBDD[],30,FALSE)</f>
        <v>13 años</v>
      </c>
      <c r="AT130" s="2" t="str">
        <f>VLOOKUP(T_Voluntarios[[#This Row],[RUN]],BBDD[],31,FALSE)</f>
        <v>2 años</v>
      </c>
      <c r="AU130" s="2" t="str">
        <f>VLOOKUP(T_Voluntarios[[#This Row],[RUN]],BBDD[],32,FALSE)</f>
        <v>Soltero(a)</v>
      </c>
      <c r="AV130" s="2" t="str">
        <f>VLOOKUP(T_Voluntarios[[#This Row],[RUN]],BBDD[],33,FALSE)</f>
        <v>Catolica</v>
      </c>
      <c r="AW130" s="2" t="str">
        <f>VLOOKUP(T_Voluntarios[[#This Row],[RUN]],BBDD[],34,FALSE)</f>
        <v>Chichi</v>
      </c>
      <c r="AX130" s="13" t="s">
        <v>733</v>
      </c>
      <c r="AY130" s="76">
        <f>VLOOKUP(T_Voluntarios[[#This Row],[RUN]],BBDD[],2,FALSE)</f>
        <v>45797.548828587962</v>
      </c>
      <c r="AZ130" s="13" t="s">
        <v>3403</v>
      </c>
    </row>
    <row r="131" spans="1:52" x14ac:dyDescent="0.3">
      <c r="A131" s="2" t="s">
        <v>2178</v>
      </c>
      <c r="B131" s="2" t="str">
        <f>VLOOKUP(T_Voluntarios[[#This Row],[RUN]],BBDD[],3,FALSE)</f>
        <v>barbararebolledogonzalez@gmail.com</v>
      </c>
      <c r="C131" s="2" t="str">
        <f>VLOOKUP(T_Voluntarios[[#This Row],[RUN]],BBDD[],4,FALSE)</f>
        <v>Bárbara Nicole Rebolledo González</v>
      </c>
      <c r="D131" s="16">
        <f>VLOOKUP(T_Voluntarios[[#This Row],[RUN]],BBDD[],5,FALSE)</f>
        <v>37111</v>
      </c>
      <c r="E131" s="2" t="str">
        <f>VLOOKUP(T_Voluntarios[[#This Row],[RUN]],BBDD[],6,FALSE)</f>
        <v>Brasilia 444, Hualpén</v>
      </c>
      <c r="F131" s="2" t="str">
        <f>VLOOKUP(T_Voluntarios[[#This Row],[RUN]],BBDD[],7,FALSE)</f>
        <v>Hualpén</v>
      </c>
      <c r="G131" s="2" t="str">
        <f>VLOOKUP(T_Voluntarios[[#This Row],[RUN]],BBDD[],8,FALSE)</f>
        <v>Celular</v>
      </c>
      <c r="H131" s="2" t="str">
        <f>IF(VLOOKUP(T_Voluntarios[[#This Row],[RUN]],BBDD[],9,FALSE)=0,"Falta",VLOOKUP(T_Voluntarios[[#This Row],[RUN]],BBDD[],9,FALSE))</f>
        <v>+56973073235</v>
      </c>
      <c r="I131" s="2" t="str">
        <f>VLOOKUP(T_Voluntarios[[#This Row],[RUN]],BBDD[],10,FALSE)</f>
        <v>Participante</v>
      </c>
      <c r="J131" s="2" t="str">
        <f>VLOOKUP(T_Voluntarios[[#This Row],[RUN]],BBDD[],11,FALSE)</f>
        <v>Sagrados Corazones</v>
      </c>
      <c r="K131" s="2" t="str">
        <f>VLOOKUP(T_Voluntarios[[#This Row],[RUN]],BBDD[],12,FALSE)</f>
        <v>Golondrinas</v>
      </c>
      <c r="L131" s="2" t="str">
        <f>VLOOKUP(T_Voluntarios[[#This Row],[RUN]],BBDD[],15,FALSE)</f>
        <v>Concepción</v>
      </c>
      <c r="M131" s="2" t="str">
        <f>VLOOKUP(T_Voluntarios[[#This Row],[RUN]],BBDD[],20,FALSE)</f>
        <v>Alimentación Tradicional</v>
      </c>
      <c r="N131" s="2" t="str">
        <f>VLOOKUP(T_Voluntarios[[#This Row],[RUN]],BBDD[],21,FALSE)</f>
        <v>Ninguna</v>
      </c>
      <c r="O131" s="2" t="str">
        <f>VLOOKUP(T_Voluntarios[[#This Row],[RUN]],BBDD[],22,FALSE)</f>
        <v>Ninguna</v>
      </c>
      <c r="P131" s="2" t="str">
        <f>VLOOKUP(T_Voluntarios[[#This Row],[RUN]],BBDD[],23,FALSE)</f>
        <v>Alberto Rebolledo +56992194516</v>
      </c>
      <c r="Q131" s="2" t="str">
        <f>IF(VLOOKUP(T_Voluntarios[[#This Row],[RUN]],BBDD[],27,FALSE)=0,"",VLOOKUP(T_Voluntarios[[#This Row],[RUN]],BBDD[],27,FALSE))</f>
        <v/>
      </c>
      <c r="R131" s="2" t="str">
        <f>VLOOKUP(T_Voluntarios[[#This Row],[RUN]],BBDD[],36,FALSE)</f>
        <v>https://drive.google.com/open?id=1rkxgv-vkA7K_HoDLoRqaj2CBNKVSkeEH</v>
      </c>
      <c r="S131" s="2" t="str">
        <f>VLOOKUP(T_Voluntarios[[#This Row],[RUN]],BBDD[],16,FALSE)</f>
        <v>Inicial</v>
      </c>
      <c r="T131" s="2" t="str">
        <f>VLOOKUP(T_Voluntarios[[#This Row],[RUN]],BBDD[],17,FALSE)</f>
        <v>Ninguno</v>
      </c>
      <c r="U131" s="2" t="str">
        <f>VLOOKUP(T_Voluntarios[[#This Row],[RUN]],BBDD[],18,FALSE)</f>
        <v>Ninguno</v>
      </c>
      <c r="V131" s="2" t="str">
        <f>VLOOKUP(T_Voluntarios[[#This Row],[RUN]],BBDD[],19,FALSE)</f>
        <v>Ninguno</v>
      </c>
      <c r="W131" s="13" t="str">
        <f>IF(OR(T_Voluntarios[[#This Row],[ROL]]="Formador(a)"),"SI","NO")</f>
        <v>NO</v>
      </c>
      <c r="X131" s="13" t="str">
        <f>IF(ISERROR(VLOOKUP(T_Voluntarios[[#This Row],[RUN]],BBDD_Formadores[],15,FALSE)),"NO",VLOOKUP(T_Voluntarios[[#This Row],[RUN]],BBDD_Formadores[],15,FALSE))</f>
        <v>NO</v>
      </c>
      <c r="Y131" s="13" t="str">
        <f>IF(ISERROR(VLOOKUP(T_Voluntarios[[#This Row],[RUN]],BBDD_Formadores[],16,FALSE)),"NO",VLOOKUP(T_Voluntarios[[#This Row],[RUN]],BBDD_Formadores[],16,FALSE))</f>
        <v>NO</v>
      </c>
      <c r="Z131" s="13" t="str">
        <f>IF(ISERROR(VLOOKUP(T_Voluntarios[[#This Row],[RUN]],BBDD_Formadores[],17,FALSE)),"NO",VLOOKUP(T_Voluntarios[[#This Row],[RUN]],BBDD_Formadores[],17,FALSE))</f>
        <v>NO</v>
      </c>
      <c r="AA131" s="13" t="str">
        <f>IF(ISERROR(VLOOKUP(T_Voluntarios[[#This Row],[RUN]],BBDD_Formadores[],18,FALSE)),"NO",VLOOKUP(T_Voluntarios[[#This Row],[RUN]],BBDD_Formadores[],18,FALSE))</f>
        <v>NO</v>
      </c>
      <c r="AB131" s="13">
        <v>1</v>
      </c>
      <c r="AC131" s="13" t="s">
        <v>1</v>
      </c>
      <c r="AD131" s="13" t="s">
        <v>77</v>
      </c>
      <c r="AF131" s="2" t="str">
        <f>IF(VLOOKUP(T_Voluntarios[[#This Row],[RUN]],BBDD[],25,FALSE)=0,"",VLOOKUP(T_Voluntarios[[#This Row],[RUN]],BBDD[],25,FALSE))</f>
        <v>Pathfinder</v>
      </c>
      <c r="AG131" s="2" t="str">
        <f>IF(VLOOKUP(T_Voluntarios[[#This Row],[RUN]],BBDD[],26,FALSE)=0,"",VLOOKUP(T_Voluntarios[[#This Row],[RUN]],BBDD[],26,FALSE))</f>
        <v>Nissan</v>
      </c>
      <c r="AH131" s="2" t="str">
        <f>IF(VLOOKUP(T_Voluntarios[[#This Row],[RUN]],BBDD[],24,FALSE)=0,"",VLOOKUP(T_Voluntarios[[#This Row],[RUN]],BBDD[],24,FALSE))</f>
        <v>FD CW 60</v>
      </c>
      <c r="AI131" s="13" t="str">
        <f>VLOOKUP(T_Voluntarios[[#This Row],[RUN]],BBDD[],28,FALSE)</f>
        <v>SI</v>
      </c>
      <c r="AJ131" s="13" t="str">
        <f>VLOOKUP(T_Voluntarios[[#This Row],[RUN]],BBDD[],28,FALSE)</f>
        <v>SI</v>
      </c>
      <c r="AK131" s="32">
        <f>IF(T_Voluntarios[[#This Row],[ROL]]="Participante",SUMIFS(T_Cuotas[[#All],[Total]],T_Cuotas[[#All],[RUN]],T_Voluntarios[[#This Row],[RUN]]),-1)</f>
        <v>50000</v>
      </c>
      <c r="AL131" s="13" t="s">
        <v>1</v>
      </c>
      <c r="AM131" s="13" t="s">
        <v>2029</v>
      </c>
      <c r="AP131" s="2" t="str">
        <f>MID(T_Voluntarios[[#This Row],[E_MAIL]],SEARCH("@",T_Voluntarios[[#This Row],[E_MAIL]],1),LEN(T_Voluntarios[[#This Row],[E_MAIL]]))</f>
        <v>@gmail.com</v>
      </c>
      <c r="AQ131" s="13" t="str">
        <f>VLOOKUP(T_Voluntarios[[#This Row],[RUN]],BBDD[],37,FALSE)</f>
        <v>23</v>
      </c>
      <c r="AR131" s="2" t="str">
        <f>VLOOKUP(T_Voluntarios[[#This Row],[RUN]],BBDD[],29,FALSE)</f>
        <v>Estudiante de ingeniería civil industrial</v>
      </c>
      <c r="AS131" s="2" t="str">
        <f>VLOOKUP(T_Voluntarios[[#This Row],[RUN]],BBDD[],30,FALSE)</f>
        <v>13 años</v>
      </c>
      <c r="AT131" s="2" t="str">
        <f>VLOOKUP(T_Voluntarios[[#This Row],[RUN]],BBDD[],31,FALSE)</f>
        <v>2</v>
      </c>
      <c r="AU131" s="2" t="str">
        <f>VLOOKUP(T_Voluntarios[[#This Row],[RUN]],BBDD[],32,FALSE)</f>
        <v>Soltero(a)</v>
      </c>
      <c r="AV131" s="2" t="str">
        <f>VLOOKUP(T_Voluntarios[[#This Row],[RUN]],BBDD[],33,FALSE)</f>
        <v>Ninguna</v>
      </c>
      <c r="AW131" s="2" t="str">
        <f>VLOOKUP(T_Voluntarios[[#This Row],[RUN]],BBDD[],34,FALSE)</f>
        <v>Barbi</v>
      </c>
      <c r="AX131" s="13" t="s">
        <v>733</v>
      </c>
      <c r="AY131" s="76">
        <f>VLOOKUP(T_Voluntarios[[#This Row],[RUN]],BBDD[],2,FALSE)</f>
        <v>45797.549251658951</v>
      </c>
      <c r="AZ131" s="13" t="s">
        <v>3403</v>
      </c>
    </row>
    <row r="132" spans="1:52" x14ac:dyDescent="0.3">
      <c r="A132" s="2" t="s">
        <v>2189</v>
      </c>
      <c r="B132" s="2" t="str">
        <f>VLOOKUP(T_Voluntarios[[#This Row],[RUN]],BBDD[],3,FALSE)</f>
        <v>joseantonio17092003@gmail.com</v>
      </c>
      <c r="C132" s="2" t="str">
        <f>VLOOKUP(T_Voluntarios[[#This Row],[RUN]],BBDD[],4,FALSE)</f>
        <v>José Antonio Poza Pérez</v>
      </c>
      <c r="D132" s="16">
        <f>VLOOKUP(T_Voluntarios[[#This Row],[RUN]],BBDD[],5,FALSE)</f>
        <v>37881</v>
      </c>
      <c r="E132" s="2" t="str">
        <f>VLOOKUP(T_Voluntarios[[#This Row],[RUN]],BBDD[],6,FALSE)</f>
        <v>Eugenio Brito 73</v>
      </c>
      <c r="F132" s="2" t="str">
        <f>VLOOKUP(T_Voluntarios[[#This Row],[RUN]],BBDD[],7,FALSE)</f>
        <v>San Pedro De La Paz</v>
      </c>
      <c r="G132" s="2" t="str">
        <f>VLOOKUP(T_Voluntarios[[#This Row],[RUN]],BBDD[],8,FALSE)</f>
        <v>Celular</v>
      </c>
      <c r="H132" s="2" t="str">
        <f>IF(VLOOKUP(T_Voluntarios[[#This Row],[RUN]],BBDD[],9,FALSE)=0,"Falta",VLOOKUP(T_Voluntarios[[#This Row],[RUN]],BBDD[],9,FALSE))</f>
        <v>+56961559967</v>
      </c>
      <c r="I132" s="2" t="str">
        <f>VLOOKUP(T_Voluntarios[[#This Row],[RUN]],BBDD[],10,FALSE)</f>
        <v>Participante</v>
      </c>
      <c r="J132" s="2" t="str">
        <f>VLOOKUP(T_Voluntarios[[#This Row],[RUN]],BBDD[],11,FALSE)</f>
        <v>Sagrados Corazones</v>
      </c>
      <c r="K132" s="2" t="str">
        <f>VLOOKUP(T_Voluntarios[[#This Row],[RUN]],BBDD[],12,FALSE)</f>
        <v>Lobatos</v>
      </c>
      <c r="L132" s="2" t="str">
        <f>VLOOKUP(T_Voluntarios[[#This Row],[RUN]],BBDD[],15,FALSE)</f>
        <v>Concepción</v>
      </c>
      <c r="M132" s="2" t="str">
        <f>VLOOKUP(T_Voluntarios[[#This Row],[RUN]],BBDD[],20,FALSE)</f>
        <v>Alimentación Tradicional</v>
      </c>
      <c r="N132" s="2" t="str">
        <f>VLOOKUP(T_Voluntarios[[#This Row],[RUN]],BBDD[],21,FALSE)</f>
        <v>Ninguna</v>
      </c>
      <c r="O132" s="2" t="str">
        <f>VLOOKUP(T_Voluntarios[[#This Row],[RUN]],BBDD[],22,FALSE)</f>
        <v>Ninguna</v>
      </c>
      <c r="P132" s="2" t="str">
        <f>VLOOKUP(T_Voluntarios[[#This Row],[RUN]],BBDD[],23,FALSE)</f>
        <v>Guisela Perez 94007236</v>
      </c>
      <c r="Q132" s="2" t="str">
        <f>IF(VLOOKUP(T_Voluntarios[[#This Row],[RUN]],BBDD[],27,FALSE)=0,"",VLOOKUP(T_Voluntarios[[#This Row],[RUN]],BBDD[],27,FALSE))</f>
        <v/>
      </c>
      <c r="R132" s="2" t="str">
        <f>VLOOKUP(T_Voluntarios[[#This Row],[RUN]],BBDD[],36,FALSE)</f>
        <v>https://drive.google.com/open?id=1FlJVrHKFADAlhdKOJ69ObpW_61nGh_0G</v>
      </c>
      <c r="S132" s="2" t="str">
        <f>VLOOKUP(T_Voluntarios[[#This Row],[RUN]],BBDD[],16,FALSE)</f>
        <v>Inicial</v>
      </c>
      <c r="T132" s="2" t="str">
        <f>VLOOKUP(T_Voluntarios[[#This Row],[RUN]],BBDD[],17,FALSE)</f>
        <v>Ninguno</v>
      </c>
      <c r="U132" s="2" t="str">
        <f>VLOOKUP(T_Voluntarios[[#This Row],[RUN]],BBDD[],18,FALSE)</f>
        <v>Ninguno</v>
      </c>
      <c r="V132" s="2" t="str">
        <f>VLOOKUP(T_Voluntarios[[#This Row],[RUN]],BBDD[],19,FALSE)</f>
        <v>Ninguno</v>
      </c>
      <c r="W132" s="13" t="str">
        <f>IF(OR(T_Voluntarios[[#This Row],[ROL]]="Formador(a)"),"SI","NO")</f>
        <v>NO</v>
      </c>
      <c r="X132" s="13" t="str">
        <f>IF(ISERROR(VLOOKUP(T_Voluntarios[[#This Row],[RUN]],BBDD_Formadores[],15,FALSE)),"NO",VLOOKUP(T_Voluntarios[[#This Row],[RUN]],BBDD_Formadores[],15,FALSE))</f>
        <v>NO</v>
      </c>
      <c r="Y132" s="13" t="str">
        <f>IF(ISERROR(VLOOKUP(T_Voluntarios[[#This Row],[RUN]],BBDD_Formadores[],16,FALSE)),"NO",VLOOKUP(T_Voluntarios[[#This Row],[RUN]],BBDD_Formadores[],16,FALSE))</f>
        <v>NO</v>
      </c>
      <c r="Z132" s="13" t="str">
        <f>IF(ISERROR(VLOOKUP(T_Voluntarios[[#This Row],[RUN]],BBDD_Formadores[],17,FALSE)),"NO",VLOOKUP(T_Voluntarios[[#This Row],[RUN]],BBDD_Formadores[],17,FALSE))</f>
        <v>NO</v>
      </c>
      <c r="AA132" s="13" t="str">
        <f>IF(ISERROR(VLOOKUP(T_Voluntarios[[#This Row],[RUN]],BBDD_Formadores[],18,FALSE)),"NO",VLOOKUP(T_Voluntarios[[#This Row],[RUN]],BBDD_Formadores[],18,FALSE))</f>
        <v>NO</v>
      </c>
      <c r="AB132" s="13">
        <v>1</v>
      </c>
      <c r="AC132" s="13" t="s">
        <v>1</v>
      </c>
      <c r="AD132" s="13" t="s">
        <v>77</v>
      </c>
      <c r="AF132" s="2" t="str">
        <f>IF(VLOOKUP(T_Voluntarios[[#This Row],[RUN]],BBDD[],25,FALSE)=0,"",VLOOKUP(T_Voluntarios[[#This Row],[RUN]],BBDD[],25,FALSE))</f>
        <v/>
      </c>
      <c r="AG132" s="2" t="str">
        <f>IF(VLOOKUP(T_Voluntarios[[#This Row],[RUN]],BBDD[],26,FALSE)=0,"",VLOOKUP(T_Voluntarios[[#This Row],[RUN]],BBDD[],26,FALSE))</f>
        <v/>
      </c>
      <c r="AH132" s="2" t="str">
        <f>IF(VLOOKUP(T_Voluntarios[[#This Row],[RUN]],BBDD[],24,FALSE)=0,"",VLOOKUP(T_Voluntarios[[#This Row],[RUN]],BBDD[],24,FALSE))</f>
        <v/>
      </c>
      <c r="AI132" s="13" t="str">
        <f>VLOOKUP(T_Voluntarios[[#This Row],[RUN]],BBDD[],28,FALSE)</f>
        <v>SI</v>
      </c>
      <c r="AJ132" s="13" t="str">
        <f>VLOOKUP(T_Voluntarios[[#This Row],[RUN]],BBDD[],28,FALSE)</f>
        <v>SI</v>
      </c>
      <c r="AK132" s="32">
        <f>IF(T_Voluntarios[[#This Row],[ROL]]="Participante",SUMIFS(T_Cuotas[[#All],[Total]],T_Cuotas[[#All],[RUN]],T_Voluntarios[[#This Row],[RUN]]),-1)</f>
        <v>50000</v>
      </c>
      <c r="AL132" s="13" t="s">
        <v>1</v>
      </c>
      <c r="AM132" s="13" t="s">
        <v>2029</v>
      </c>
      <c r="AP132" s="2" t="str">
        <f>MID(T_Voluntarios[[#This Row],[E_MAIL]],SEARCH("@",T_Voluntarios[[#This Row],[E_MAIL]],1),LEN(T_Voluntarios[[#This Row],[E_MAIL]]))</f>
        <v>@gmail.com</v>
      </c>
      <c r="AQ132" s="13" t="str">
        <f>VLOOKUP(T_Voluntarios[[#This Row],[RUN]],BBDD[],37,FALSE)</f>
        <v>21</v>
      </c>
      <c r="AR132" s="2" t="str">
        <f>VLOOKUP(T_Voluntarios[[#This Row],[RUN]],BBDD[],29,FALSE)</f>
        <v>Estudiante</v>
      </c>
      <c r="AS132" s="2" t="str">
        <f>VLOOKUP(T_Voluntarios[[#This Row],[RUN]],BBDD[],30,FALSE)</f>
        <v>10 años</v>
      </c>
      <c r="AT132" s="2" t="str">
        <f>VLOOKUP(T_Voluntarios[[#This Row],[RUN]],BBDD[],31,FALSE)</f>
        <v>2 años</v>
      </c>
      <c r="AU132" s="2" t="str">
        <f>VLOOKUP(T_Voluntarios[[#This Row],[RUN]],BBDD[],32,FALSE)</f>
        <v>Soltero(a)</v>
      </c>
      <c r="AV132" s="2" t="str">
        <f>VLOOKUP(T_Voluntarios[[#This Row],[RUN]],BBDD[],33,FALSE)</f>
        <v>Catolica</v>
      </c>
      <c r="AW132" s="2" t="str">
        <f>VLOOKUP(T_Voluntarios[[#This Row],[RUN]],BBDD[],34,FALSE)</f>
        <v>José Antonio</v>
      </c>
      <c r="AX132" s="13" t="s">
        <v>733</v>
      </c>
      <c r="AY132" s="76">
        <f>VLOOKUP(T_Voluntarios[[#This Row],[RUN]],BBDD[],2,FALSE)</f>
        <v>45797.588005516976</v>
      </c>
      <c r="AZ132" s="13" t="s">
        <v>3403</v>
      </c>
    </row>
    <row r="133" spans="1:52" ht="14.4" x14ac:dyDescent="0.3">
      <c r="A133" s="2" t="s">
        <v>2227</v>
      </c>
      <c r="B133" s="2" t="str">
        <f>VLOOKUP(T_Voluntarios[[#This Row],[RUN]],BBDD[],3,FALSE)</f>
        <v>martina.araa@gmail.com</v>
      </c>
      <c r="C133" s="2" t="str">
        <f>VLOOKUP(T_Voluntarios[[#This Row],[RUN]],BBDD[],4,FALSE)</f>
        <v>Martina Aravena Rivas</v>
      </c>
      <c r="D133" s="16">
        <f>VLOOKUP(T_Voluntarios[[#This Row],[RUN]],BBDD[],5,FALSE)</f>
        <v>37210</v>
      </c>
      <c r="E133" s="2" t="str">
        <f>VLOOKUP(T_Voluntarios[[#This Row],[RUN]],BBDD[],6,FALSE)</f>
        <v>Balmaceda 36 Villa Cap</v>
      </c>
      <c r="F133" s="2" t="str">
        <f>VLOOKUP(T_Voluntarios[[#This Row],[RUN]],BBDD[],7,FALSE)</f>
        <v>Concepción</v>
      </c>
      <c r="G133" s="2" t="str">
        <f>VLOOKUP(T_Voluntarios[[#This Row],[RUN]],BBDD[],8,FALSE)</f>
        <v>Celular</v>
      </c>
      <c r="H133" s="2" t="str">
        <f>IF(VLOOKUP(T_Voluntarios[[#This Row],[RUN]],BBDD[],9,FALSE)=0,"Falta",VLOOKUP(T_Voluntarios[[#This Row],[RUN]],BBDD[],9,FALSE))</f>
        <v>+56969065236</v>
      </c>
      <c r="I133" s="2" t="str">
        <f>VLOOKUP(T_Voluntarios[[#This Row],[RUN]],BBDD[],10,FALSE)</f>
        <v>Participante</v>
      </c>
      <c r="J133" s="2" t="str">
        <f>VLOOKUP(T_Voluntarios[[#This Row],[RUN]],BBDD[],11,FALSE)</f>
        <v>Peulla</v>
      </c>
      <c r="K133" s="2" t="str">
        <f>VLOOKUP(T_Voluntarios[[#This Row],[RUN]],BBDD[],12,FALSE)</f>
        <v>Lobatos</v>
      </c>
      <c r="L133" s="2" t="str">
        <f>VLOOKUP(T_Voluntarios[[#This Row],[RUN]],BBDD[],15,FALSE)</f>
        <v>Rio Andalién</v>
      </c>
      <c r="M133" s="2" t="str">
        <f>VLOOKUP(T_Voluntarios[[#This Row],[RUN]],BBDD[],20,FALSE)</f>
        <v>Sin Almuerzo</v>
      </c>
      <c r="N133" s="2" t="str">
        <f>VLOOKUP(T_Voluntarios[[#This Row],[RUN]],BBDD[],21,FALSE)</f>
        <v>Ninguna</v>
      </c>
      <c r="O133" s="2" t="str">
        <f>VLOOKUP(T_Voluntarios[[#This Row],[RUN]],BBDD[],22,FALSE)</f>
        <v>Ninguna</v>
      </c>
      <c r="P133" s="2" t="str">
        <f>VLOOKUP(T_Voluntarios[[#This Row],[RUN]],BBDD[],23,FALSE)</f>
        <v>Lorena Rivas 977667284 (mamá)</v>
      </c>
      <c r="Q133" s="2" t="str">
        <f>IF(VLOOKUP(T_Voluntarios[[#This Row],[RUN]],BBDD[],27,FALSE)=0,"",VLOOKUP(T_Voluntarios[[#This Row],[RUN]],BBDD[],27,FALSE))</f>
        <v/>
      </c>
      <c r="R133" s="2" t="str">
        <f>VLOOKUP(T_Voluntarios[[#This Row],[RUN]],BBDD[],36,FALSE)</f>
        <v>https://drive.google.com/open?id=1pweULJandtbKWUyHK6bnba4IUx78wnus</v>
      </c>
      <c r="S133" s="2" t="str">
        <f>VLOOKUP(T_Voluntarios[[#This Row],[RUN]],BBDD[],16,FALSE)</f>
        <v>Inicial</v>
      </c>
      <c r="T133" s="2" t="str">
        <f>VLOOKUP(T_Voluntarios[[#This Row],[RUN]],BBDD[],17,FALSE)</f>
        <v>Ninguno</v>
      </c>
      <c r="U133" s="2" t="str">
        <f>VLOOKUP(T_Voluntarios[[#This Row],[RUN]],BBDD[],18,FALSE)</f>
        <v>Ninguno</v>
      </c>
      <c r="V133" s="2" t="str">
        <f>VLOOKUP(T_Voluntarios[[#This Row],[RUN]],BBDD[],19,FALSE)</f>
        <v>Ninguno</v>
      </c>
      <c r="W133" s="13" t="str">
        <f>IF(OR(T_Voluntarios[[#This Row],[ROL]]="Formador(a)"),"SI","NO")</f>
        <v>NO</v>
      </c>
      <c r="X133" s="13" t="str">
        <f>IF(ISERROR(VLOOKUP(T_Voluntarios[[#This Row],[RUN]],BBDD_Formadores[],15,FALSE)),"NO",VLOOKUP(T_Voluntarios[[#This Row],[RUN]],BBDD_Formadores[],15,FALSE))</f>
        <v>NO</v>
      </c>
      <c r="Y133" s="13" t="str">
        <f>IF(ISERROR(VLOOKUP(T_Voluntarios[[#This Row],[RUN]],BBDD_Formadores[],16,FALSE)),"NO",VLOOKUP(T_Voluntarios[[#This Row],[RUN]],BBDD_Formadores[],16,FALSE))</f>
        <v>NO</v>
      </c>
      <c r="Z133" s="13" t="str">
        <f>IF(ISERROR(VLOOKUP(T_Voluntarios[[#This Row],[RUN]],BBDD_Formadores[],17,FALSE)),"NO",VLOOKUP(T_Voluntarios[[#This Row],[RUN]],BBDD_Formadores[],17,FALSE))</f>
        <v>NO</v>
      </c>
      <c r="AA133" s="13" t="str">
        <f>IF(ISERROR(VLOOKUP(T_Voluntarios[[#This Row],[RUN]],BBDD_Formadores[],18,FALSE)),"NO",VLOOKUP(T_Voluntarios[[#This Row],[RUN]],BBDD_Formadores[],18,FALSE))</f>
        <v>NO</v>
      </c>
      <c r="AB133" s="13">
        <v>1</v>
      </c>
      <c r="AC133" s="13" t="s">
        <v>1597</v>
      </c>
      <c r="AD133" s="13" t="s">
        <v>78</v>
      </c>
      <c r="AF133" s="2" t="str">
        <f>IF(VLOOKUP(T_Voluntarios[[#This Row],[RUN]],BBDD[],25,FALSE)=0,"",VLOOKUP(T_Voluntarios[[#This Row],[RUN]],BBDD[],25,FALSE))</f>
        <v>no tengo</v>
      </c>
      <c r="AG133" s="2" t="str">
        <f>IF(VLOOKUP(T_Voluntarios[[#This Row],[RUN]],BBDD[],26,FALSE)=0,"",VLOOKUP(T_Voluntarios[[#This Row],[RUN]],BBDD[],26,FALSE))</f>
        <v>no tengo</v>
      </c>
      <c r="AH133" s="2" t="str">
        <f>IF(VLOOKUP(T_Voluntarios[[#This Row],[RUN]],BBDD[],24,FALSE)=0,"",VLOOKUP(T_Voluntarios[[#This Row],[RUN]],BBDD[],24,FALSE))</f>
        <v>no tengo</v>
      </c>
      <c r="AI133" s="13" t="str">
        <f>VLOOKUP(T_Voluntarios[[#This Row],[RUN]],BBDD[],28,FALSE)</f>
        <v>No</v>
      </c>
      <c r="AJ133" s="13" t="str">
        <f>VLOOKUP(T_Voluntarios[[#This Row],[RUN]],BBDD[],28,FALSE)</f>
        <v>No</v>
      </c>
      <c r="AK133" s="32">
        <f>IF(T_Voluntarios[[#This Row],[ROL]]="Participante",SUMIFS(T_Cuotas[[#All],[Total]],T_Cuotas[[#All],[RUN]],T_Voluntarios[[#This Row],[RUN]]),-1)</f>
        <v>0</v>
      </c>
      <c r="AL133" s="1" t="s">
        <v>78</v>
      </c>
      <c r="AM133" s="13" t="s">
        <v>733</v>
      </c>
      <c r="AP133" s="2" t="str">
        <f>MID(T_Voluntarios[[#This Row],[E_MAIL]],SEARCH("@",T_Voluntarios[[#This Row],[E_MAIL]],1),LEN(T_Voluntarios[[#This Row],[E_MAIL]]))</f>
        <v>@gmail.com</v>
      </c>
      <c r="AQ133" s="13" t="str">
        <f>VLOOKUP(T_Voluntarios[[#This Row],[RUN]],BBDD[],37,FALSE)</f>
        <v>23</v>
      </c>
      <c r="AR133" s="2" t="str">
        <f>VLOOKUP(T_Voluntarios[[#This Row],[RUN]],BBDD[],29,FALSE)</f>
        <v>Estudiante Medicina Veterinaria</v>
      </c>
      <c r="AS133" s="2" t="str">
        <f>VLOOKUP(T_Voluntarios[[#This Row],[RUN]],BBDD[],30,FALSE)</f>
        <v>7 años</v>
      </c>
      <c r="AT133" s="2" t="str">
        <f>VLOOKUP(T_Voluntarios[[#This Row],[RUN]],BBDD[],31,FALSE)</f>
        <v>3 años</v>
      </c>
      <c r="AU133" s="2" t="str">
        <f>VLOOKUP(T_Voluntarios[[#This Row],[RUN]],BBDD[],32,FALSE)</f>
        <v>Soltero(a)</v>
      </c>
      <c r="AV133" s="2" t="str">
        <f>VLOOKUP(T_Voluntarios[[#This Row],[RUN]],BBDD[],33,FALSE)</f>
        <v>Ninguna</v>
      </c>
      <c r="AW133" s="2" t="str">
        <f>VLOOKUP(T_Voluntarios[[#This Row],[RUN]],BBDD[],34,FALSE)</f>
        <v>Martu</v>
      </c>
      <c r="AX133" s="13" t="s">
        <v>733</v>
      </c>
      <c r="AY133" s="76">
        <f>VLOOKUP(T_Voluntarios[[#This Row],[RUN]],BBDD[],2,FALSE)</f>
        <v>45797.598368055558</v>
      </c>
      <c r="AZ133" s="13" t="s">
        <v>2</v>
      </c>
    </row>
    <row r="134" spans="1:52" x14ac:dyDescent="0.3">
      <c r="A134" s="2" t="s">
        <v>2197</v>
      </c>
      <c r="B134" s="2" t="str">
        <f>VLOOKUP(T_Voluntarios[[#This Row],[RUN]],BBDD[],3,FALSE)</f>
        <v>mancilla.stgo@gmail.com</v>
      </c>
      <c r="C134" s="2" t="str">
        <f>VLOOKUP(T_Voluntarios[[#This Row],[RUN]],BBDD[],4,FALSE)</f>
        <v>Matías Santiago Mancilla Ríos</v>
      </c>
      <c r="D134" s="16">
        <f>VLOOKUP(T_Voluntarios[[#This Row],[RUN]],BBDD[],5,FALSE)</f>
        <v>37201</v>
      </c>
      <c r="E134" s="2" t="str">
        <f>VLOOKUP(T_Voluntarios[[#This Row],[RUN]],BBDD[],6,FALSE)</f>
        <v>pasaje san agustín 411</v>
      </c>
      <c r="F134" s="2" t="str">
        <f>VLOOKUP(T_Voluntarios[[#This Row],[RUN]],BBDD[],7,FALSE)</f>
        <v>Hualpén</v>
      </c>
      <c r="G134" s="2" t="str">
        <f>VLOOKUP(T_Voluntarios[[#This Row],[RUN]],BBDD[],8,FALSE)</f>
        <v>Celular</v>
      </c>
      <c r="H134" s="2" t="str">
        <f>IF(VLOOKUP(T_Voluntarios[[#This Row],[RUN]],BBDD[],9,FALSE)=0,"Falta",VLOOKUP(T_Voluntarios[[#This Row],[RUN]],BBDD[],9,FALSE))</f>
        <v>+56953951030</v>
      </c>
      <c r="I134" s="2" t="str">
        <f>VLOOKUP(T_Voluntarios[[#This Row],[RUN]],BBDD[],10,FALSE)</f>
        <v>Participante</v>
      </c>
      <c r="J134" s="2" t="str">
        <f>VLOOKUP(T_Voluntarios[[#This Row],[RUN]],BBDD[],11,FALSE)</f>
        <v>Santa Cecilia</v>
      </c>
      <c r="K134" s="2" t="str">
        <f>VLOOKUP(T_Voluntarios[[#This Row],[RUN]],BBDD[],12,FALSE)</f>
        <v>Pioneros</v>
      </c>
      <c r="L134" s="2" t="str">
        <f>VLOOKUP(T_Voluntarios[[#This Row],[RUN]],BBDD[],15,FALSE)</f>
        <v>Talcahuano - Hualpén</v>
      </c>
      <c r="M134" s="2" t="str">
        <f>VLOOKUP(T_Voluntarios[[#This Row],[RUN]],BBDD[],20,FALSE)</f>
        <v>Alimentación Tradicional</v>
      </c>
      <c r="N134" s="2" t="str">
        <f>VLOOKUP(T_Voluntarios[[#This Row],[RUN]],BBDD[],21,FALSE)</f>
        <v>Ninguna</v>
      </c>
      <c r="O134" s="2" t="str">
        <f>VLOOKUP(T_Voluntarios[[#This Row],[RUN]],BBDD[],22,FALSE)</f>
        <v>Ninguna</v>
      </c>
      <c r="P134" s="2" t="str">
        <f>VLOOKUP(T_Voluntarios[[#This Row],[RUN]],BBDD[],23,FALSE)</f>
        <v>+56989207116</v>
      </c>
      <c r="Q134" s="2" t="str">
        <f>IF(VLOOKUP(T_Voluntarios[[#This Row],[RUN]],BBDD[],27,FALSE)=0,"",VLOOKUP(T_Voluntarios[[#This Row],[RUN]],BBDD[],27,FALSE))</f>
        <v/>
      </c>
      <c r="R134" s="2" t="str">
        <f>VLOOKUP(T_Voluntarios[[#This Row],[RUN]],BBDD[],36,FALSE)</f>
        <v>https://drive.google.com/open?id=1jZiiNDddyrO2a6JIBTt53jW7cB3uoOg1</v>
      </c>
      <c r="S134" s="2" t="str">
        <f>VLOOKUP(T_Voluntarios[[#This Row],[RUN]],BBDD[],16,FALSE)</f>
        <v>Inicial</v>
      </c>
      <c r="T134" s="2" t="str">
        <f>VLOOKUP(T_Voluntarios[[#This Row],[RUN]],BBDD[],17,FALSE)</f>
        <v>Ninguno</v>
      </c>
      <c r="U134" s="2" t="str">
        <f>VLOOKUP(T_Voluntarios[[#This Row],[RUN]],BBDD[],18,FALSE)</f>
        <v>Ninguno</v>
      </c>
      <c r="V134" s="2" t="str">
        <f>VLOOKUP(T_Voluntarios[[#This Row],[RUN]],BBDD[],19,FALSE)</f>
        <v>Ninguno</v>
      </c>
      <c r="W134" s="13" t="str">
        <f>IF(OR(T_Voluntarios[[#This Row],[ROL]]="Formador(a)"),"SI","NO")</f>
        <v>NO</v>
      </c>
      <c r="X134" s="13" t="str">
        <f>IF(ISERROR(VLOOKUP(T_Voluntarios[[#This Row],[RUN]],BBDD_Formadores[],15,FALSE)),"NO",VLOOKUP(T_Voluntarios[[#This Row],[RUN]],BBDD_Formadores[],15,FALSE))</f>
        <v>NO</v>
      </c>
      <c r="Y134" s="13" t="str">
        <f>IF(ISERROR(VLOOKUP(T_Voluntarios[[#This Row],[RUN]],BBDD_Formadores[],16,FALSE)),"NO",VLOOKUP(T_Voluntarios[[#This Row],[RUN]],BBDD_Formadores[],16,FALSE))</f>
        <v>NO</v>
      </c>
      <c r="Z134" s="13" t="str">
        <f>IF(ISERROR(VLOOKUP(T_Voluntarios[[#This Row],[RUN]],BBDD_Formadores[],17,FALSE)),"NO",VLOOKUP(T_Voluntarios[[#This Row],[RUN]],BBDD_Formadores[],17,FALSE))</f>
        <v>NO</v>
      </c>
      <c r="AA134" s="13" t="str">
        <f>IF(ISERROR(VLOOKUP(T_Voluntarios[[#This Row],[RUN]],BBDD_Formadores[],18,FALSE)),"NO",VLOOKUP(T_Voluntarios[[#This Row],[RUN]],BBDD_Formadores[],18,FALSE))</f>
        <v>NO</v>
      </c>
      <c r="AB134" s="13">
        <v>1</v>
      </c>
      <c r="AC134" s="13" t="s">
        <v>1</v>
      </c>
      <c r="AD134" s="13" t="s">
        <v>77</v>
      </c>
      <c r="AF134" s="2" t="str">
        <f>IF(VLOOKUP(T_Voluntarios[[#This Row],[RUN]],BBDD[],25,FALSE)=0,"",VLOOKUP(T_Voluntarios[[#This Row],[RUN]],BBDD[],25,FALSE))</f>
        <v/>
      </c>
      <c r="AG134" s="2" t="str">
        <f>IF(VLOOKUP(T_Voluntarios[[#This Row],[RUN]],BBDD[],26,FALSE)=0,"",VLOOKUP(T_Voluntarios[[#This Row],[RUN]],BBDD[],26,FALSE))</f>
        <v/>
      </c>
      <c r="AH134" s="2" t="str">
        <f>IF(VLOOKUP(T_Voluntarios[[#This Row],[RUN]],BBDD[],24,FALSE)=0,"",VLOOKUP(T_Voluntarios[[#This Row],[RUN]],BBDD[],24,FALSE))</f>
        <v/>
      </c>
      <c r="AI134" s="13" t="str">
        <f>VLOOKUP(T_Voluntarios[[#This Row],[RUN]],BBDD[],28,FALSE)</f>
        <v>No</v>
      </c>
      <c r="AJ134" s="13" t="str">
        <f>VLOOKUP(T_Voluntarios[[#This Row],[RUN]],BBDD[],28,FALSE)</f>
        <v>No</v>
      </c>
      <c r="AK134" s="32">
        <f>IF(T_Voluntarios[[#This Row],[ROL]]="Participante",SUMIFS(T_Cuotas[[#All],[Total]],T_Cuotas[[#All],[RUN]],T_Voluntarios[[#This Row],[RUN]]),-1)</f>
        <v>50000</v>
      </c>
      <c r="AL134" s="13" t="s">
        <v>1</v>
      </c>
      <c r="AM134" s="13" t="s">
        <v>2029</v>
      </c>
      <c r="AP134" s="2" t="str">
        <f>MID(T_Voluntarios[[#This Row],[E_MAIL]],SEARCH("@",T_Voluntarios[[#This Row],[E_MAIL]],1),LEN(T_Voluntarios[[#This Row],[E_MAIL]]))</f>
        <v>@gmail.com</v>
      </c>
      <c r="AQ134" s="13" t="str">
        <f>VLOOKUP(T_Voluntarios[[#This Row],[RUN]],BBDD[],37,FALSE)</f>
        <v>23</v>
      </c>
      <c r="AR134" s="2" t="str">
        <f>VLOOKUP(T_Voluntarios[[#This Row],[RUN]],BBDD[],29,FALSE)</f>
        <v>Estudiante</v>
      </c>
      <c r="AS134" s="2" t="str">
        <f>VLOOKUP(T_Voluntarios[[#This Row],[RUN]],BBDD[],30,FALSE)</f>
        <v>11 años</v>
      </c>
      <c r="AT134" s="2" t="str">
        <f>VLOOKUP(T_Voluntarios[[#This Row],[RUN]],BBDD[],31,FALSE)</f>
        <v>3 años</v>
      </c>
      <c r="AU134" s="2" t="str">
        <f>VLOOKUP(T_Voluntarios[[#This Row],[RUN]],BBDD[],32,FALSE)</f>
        <v>Soltero(a)</v>
      </c>
      <c r="AV134" s="2" t="str">
        <f>VLOOKUP(T_Voluntarios[[#This Row],[RUN]],BBDD[],33,FALSE)</f>
        <v>Ninguna</v>
      </c>
      <c r="AW134" s="2" t="str">
        <f>VLOOKUP(T_Voluntarios[[#This Row],[RUN]],BBDD[],34,FALSE)</f>
        <v>Santi</v>
      </c>
      <c r="AX134" s="13" t="s">
        <v>733</v>
      </c>
      <c r="AY134" s="76">
        <f>VLOOKUP(T_Voluntarios[[#This Row],[RUN]],BBDD[],2,FALSE)</f>
        <v>45797.601306635799</v>
      </c>
      <c r="AZ134" s="13" t="s">
        <v>3403</v>
      </c>
    </row>
    <row r="135" spans="1:52" x14ac:dyDescent="0.3">
      <c r="A135" s="2" t="s">
        <v>2237</v>
      </c>
      <c r="B135" s="2" t="str">
        <f>VLOOKUP(T_Voluntarios[[#This Row],[RUN]],BBDD[],3,FALSE)</f>
        <v>manuel.borquez29@gmail.com</v>
      </c>
      <c r="C135" s="2" t="str">
        <f>VLOOKUP(T_Voluntarios[[#This Row],[RUN]],BBDD[],4,FALSE)</f>
        <v>Manuel Alejandro Borquez Maluenda</v>
      </c>
      <c r="D135" s="16">
        <f>VLOOKUP(T_Voluntarios[[#This Row],[RUN]],BBDD[],5,FALSE)</f>
        <v>31288</v>
      </c>
      <c r="E135" s="2" t="str">
        <f>VLOOKUP(T_Voluntarios[[#This Row],[RUN]],BBDD[],6,FALSE)</f>
        <v>Pasaje pedro aguirre cerda #20</v>
      </c>
      <c r="F135" s="2" t="str">
        <f>VLOOKUP(T_Voluntarios[[#This Row],[RUN]],BBDD[],7,FALSE)</f>
        <v>Talcahuano</v>
      </c>
      <c r="G135" s="2" t="str">
        <f>VLOOKUP(T_Voluntarios[[#This Row],[RUN]],BBDD[],8,FALSE)</f>
        <v>Celular</v>
      </c>
      <c r="H135" s="2" t="str">
        <f>IF(VLOOKUP(T_Voluntarios[[#This Row],[RUN]],BBDD[],9,FALSE)=0,"Falta",VLOOKUP(T_Voluntarios[[#This Row],[RUN]],BBDD[],9,FALSE))</f>
        <v>+56982295437</v>
      </c>
      <c r="I135" s="2" t="str">
        <f>VLOOKUP(T_Voluntarios[[#This Row],[RUN]],BBDD[],10,FALSE)</f>
        <v>Participante</v>
      </c>
      <c r="J135" s="2" t="str">
        <f>VLOOKUP(T_Voluntarios[[#This Row],[RUN]],BBDD[],11,FALSE)</f>
        <v>Manutara</v>
      </c>
      <c r="K135" s="2" t="str">
        <f>VLOOKUP(T_Voluntarios[[#This Row],[RUN]],BBDD[],12,FALSE)</f>
        <v>Lobatos</v>
      </c>
      <c r="L135" s="2" t="str">
        <f>VLOOKUP(T_Voluntarios[[#This Row],[RUN]],BBDD[],15,FALSE)</f>
        <v>Talcahuano - Hualpén</v>
      </c>
      <c r="M135" s="2" t="str">
        <f>VLOOKUP(T_Voluntarios[[#This Row],[RUN]],BBDD[],20,FALSE)</f>
        <v>Alimentación Tradicional</v>
      </c>
      <c r="N135" s="2" t="str">
        <f>VLOOKUP(T_Voluntarios[[#This Row],[RUN]],BBDD[],21,FALSE)</f>
        <v>Ninguna</v>
      </c>
      <c r="O135" s="2" t="str">
        <f>VLOOKUP(T_Voluntarios[[#This Row],[RUN]],BBDD[],22,FALSE)</f>
        <v>Ninguna</v>
      </c>
      <c r="P135" s="2" t="str">
        <f>VLOOKUP(T_Voluntarios[[#This Row],[RUN]],BBDD[],23,FALSE)</f>
        <v>Evelyn lema #962117917</v>
      </c>
      <c r="Q135" s="2" t="str">
        <f>IF(VLOOKUP(T_Voluntarios[[#This Row],[RUN]],BBDD[],27,FALSE)=0,"",VLOOKUP(T_Voluntarios[[#This Row],[RUN]],BBDD[],27,FALSE))</f>
        <v/>
      </c>
      <c r="R135" s="2" t="str">
        <f>VLOOKUP(T_Voluntarios[[#This Row],[RUN]],BBDD[],36,FALSE)</f>
        <v>https://drive.google.com/open?id=1vRag8QK2kx63WsB7fZRISyKIdpLcyBj4</v>
      </c>
      <c r="S135" s="2" t="str">
        <f>VLOOKUP(T_Voluntarios[[#This Row],[RUN]],BBDD[],16,FALSE)</f>
        <v>Inicial</v>
      </c>
      <c r="T135" s="2" t="str">
        <f>VLOOKUP(T_Voluntarios[[#This Row],[RUN]],BBDD[],17,FALSE)</f>
        <v>Ninguno</v>
      </c>
      <c r="U135" s="2" t="str">
        <f>VLOOKUP(T_Voluntarios[[#This Row],[RUN]],BBDD[],18,FALSE)</f>
        <v>Ninguno</v>
      </c>
      <c r="V135" s="2" t="str">
        <f>VLOOKUP(T_Voluntarios[[#This Row],[RUN]],BBDD[],19,FALSE)</f>
        <v>Ninguno</v>
      </c>
      <c r="W135" s="13" t="str">
        <f>IF(OR(T_Voluntarios[[#This Row],[ROL]]="Formador(a)"),"SI","NO")</f>
        <v>NO</v>
      </c>
      <c r="X135" s="13" t="str">
        <f>IF(ISERROR(VLOOKUP(T_Voluntarios[[#This Row],[RUN]],BBDD_Formadores[],15,FALSE)),"NO",VLOOKUP(T_Voluntarios[[#This Row],[RUN]],BBDD_Formadores[],15,FALSE))</f>
        <v>NO</v>
      </c>
      <c r="Y135" s="13" t="str">
        <f>IF(ISERROR(VLOOKUP(T_Voluntarios[[#This Row],[RUN]],BBDD_Formadores[],16,FALSE)),"NO",VLOOKUP(T_Voluntarios[[#This Row],[RUN]],BBDD_Formadores[],16,FALSE))</f>
        <v>NO</v>
      </c>
      <c r="Z135" s="13" t="str">
        <f>IF(ISERROR(VLOOKUP(T_Voluntarios[[#This Row],[RUN]],BBDD_Formadores[],17,FALSE)),"NO",VLOOKUP(T_Voluntarios[[#This Row],[RUN]],BBDD_Formadores[],17,FALSE))</f>
        <v>NO</v>
      </c>
      <c r="AA135" s="13" t="str">
        <f>IF(ISERROR(VLOOKUP(T_Voluntarios[[#This Row],[RUN]],BBDD_Formadores[],18,FALSE)),"NO",VLOOKUP(T_Voluntarios[[#This Row],[RUN]],BBDD_Formadores[],18,FALSE))</f>
        <v>NO</v>
      </c>
      <c r="AB135" s="13">
        <v>1</v>
      </c>
      <c r="AC135" s="13" t="s">
        <v>1</v>
      </c>
      <c r="AD135" s="13" t="s">
        <v>77</v>
      </c>
      <c r="AF135" s="2" t="str">
        <f>IF(VLOOKUP(T_Voluntarios[[#This Row],[RUN]],BBDD[],25,FALSE)=0,"",VLOOKUP(T_Voluntarios[[#This Row],[RUN]],BBDD[],25,FALSE))</f>
        <v>Suzuki</v>
      </c>
      <c r="AG135" s="2" t="str">
        <f>IF(VLOOKUP(T_Voluntarios[[#This Row],[RUN]],BBDD[],26,FALSE)=0,"",VLOOKUP(T_Voluntarios[[#This Row],[RUN]],BBDD[],26,FALSE))</f>
        <v>Grand Nomade</v>
      </c>
      <c r="AH135" s="2" t="str">
        <f>IF(VLOOKUP(T_Voluntarios[[#This Row],[RUN]],BBDD[],24,FALSE)=0,"",VLOOKUP(T_Voluntarios[[#This Row],[RUN]],BBDD[],24,FALSE))</f>
        <v>Hspj23</v>
      </c>
      <c r="AI135" s="13" t="str">
        <f>VLOOKUP(T_Voluntarios[[#This Row],[RUN]],BBDD[],28,FALSE)</f>
        <v>No</v>
      </c>
      <c r="AJ135" s="13" t="str">
        <f>VLOOKUP(T_Voluntarios[[#This Row],[RUN]],BBDD[],28,FALSE)</f>
        <v>No</v>
      </c>
      <c r="AK135" s="32">
        <f>IF(T_Voluntarios[[#This Row],[ROL]]="Participante",SUMIFS(T_Cuotas[[#All],[Total]],T_Cuotas[[#All],[RUN]],T_Voluntarios[[#This Row],[RUN]]),-1)</f>
        <v>50000</v>
      </c>
      <c r="AL135" s="13" t="s">
        <v>1</v>
      </c>
      <c r="AM135" s="13" t="s">
        <v>2029</v>
      </c>
      <c r="AP135" s="2" t="str">
        <f>MID(T_Voluntarios[[#This Row],[E_MAIL]],SEARCH("@",T_Voluntarios[[#This Row],[E_MAIL]],1),LEN(T_Voluntarios[[#This Row],[E_MAIL]]))</f>
        <v>@gmail.com</v>
      </c>
      <c r="AQ135" s="13" t="str">
        <f>VLOOKUP(T_Voluntarios[[#This Row],[RUN]],BBDD[],37,FALSE)</f>
        <v>39</v>
      </c>
      <c r="AR135" s="2" t="str">
        <f>VLOOKUP(T_Voluntarios[[#This Row],[RUN]],BBDD[],29,FALSE)</f>
        <v>Tecnico mecanicoen mantencion industrial</v>
      </c>
      <c r="AS135" s="2" t="str">
        <f>VLOOKUP(T_Voluntarios[[#This Row],[RUN]],BBDD[],30,FALSE)</f>
        <v>10 años</v>
      </c>
      <c r="AT135" s="2" t="str">
        <f>VLOOKUP(T_Voluntarios[[#This Row],[RUN]],BBDD[],31,FALSE)</f>
        <v>4 años</v>
      </c>
      <c r="AU135" s="2" t="str">
        <f>VLOOKUP(T_Voluntarios[[#This Row],[RUN]],BBDD[],32,FALSE)</f>
        <v>Soltero(a)</v>
      </c>
      <c r="AV135" s="2" t="str">
        <f>VLOOKUP(T_Voluntarios[[#This Row],[RUN]],BBDD[],33,FALSE)</f>
        <v>Ninguna</v>
      </c>
      <c r="AW135" s="2" t="str">
        <f>VLOOKUP(T_Voluntarios[[#This Row],[RUN]],BBDD[],34,FALSE)</f>
        <v>Manu</v>
      </c>
      <c r="AX135" s="13" t="s">
        <v>733</v>
      </c>
      <c r="AY135" s="76">
        <f>VLOOKUP(T_Voluntarios[[#This Row],[RUN]],BBDD[],2,FALSE)</f>
        <v>45797.605543981481</v>
      </c>
      <c r="AZ135" s="13" t="s">
        <v>3403</v>
      </c>
    </row>
    <row r="136" spans="1:52" x14ac:dyDescent="0.3">
      <c r="A136" s="2" t="s">
        <v>2322</v>
      </c>
      <c r="B136" s="2" t="str">
        <f>VLOOKUP(T_Voluntarios[[#This Row],[RUN]],BBDD[],3,FALSE)</f>
        <v>trinity.pfg@gmail.com</v>
      </c>
      <c r="C136" s="2" t="str">
        <f>VLOOKUP(T_Voluntarios[[#This Row],[RUN]],BBDD[],4,FALSE)</f>
        <v>Trinidad Ferrada González</v>
      </c>
      <c r="D136" s="16">
        <f>VLOOKUP(T_Voluntarios[[#This Row],[RUN]],BBDD[],5,FALSE)</f>
        <v>37322</v>
      </c>
      <c r="E136" s="2" t="str">
        <f>VLOOKUP(T_Voluntarios[[#This Row],[RUN]],BBDD[],6,FALSE)</f>
        <v>Chacabuco 1140 dpto 1804, Concepción</v>
      </c>
      <c r="F136" s="2" t="str">
        <f>VLOOKUP(T_Voluntarios[[#This Row],[RUN]],BBDD[],7,FALSE)</f>
        <v>Concepción</v>
      </c>
      <c r="G136" s="2" t="str">
        <f>VLOOKUP(T_Voluntarios[[#This Row],[RUN]],BBDD[],8,FALSE)</f>
        <v>Celular</v>
      </c>
      <c r="H136" s="2" t="str">
        <f>IF(VLOOKUP(T_Voluntarios[[#This Row],[RUN]],BBDD[],9,FALSE)=0,"Falta",VLOOKUP(T_Voluntarios[[#This Row],[RUN]],BBDD[],9,FALSE))</f>
        <v>+56962470347</v>
      </c>
      <c r="I136" s="2" t="str">
        <f>VLOOKUP(T_Voluntarios[[#This Row],[RUN]],BBDD[],10,FALSE)</f>
        <v>Participante</v>
      </c>
      <c r="J136" s="2" t="str">
        <f>VLOOKUP(T_Voluntarios[[#This Row],[RUN]],BBDD[],11,FALSE)</f>
        <v>San Bartolomé</v>
      </c>
      <c r="K136" s="2" t="str">
        <f>VLOOKUP(T_Voluntarios[[#This Row],[RUN]],BBDD[],12,FALSE)</f>
        <v>Caminantes</v>
      </c>
      <c r="L136" s="2" t="str">
        <f>VLOOKUP(T_Voluntarios[[#This Row],[RUN]],BBDD[],15,FALSE)</f>
        <v>Zona Ñuble</v>
      </c>
      <c r="M136" s="2" t="str">
        <f>VLOOKUP(T_Voluntarios[[#This Row],[RUN]],BBDD[],20,FALSE)</f>
        <v>Alimentación Tradicional</v>
      </c>
      <c r="N136" s="2" t="str">
        <f>VLOOKUP(T_Voluntarios[[#This Row],[RUN]],BBDD[],21,FALSE)</f>
        <v>Ninguna</v>
      </c>
      <c r="O136" s="2" t="str">
        <f>VLOOKUP(T_Voluntarios[[#This Row],[RUN]],BBDD[],22,FALSE)</f>
        <v>Ninguna</v>
      </c>
      <c r="P136" s="2" t="str">
        <f>VLOOKUP(T_Voluntarios[[#This Row],[RUN]],BBDD[],23,FALSE)</f>
        <v>Cristian Toledo +569 5473 9415</v>
      </c>
      <c r="Q136" s="2" t="str">
        <f>IF(VLOOKUP(T_Voluntarios[[#This Row],[RUN]],BBDD[],27,FALSE)=0,"",VLOOKUP(T_Voluntarios[[#This Row],[RUN]],BBDD[],27,FALSE))</f>
        <v>Como colaciones seguido, a veces me descompenso. Si ya me siento mareada, algo salado baja el malestar.</v>
      </c>
      <c r="R136" s="2" t="str">
        <f>VLOOKUP(T_Voluntarios[[#This Row],[RUN]],BBDD[],36,FALSE)</f>
        <v>https://drive.google.com/open?id=11HzF0Tjzt7EoA4_veWsxmsife6o-oOea1ozqbsQQQj8</v>
      </c>
      <c r="S136" s="2" t="str">
        <f>VLOOKUP(T_Voluntarios[[#This Row],[RUN]],BBDD[],16,FALSE)</f>
        <v>Inicial</v>
      </c>
      <c r="T136" s="2" t="str">
        <f>VLOOKUP(T_Voluntarios[[#This Row],[RUN]],BBDD[],17,FALSE)</f>
        <v>Ninguno</v>
      </c>
      <c r="U136" s="2" t="str">
        <f>VLOOKUP(T_Voluntarios[[#This Row],[RUN]],BBDD[],18,FALSE)</f>
        <v>Ninguno</v>
      </c>
      <c r="V136" s="2" t="str">
        <f>VLOOKUP(T_Voluntarios[[#This Row],[RUN]],BBDD[],19,FALSE)</f>
        <v>Ninguno</v>
      </c>
      <c r="W136" s="13" t="str">
        <f>IF(OR(T_Voluntarios[[#This Row],[ROL]]="Formador(a)"),"SI","NO")</f>
        <v>NO</v>
      </c>
      <c r="X136" s="13" t="str">
        <f>IF(ISERROR(VLOOKUP(T_Voluntarios[[#This Row],[RUN]],BBDD_Formadores[],15,FALSE)),"NO",VLOOKUP(T_Voluntarios[[#This Row],[RUN]],BBDD_Formadores[],15,FALSE))</f>
        <v>NO</v>
      </c>
      <c r="Y136" s="13" t="str">
        <f>IF(ISERROR(VLOOKUP(T_Voluntarios[[#This Row],[RUN]],BBDD_Formadores[],16,FALSE)),"NO",VLOOKUP(T_Voluntarios[[#This Row],[RUN]],BBDD_Formadores[],16,FALSE))</f>
        <v>NO</v>
      </c>
      <c r="Z136" s="13" t="str">
        <f>IF(ISERROR(VLOOKUP(T_Voluntarios[[#This Row],[RUN]],BBDD_Formadores[],17,FALSE)),"NO",VLOOKUP(T_Voluntarios[[#This Row],[RUN]],BBDD_Formadores[],17,FALSE))</f>
        <v>NO</v>
      </c>
      <c r="AA136" s="13" t="str">
        <f>IF(ISERROR(VLOOKUP(T_Voluntarios[[#This Row],[RUN]],BBDD_Formadores[],18,FALSE)),"NO",VLOOKUP(T_Voluntarios[[#This Row],[RUN]],BBDD_Formadores[],18,FALSE))</f>
        <v>NO</v>
      </c>
      <c r="AB136" s="13">
        <v>1</v>
      </c>
      <c r="AC136" s="13" t="s">
        <v>1</v>
      </c>
      <c r="AD136" s="13" t="s">
        <v>77</v>
      </c>
      <c r="AF136" s="2" t="str">
        <f>IF(VLOOKUP(T_Voluntarios[[#This Row],[RUN]],BBDD[],25,FALSE)=0,"",VLOOKUP(T_Voluntarios[[#This Row],[RUN]],BBDD[],25,FALSE))</f>
        <v/>
      </c>
      <c r="AG136" s="2" t="str">
        <f>IF(VLOOKUP(T_Voluntarios[[#This Row],[RUN]],BBDD[],26,FALSE)=0,"",VLOOKUP(T_Voluntarios[[#This Row],[RUN]],BBDD[],26,FALSE))</f>
        <v/>
      </c>
      <c r="AH136" s="2" t="str">
        <f>IF(VLOOKUP(T_Voluntarios[[#This Row],[RUN]],BBDD[],24,FALSE)=0,"",VLOOKUP(T_Voluntarios[[#This Row],[RUN]],BBDD[],24,FALSE))</f>
        <v/>
      </c>
      <c r="AI136" s="13" t="str">
        <f>VLOOKUP(T_Voluntarios[[#This Row],[RUN]],BBDD[],28,FALSE)</f>
        <v>SI</v>
      </c>
      <c r="AJ136" s="13" t="str">
        <f>VLOOKUP(T_Voluntarios[[#This Row],[RUN]],BBDD[],28,FALSE)</f>
        <v>SI</v>
      </c>
      <c r="AK136" s="32">
        <f>IF(T_Voluntarios[[#This Row],[ROL]]="Participante",SUMIFS(T_Cuotas[[#All],[Total]],T_Cuotas[[#All],[RUN]],T_Voluntarios[[#This Row],[RUN]]),-1)</f>
        <v>50000</v>
      </c>
      <c r="AL136" s="13" t="s">
        <v>1</v>
      </c>
      <c r="AM136" s="13" t="s">
        <v>2029</v>
      </c>
      <c r="AP136" s="2" t="str">
        <f>MID(T_Voluntarios[[#This Row],[E_MAIL]],SEARCH("@",T_Voluntarios[[#This Row],[E_MAIL]],1),LEN(T_Voluntarios[[#This Row],[E_MAIL]]))</f>
        <v>@gmail.com</v>
      </c>
      <c r="AQ136" s="13" t="str">
        <f>VLOOKUP(T_Voluntarios[[#This Row],[RUN]],BBDD[],37,FALSE)</f>
        <v>23</v>
      </c>
      <c r="AR136" s="2" t="str">
        <f>VLOOKUP(T_Voluntarios[[#This Row],[RUN]],BBDD[],29,FALSE)</f>
        <v>Estudiante arquitectura</v>
      </c>
      <c r="AS136" s="2" t="str">
        <f>VLOOKUP(T_Voluntarios[[#This Row],[RUN]],BBDD[],30,FALSE)</f>
        <v>No fui beneficiaria</v>
      </c>
      <c r="AT136" s="2" t="str">
        <f>VLOOKUP(T_Voluntarios[[#This Row],[RUN]],BBDD[],31,FALSE)</f>
        <v>5 años (otras act fuera del movimiento)</v>
      </c>
      <c r="AU136" s="2" t="str">
        <f>VLOOKUP(T_Voluntarios[[#This Row],[RUN]],BBDD[],32,FALSE)</f>
        <v>Soltero(a)</v>
      </c>
      <c r="AV136" s="2" t="str">
        <f>VLOOKUP(T_Voluntarios[[#This Row],[RUN]],BBDD[],33,FALSE)</f>
        <v>Católica</v>
      </c>
      <c r="AW136" s="2" t="str">
        <f>VLOOKUP(T_Voluntarios[[#This Row],[RUN]],BBDD[],34,FALSE)</f>
        <v>Trini</v>
      </c>
      <c r="AX136" s="13" t="s">
        <v>733</v>
      </c>
      <c r="AY136" s="76">
        <f>VLOOKUP(T_Voluntarios[[#This Row],[RUN]],BBDD[],2,FALSE)</f>
        <v>45797.609231134258</v>
      </c>
      <c r="AZ136" s="13" t="s">
        <v>3403</v>
      </c>
    </row>
    <row r="137" spans="1:52" x14ac:dyDescent="0.3">
      <c r="A137" s="2" t="s">
        <v>2204</v>
      </c>
      <c r="B137" s="2" t="str">
        <f>VLOOKUP(T_Voluntarios[[#This Row],[RUN]],BBDD[],3,FALSE)</f>
        <v>fsalas067@gmail.com</v>
      </c>
      <c r="C137" s="2" t="str">
        <f>VLOOKUP(T_Voluntarios[[#This Row],[RUN]],BBDD[],4,FALSE)</f>
        <v>Fernanda Isidora Salas Perez</v>
      </c>
      <c r="D137" s="16">
        <f>VLOOKUP(T_Voluntarios[[#This Row],[RUN]],BBDD[],5,FALSE)</f>
        <v>37586</v>
      </c>
      <c r="E137" s="2" t="str">
        <f>VLOOKUP(T_Voluntarios[[#This Row],[RUN]],BBDD[],6,FALSE)</f>
        <v>Marco del pont 9514</v>
      </c>
      <c r="F137" s="2" t="str">
        <f>VLOOKUP(T_Voluntarios[[#This Row],[RUN]],BBDD[],7,FALSE)</f>
        <v>Hualpén</v>
      </c>
      <c r="G137" s="2" t="str">
        <f>VLOOKUP(T_Voluntarios[[#This Row],[RUN]],BBDD[],8,FALSE)</f>
        <v>Celular</v>
      </c>
      <c r="H137" s="2" t="str">
        <f>IF(VLOOKUP(T_Voluntarios[[#This Row],[RUN]],BBDD[],9,FALSE)=0,"Falta",VLOOKUP(T_Voluntarios[[#This Row],[RUN]],BBDD[],9,FALSE))</f>
        <v>+56945300995</v>
      </c>
      <c r="I137" s="2" t="str">
        <f>VLOOKUP(T_Voluntarios[[#This Row],[RUN]],BBDD[],10,FALSE)</f>
        <v>Participante</v>
      </c>
      <c r="J137" s="2" t="str">
        <f>VLOOKUP(T_Voluntarios[[#This Row],[RUN]],BBDD[],11,FALSE)</f>
        <v>Sagrados Corazones</v>
      </c>
      <c r="K137" s="2" t="str">
        <f>VLOOKUP(T_Voluntarios[[#This Row],[RUN]],BBDD[],12,FALSE)</f>
        <v>Lobatos</v>
      </c>
      <c r="L137" s="2" t="str">
        <f>VLOOKUP(T_Voluntarios[[#This Row],[RUN]],BBDD[],15,FALSE)</f>
        <v>Concepción</v>
      </c>
      <c r="M137" s="2" t="str">
        <f>VLOOKUP(T_Voluntarios[[#This Row],[RUN]],BBDD[],20,FALSE)</f>
        <v>Alimentación Tradicional</v>
      </c>
      <c r="N137" s="2" t="str">
        <f>VLOOKUP(T_Voluntarios[[#This Row],[RUN]],BBDD[],21,FALSE)</f>
        <v>Ninguna</v>
      </c>
      <c r="O137" s="2" t="str">
        <f>VLOOKUP(T_Voluntarios[[#This Row],[RUN]],BBDD[],22,FALSE)</f>
        <v>Ninguna</v>
      </c>
      <c r="P137" s="2" t="str">
        <f>VLOOKUP(T_Voluntarios[[#This Row],[RUN]],BBDD[],23,FALSE)</f>
        <v>Sandra Perez 923921089</v>
      </c>
      <c r="Q137" s="2" t="str">
        <f>IF(VLOOKUP(T_Voluntarios[[#This Row],[RUN]],BBDD[],27,FALSE)=0,"",VLOOKUP(T_Voluntarios[[#This Row],[RUN]],BBDD[],27,FALSE))</f>
        <v/>
      </c>
      <c r="R137" s="2" t="str">
        <f>VLOOKUP(T_Voluntarios[[#This Row],[RUN]],BBDD[],36,FALSE)</f>
        <v>https://drive.google.com/open?id=16j6JKOXlYxYPF2o4BxbQnJr_pSLz3rn1</v>
      </c>
      <c r="S137" s="2" t="str">
        <f>VLOOKUP(T_Voluntarios[[#This Row],[RUN]],BBDD[],16,FALSE)</f>
        <v>Inicial</v>
      </c>
      <c r="T137" s="2" t="str">
        <f>VLOOKUP(T_Voluntarios[[#This Row],[RUN]],BBDD[],17,FALSE)</f>
        <v>Ninguno</v>
      </c>
      <c r="U137" s="2" t="str">
        <f>VLOOKUP(T_Voluntarios[[#This Row],[RUN]],BBDD[],18,FALSE)</f>
        <v>Ninguno</v>
      </c>
      <c r="V137" s="2" t="str">
        <f>VLOOKUP(T_Voluntarios[[#This Row],[RUN]],BBDD[],19,FALSE)</f>
        <v>Ninguno</v>
      </c>
      <c r="W137" s="13" t="str">
        <f>IF(OR(T_Voluntarios[[#This Row],[ROL]]="Formador(a)"),"SI","NO")</f>
        <v>NO</v>
      </c>
      <c r="X137" s="13" t="str">
        <f>IF(ISERROR(VLOOKUP(T_Voluntarios[[#This Row],[RUN]],BBDD_Formadores[],15,FALSE)),"NO",VLOOKUP(T_Voluntarios[[#This Row],[RUN]],BBDD_Formadores[],15,FALSE))</f>
        <v>NO</v>
      </c>
      <c r="Y137" s="13" t="str">
        <f>IF(ISERROR(VLOOKUP(T_Voluntarios[[#This Row],[RUN]],BBDD_Formadores[],16,FALSE)),"NO",VLOOKUP(T_Voluntarios[[#This Row],[RUN]],BBDD_Formadores[],16,FALSE))</f>
        <v>NO</v>
      </c>
      <c r="Z137" s="13" t="str">
        <f>IF(ISERROR(VLOOKUP(T_Voluntarios[[#This Row],[RUN]],BBDD_Formadores[],17,FALSE)),"NO",VLOOKUP(T_Voluntarios[[#This Row],[RUN]],BBDD_Formadores[],17,FALSE))</f>
        <v>NO</v>
      </c>
      <c r="AA137" s="13" t="str">
        <f>IF(ISERROR(VLOOKUP(T_Voluntarios[[#This Row],[RUN]],BBDD_Formadores[],18,FALSE)),"NO",VLOOKUP(T_Voluntarios[[#This Row],[RUN]],BBDD_Formadores[],18,FALSE))</f>
        <v>NO</v>
      </c>
      <c r="AB137" s="13">
        <v>1</v>
      </c>
      <c r="AC137" s="13" t="s">
        <v>1</v>
      </c>
      <c r="AD137" s="13" t="s">
        <v>77</v>
      </c>
      <c r="AF137" s="2" t="str">
        <f>IF(VLOOKUP(T_Voluntarios[[#This Row],[RUN]],BBDD[],25,FALSE)=0,"",VLOOKUP(T_Voluntarios[[#This Row],[RUN]],BBDD[],25,FALSE))</f>
        <v/>
      </c>
      <c r="AG137" s="2" t="str">
        <f>IF(VLOOKUP(T_Voluntarios[[#This Row],[RUN]],BBDD[],26,FALSE)=0,"",VLOOKUP(T_Voluntarios[[#This Row],[RUN]],BBDD[],26,FALSE))</f>
        <v/>
      </c>
      <c r="AH137" s="2" t="str">
        <f>IF(VLOOKUP(T_Voluntarios[[#This Row],[RUN]],BBDD[],24,FALSE)=0,"",VLOOKUP(T_Voluntarios[[#This Row],[RUN]],BBDD[],24,FALSE))</f>
        <v/>
      </c>
      <c r="AI137" s="13" t="str">
        <f>VLOOKUP(T_Voluntarios[[#This Row],[RUN]],BBDD[],28,FALSE)</f>
        <v>SI</v>
      </c>
      <c r="AJ137" s="13" t="str">
        <f>VLOOKUP(T_Voluntarios[[#This Row],[RUN]],BBDD[],28,FALSE)</f>
        <v>SI</v>
      </c>
      <c r="AK137" s="32">
        <f>IF(T_Voluntarios[[#This Row],[ROL]]="Participante",SUMIFS(T_Cuotas[[#All],[Total]],T_Cuotas[[#All],[RUN]],T_Voluntarios[[#This Row],[RUN]]),-1)</f>
        <v>50000</v>
      </c>
      <c r="AL137" s="13" t="s">
        <v>1</v>
      </c>
      <c r="AM137" s="13" t="s">
        <v>2029</v>
      </c>
      <c r="AP137" s="2" t="str">
        <f>MID(T_Voluntarios[[#This Row],[E_MAIL]],SEARCH("@",T_Voluntarios[[#This Row],[E_MAIL]],1),LEN(T_Voluntarios[[#This Row],[E_MAIL]]))</f>
        <v>@gmail.com</v>
      </c>
      <c r="AQ137" s="13" t="str">
        <f>VLOOKUP(T_Voluntarios[[#This Row],[RUN]],BBDD[],37,FALSE)</f>
        <v>22</v>
      </c>
      <c r="AR137" s="2" t="str">
        <f>VLOOKUP(T_Voluntarios[[#This Row],[RUN]],BBDD[],29,FALSE)</f>
        <v>Estudiante</v>
      </c>
      <c r="AS137" s="2" t="str">
        <f>VLOOKUP(T_Voluntarios[[#This Row],[RUN]],BBDD[],30,FALSE)</f>
        <v>12 años</v>
      </c>
      <c r="AT137" s="2" t="str">
        <f>VLOOKUP(T_Voluntarios[[#This Row],[RUN]],BBDD[],31,FALSE)</f>
        <v>2 años</v>
      </c>
      <c r="AU137" s="2" t="str">
        <f>VLOOKUP(T_Voluntarios[[#This Row],[RUN]],BBDD[],32,FALSE)</f>
        <v>Soltero(a)</v>
      </c>
      <c r="AV137" s="2" t="str">
        <f>VLOOKUP(T_Voluntarios[[#This Row],[RUN]],BBDD[],33,FALSE)</f>
        <v>Ninguna</v>
      </c>
      <c r="AW137" s="2" t="str">
        <f>VLOOKUP(T_Voluntarios[[#This Row],[RUN]],BBDD[],34,FALSE)</f>
        <v>Feña</v>
      </c>
      <c r="AX137" s="13" t="s">
        <v>733</v>
      </c>
      <c r="AY137" s="76">
        <f>VLOOKUP(T_Voluntarios[[#This Row],[RUN]],BBDD[],2,FALSE)</f>
        <v>45797.626599151234</v>
      </c>
      <c r="AZ137" s="13" t="s">
        <v>3403</v>
      </c>
    </row>
    <row r="138" spans="1:52" x14ac:dyDescent="0.3">
      <c r="A138" s="2" t="s">
        <v>2289</v>
      </c>
      <c r="B138" s="2" t="str">
        <f>VLOOKUP(T_Voluntarios[[#This Row],[RUN]],BBDD[],3,FALSE)</f>
        <v>glorita_021@hotmail.com</v>
      </c>
      <c r="C138" s="2" t="str">
        <f>VLOOKUP(T_Voluntarios[[#This Row],[RUN]],BBDD[],4,FALSE)</f>
        <v>Gloria Stephanie Olave Zagal</v>
      </c>
      <c r="D138" s="16">
        <f>VLOOKUP(T_Voluntarios[[#This Row],[RUN]],BBDD[],5,FALSE)</f>
        <v>31299</v>
      </c>
      <c r="E138" s="2" t="str">
        <f>VLOOKUP(T_Voluntarios[[#This Row],[RUN]],BBDD[],6,FALSE)</f>
        <v>MINERO JOSE SANTO BELLO 1115 LA PEÑA 2</v>
      </c>
      <c r="F138" s="2" t="str">
        <f>VLOOKUP(T_Voluntarios[[#This Row],[RUN]],BBDD[],7,FALSE)</f>
        <v>Coronel</v>
      </c>
      <c r="G138" s="2" t="str">
        <f>VLOOKUP(T_Voluntarios[[#This Row],[RUN]],BBDD[],8,FALSE)</f>
        <v>Celular</v>
      </c>
      <c r="H138" s="2" t="str">
        <f>IF(VLOOKUP(T_Voluntarios[[#This Row],[RUN]],BBDD[],9,FALSE)=0,"Falta",VLOOKUP(T_Voluntarios[[#This Row],[RUN]],BBDD[],9,FALSE))</f>
        <v>+56975756741</v>
      </c>
      <c r="I138" s="2" t="str">
        <f>VLOOKUP(T_Voluntarios[[#This Row],[RUN]],BBDD[],10,FALSE)</f>
        <v>Participante</v>
      </c>
      <c r="J138" s="2" t="str">
        <f>VLOOKUP(T_Voluntarios[[#This Row],[RUN]],BBDD[],11,FALSE)</f>
        <v>Tricolor Chileno</v>
      </c>
      <c r="K138" s="2" t="str">
        <f>VLOOKUP(T_Voluntarios[[#This Row],[RUN]],BBDD[],12,FALSE)</f>
        <v>Golondrinas</v>
      </c>
      <c r="L138" s="2" t="str">
        <f>VLOOKUP(T_Voluntarios[[#This Row],[RUN]],BBDD[],15,FALSE)</f>
        <v>Nahuelbuta</v>
      </c>
      <c r="M138" s="2" t="str">
        <f>VLOOKUP(T_Voluntarios[[#This Row],[RUN]],BBDD[],20,FALSE)</f>
        <v>Alimentación Tradicional</v>
      </c>
      <c r="N138" s="2" t="str">
        <f>VLOOKUP(T_Voluntarios[[#This Row],[RUN]],BBDD[],21,FALSE)</f>
        <v>Ninguna</v>
      </c>
      <c r="O138" s="2" t="str">
        <f>VLOOKUP(T_Voluntarios[[#This Row],[RUN]],BBDD[],22,FALSE)</f>
        <v>Ninguna</v>
      </c>
      <c r="P138" s="2" t="str">
        <f>VLOOKUP(T_Voluntarios[[#This Row],[RUN]],BBDD[],23,FALSE)</f>
        <v>NORA ZAGAL +56998201717</v>
      </c>
      <c r="Q138" s="2" t="str">
        <f>IF(VLOOKUP(T_Voluntarios[[#This Row],[RUN]],BBDD[],27,FALSE)=0,"",VLOOKUP(T_Voluntarios[[#This Row],[RUN]],BBDD[],27,FALSE))</f>
        <v/>
      </c>
      <c r="R138" s="2" t="str">
        <f>VLOOKUP(T_Voluntarios[[#This Row],[RUN]],BBDD[],36,FALSE)</f>
        <v>https://drive.google.com/open?id=1pYZB2QOEeGxynhIH3_k7fMDv3b6ffrsi</v>
      </c>
      <c r="S138" s="2" t="str">
        <f>VLOOKUP(T_Voluntarios[[#This Row],[RUN]],BBDD[],16,FALSE)</f>
        <v>Inicial</v>
      </c>
      <c r="T138" s="2" t="str">
        <f>VLOOKUP(T_Voluntarios[[#This Row],[RUN]],BBDD[],17,FALSE)</f>
        <v>Ninguno</v>
      </c>
      <c r="U138" s="2" t="str">
        <f>VLOOKUP(T_Voluntarios[[#This Row],[RUN]],BBDD[],18,FALSE)</f>
        <v>Ninguno</v>
      </c>
      <c r="V138" s="2" t="str">
        <f>VLOOKUP(T_Voluntarios[[#This Row],[RUN]],BBDD[],19,FALSE)</f>
        <v>Ninguno</v>
      </c>
      <c r="W138" s="13" t="str">
        <f>IF(OR(T_Voluntarios[[#This Row],[ROL]]="Formador(a)"),"SI","NO")</f>
        <v>NO</v>
      </c>
      <c r="X138" s="13" t="str">
        <f>IF(ISERROR(VLOOKUP(T_Voluntarios[[#This Row],[RUN]],BBDD_Formadores[],15,FALSE)),"NO",VLOOKUP(T_Voluntarios[[#This Row],[RUN]],BBDD_Formadores[],15,FALSE))</f>
        <v>NO</v>
      </c>
      <c r="Y138" s="13" t="str">
        <f>IF(ISERROR(VLOOKUP(T_Voluntarios[[#This Row],[RUN]],BBDD_Formadores[],16,FALSE)),"NO",VLOOKUP(T_Voluntarios[[#This Row],[RUN]],BBDD_Formadores[],16,FALSE))</f>
        <v>NO</v>
      </c>
      <c r="Z138" s="13" t="str">
        <f>IF(ISERROR(VLOOKUP(T_Voluntarios[[#This Row],[RUN]],BBDD_Formadores[],17,FALSE)),"NO",VLOOKUP(T_Voluntarios[[#This Row],[RUN]],BBDD_Formadores[],17,FALSE))</f>
        <v>NO</v>
      </c>
      <c r="AA138" s="13" t="str">
        <f>IF(ISERROR(VLOOKUP(T_Voluntarios[[#This Row],[RUN]],BBDD_Formadores[],18,FALSE)),"NO",VLOOKUP(T_Voluntarios[[#This Row],[RUN]],BBDD_Formadores[],18,FALSE))</f>
        <v>NO</v>
      </c>
      <c r="AB138" s="13">
        <v>1</v>
      </c>
      <c r="AC138" s="13" t="s">
        <v>1</v>
      </c>
      <c r="AD138" s="13" t="s">
        <v>77</v>
      </c>
      <c r="AF138" s="2" t="str">
        <f>IF(VLOOKUP(T_Voluntarios[[#This Row],[RUN]],BBDD[],25,FALSE)=0,"",VLOOKUP(T_Voluntarios[[#This Row],[RUN]],BBDD[],25,FALSE))</f>
        <v/>
      </c>
      <c r="AG138" s="2" t="str">
        <f>IF(VLOOKUP(T_Voluntarios[[#This Row],[RUN]],BBDD[],26,FALSE)=0,"",VLOOKUP(T_Voluntarios[[#This Row],[RUN]],BBDD[],26,FALSE))</f>
        <v/>
      </c>
      <c r="AH138" s="2" t="str">
        <f>IF(VLOOKUP(T_Voluntarios[[#This Row],[RUN]],BBDD[],24,FALSE)=0,"",VLOOKUP(T_Voluntarios[[#This Row],[RUN]],BBDD[],24,FALSE))</f>
        <v/>
      </c>
      <c r="AI138" s="13" t="str">
        <f>VLOOKUP(T_Voluntarios[[#This Row],[RUN]],BBDD[],28,FALSE)</f>
        <v>SI</v>
      </c>
      <c r="AJ138" s="13" t="str">
        <f>VLOOKUP(T_Voluntarios[[#This Row],[RUN]],BBDD[],28,FALSE)</f>
        <v>SI</v>
      </c>
      <c r="AK138" s="32">
        <f>IF(T_Voluntarios[[#This Row],[ROL]]="Participante",SUMIFS(T_Cuotas[[#All],[Total]],T_Cuotas[[#All],[RUN]],T_Voluntarios[[#This Row],[RUN]]),-1)</f>
        <v>50000</v>
      </c>
      <c r="AL138" s="13" t="s">
        <v>1</v>
      </c>
      <c r="AM138" s="13" t="s">
        <v>2029</v>
      </c>
      <c r="AP138" s="2" t="str">
        <f>MID(T_Voluntarios[[#This Row],[E_MAIL]],SEARCH("@",T_Voluntarios[[#This Row],[E_MAIL]],1),LEN(T_Voluntarios[[#This Row],[E_MAIL]]))</f>
        <v>@hotmail.com</v>
      </c>
      <c r="AQ138" s="13" t="str">
        <f>VLOOKUP(T_Voluntarios[[#This Row],[RUN]],BBDD[],37,FALSE)</f>
        <v>39</v>
      </c>
      <c r="AR138" s="2" t="str">
        <f>VLOOKUP(T_Voluntarios[[#This Row],[RUN]],BBDD[],29,FALSE)</f>
        <v>TEC. EN ENFERMERIA</v>
      </c>
      <c r="AS138" s="2" t="str">
        <f>VLOOKUP(T_Voluntarios[[#This Row],[RUN]],BBDD[],30,FALSE)</f>
        <v>0</v>
      </c>
      <c r="AT138" s="2" t="str">
        <f>VLOOKUP(T_Voluntarios[[#This Row],[RUN]],BBDD[],31,FALSE)</f>
        <v>0</v>
      </c>
      <c r="AU138" s="2" t="str">
        <f>VLOOKUP(T_Voluntarios[[#This Row],[RUN]],BBDD[],32,FALSE)</f>
        <v>Casado(a)</v>
      </c>
      <c r="AV138" s="2" t="str">
        <f>VLOOKUP(T_Voluntarios[[#This Row],[RUN]],BBDD[],33,FALSE)</f>
        <v>Ninguna</v>
      </c>
      <c r="AW138" s="2" t="str">
        <f>VLOOKUP(T_Voluntarios[[#This Row],[RUN]],BBDD[],34,FALSE)</f>
        <v>GLORIA</v>
      </c>
      <c r="AX138" s="13" t="s">
        <v>733</v>
      </c>
      <c r="AY138" s="76">
        <f>VLOOKUP(T_Voluntarios[[#This Row],[RUN]],BBDD[],2,FALSE)</f>
        <v>45797.632083294753</v>
      </c>
      <c r="AZ138" s="13" t="s">
        <v>3403</v>
      </c>
    </row>
    <row r="139" spans="1:52" x14ac:dyDescent="0.3">
      <c r="A139" s="2" t="s">
        <v>2346</v>
      </c>
      <c r="B139" s="2" t="str">
        <f>VLOOKUP(T_Voluntarios[[#This Row],[RUN]],BBDD[],3,FALSE)</f>
        <v>lucasfernandez1314@gmail.com</v>
      </c>
      <c r="C139" s="2" t="str">
        <f>VLOOKUP(T_Voluntarios[[#This Row],[RUN]],BBDD[],4,FALSE)</f>
        <v>Lucas Alfredo Fernández Vega</v>
      </c>
      <c r="D139" s="16">
        <f>VLOOKUP(T_Voluntarios[[#This Row],[RUN]],BBDD[],5,FALSE)</f>
        <v>38179</v>
      </c>
      <c r="E139" s="2" t="str">
        <f>VLOOKUP(T_Voluntarios[[#This Row],[RUN]],BBDD[],6,FALSE)</f>
        <v>Alcazar 2378, Villa Barcelona, Chillán</v>
      </c>
      <c r="F139" s="2" t="str">
        <f>VLOOKUP(T_Voluntarios[[#This Row],[RUN]],BBDD[],7,FALSE)</f>
        <v>Chillán</v>
      </c>
      <c r="G139" s="2" t="str">
        <f>VLOOKUP(T_Voluntarios[[#This Row],[RUN]],BBDD[],8,FALSE)</f>
        <v>Celular</v>
      </c>
      <c r="H139" s="2" t="str">
        <f>IF(VLOOKUP(T_Voluntarios[[#This Row],[RUN]],BBDD[],9,FALSE)=0,"Falta",VLOOKUP(T_Voluntarios[[#This Row],[RUN]],BBDD[],9,FALSE))</f>
        <v>+56933979124</v>
      </c>
      <c r="I139" s="2" t="str">
        <f>VLOOKUP(T_Voluntarios[[#This Row],[RUN]],BBDD[],10,FALSE)</f>
        <v>Participante</v>
      </c>
      <c r="J139" s="2" t="str">
        <f>VLOOKUP(T_Voluntarios[[#This Row],[RUN]],BBDD[],11,FALSE)</f>
        <v>San Bartolomé</v>
      </c>
      <c r="K139" s="2" t="str">
        <f>VLOOKUP(T_Voluntarios[[#This Row],[RUN]],BBDD[],12,FALSE)</f>
        <v>Pioneros</v>
      </c>
      <c r="L139" s="2" t="str">
        <f>VLOOKUP(T_Voluntarios[[#This Row],[RUN]],BBDD[],15,FALSE)</f>
        <v>Zona Ñuble</v>
      </c>
      <c r="M139" s="2" t="str">
        <f>VLOOKUP(T_Voluntarios[[#This Row],[RUN]],BBDD[],20,FALSE)</f>
        <v>Sin Almuerzo</v>
      </c>
      <c r="N139" s="2" t="str">
        <f>VLOOKUP(T_Voluntarios[[#This Row],[RUN]],BBDD[],21,FALSE)</f>
        <v>Alergia Al pasto</v>
      </c>
      <c r="O139" s="2" t="str">
        <f>VLOOKUP(T_Voluntarios[[#This Row],[RUN]],BBDD[],22,FALSE)</f>
        <v>Ninguna</v>
      </c>
      <c r="P139" s="2" t="str">
        <f>VLOOKUP(T_Voluntarios[[#This Row],[RUN]],BBDD[],23,FALSE)</f>
        <v>Carolina Vega +56 9 5603 0526</v>
      </c>
      <c r="Q139" s="2" t="str">
        <f>IF(VLOOKUP(T_Voluntarios[[#This Row],[RUN]],BBDD[],27,FALSE)=0,"",VLOOKUP(T_Voluntarios[[#This Row],[RUN]],BBDD[],27,FALSE))</f>
        <v/>
      </c>
      <c r="R139" s="2" t="str">
        <f>VLOOKUP(T_Voluntarios[[#This Row],[RUN]],BBDD[],36,FALSE)</f>
        <v>https://drive.google.com/open?id=1zhh4UDM_Ud_M2pLOK-2MfMrb6W-ueJ-b</v>
      </c>
      <c r="S139" s="2" t="str">
        <f>VLOOKUP(T_Voluntarios[[#This Row],[RUN]],BBDD[],16,FALSE)</f>
        <v>Inicial</v>
      </c>
      <c r="T139" s="2" t="str">
        <f>VLOOKUP(T_Voluntarios[[#This Row],[RUN]],BBDD[],17,FALSE)</f>
        <v>Ninguno</v>
      </c>
      <c r="U139" s="2" t="str">
        <f>VLOOKUP(T_Voluntarios[[#This Row],[RUN]],BBDD[],18,FALSE)</f>
        <v>Ninguno</v>
      </c>
      <c r="V139" s="2" t="str">
        <f>VLOOKUP(T_Voluntarios[[#This Row],[RUN]],BBDD[],19,FALSE)</f>
        <v>Ninguno</v>
      </c>
      <c r="W139" s="13" t="str">
        <f>IF(OR(T_Voluntarios[[#This Row],[ROL]]="Formador(a)"),"SI","NO")</f>
        <v>NO</v>
      </c>
      <c r="X139" s="13" t="str">
        <f>IF(ISERROR(VLOOKUP(T_Voluntarios[[#This Row],[RUN]],BBDD_Formadores[],15,FALSE)),"NO",VLOOKUP(T_Voluntarios[[#This Row],[RUN]],BBDD_Formadores[],15,FALSE))</f>
        <v>NO</v>
      </c>
      <c r="Y139" s="13" t="str">
        <f>IF(ISERROR(VLOOKUP(T_Voluntarios[[#This Row],[RUN]],BBDD_Formadores[],16,FALSE)),"NO",VLOOKUP(T_Voluntarios[[#This Row],[RUN]],BBDD_Formadores[],16,FALSE))</f>
        <v>NO</v>
      </c>
      <c r="Z139" s="13" t="str">
        <f>IF(ISERROR(VLOOKUP(T_Voluntarios[[#This Row],[RUN]],BBDD_Formadores[],17,FALSE)),"NO",VLOOKUP(T_Voluntarios[[#This Row],[RUN]],BBDD_Formadores[],17,FALSE))</f>
        <v>NO</v>
      </c>
      <c r="AA139" s="13" t="str">
        <f>IF(ISERROR(VLOOKUP(T_Voluntarios[[#This Row],[RUN]],BBDD_Formadores[],18,FALSE)),"NO",VLOOKUP(T_Voluntarios[[#This Row],[RUN]],BBDD_Formadores[],18,FALSE))</f>
        <v>NO</v>
      </c>
      <c r="AB139" s="13">
        <v>1</v>
      </c>
      <c r="AC139" s="13" t="s">
        <v>1597</v>
      </c>
      <c r="AD139" s="13" t="s">
        <v>78</v>
      </c>
      <c r="AF139" s="2" t="str">
        <f>IF(VLOOKUP(T_Voluntarios[[#This Row],[RUN]],BBDD[],25,FALSE)=0,"",VLOOKUP(T_Voluntarios[[#This Row],[RUN]],BBDD[],25,FALSE))</f>
        <v/>
      </c>
      <c r="AG139" s="2" t="str">
        <f>IF(VLOOKUP(T_Voluntarios[[#This Row],[RUN]],BBDD[],26,FALSE)=0,"",VLOOKUP(T_Voluntarios[[#This Row],[RUN]],BBDD[],26,FALSE))</f>
        <v/>
      </c>
      <c r="AH139" s="2" t="str">
        <f>IF(VLOOKUP(T_Voluntarios[[#This Row],[RUN]],BBDD[],24,FALSE)=0,"",VLOOKUP(T_Voluntarios[[#This Row],[RUN]],BBDD[],24,FALSE))</f>
        <v/>
      </c>
      <c r="AI139" s="13" t="str">
        <f>VLOOKUP(T_Voluntarios[[#This Row],[RUN]],BBDD[],28,FALSE)</f>
        <v>SI</v>
      </c>
      <c r="AJ139" s="13" t="str">
        <f>VLOOKUP(T_Voluntarios[[#This Row],[RUN]],BBDD[],28,FALSE)</f>
        <v>SI</v>
      </c>
      <c r="AK139" s="32">
        <f>IF(T_Voluntarios[[#This Row],[ROL]]="Participante",SUMIFS(T_Cuotas[[#All],[Total]],T_Cuotas[[#All],[RUN]],T_Voluntarios[[#This Row],[RUN]]),-1)</f>
        <v>0</v>
      </c>
      <c r="AL139" s="13" t="s">
        <v>78</v>
      </c>
      <c r="AM139" s="13" t="s">
        <v>733</v>
      </c>
      <c r="AP139" s="2" t="str">
        <f>MID(T_Voluntarios[[#This Row],[E_MAIL]],SEARCH("@",T_Voluntarios[[#This Row],[E_MAIL]],1),LEN(T_Voluntarios[[#This Row],[E_MAIL]]))</f>
        <v>@gmail.com</v>
      </c>
      <c r="AQ139" s="13" t="str">
        <f>VLOOKUP(T_Voluntarios[[#This Row],[RUN]],BBDD[],37,FALSE)</f>
        <v>20</v>
      </c>
      <c r="AR139" s="2" t="str">
        <f>VLOOKUP(T_Voluntarios[[#This Row],[RUN]],BBDD[],29,FALSE)</f>
        <v>Estudiante</v>
      </c>
      <c r="AS139" s="2" t="str">
        <f>VLOOKUP(T_Voluntarios[[#This Row],[RUN]],BBDD[],30,FALSE)</f>
        <v>8 años</v>
      </c>
      <c r="AT139" s="2" t="str">
        <f>VLOOKUP(T_Voluntarios[[#This Row],[RUN]],BBDD[],31,FALSE)</f>
        <v>9 meses</v>
      </c>
      <c r="AU139" s="2" t="str">
        <f>VLOOKUP(T_Voluntarios[[#This Row],[RUN]],BBDD[],32,FALSE)</f>
        <v>Soltero(a)</v>
      </c>
      <c r="AV139" s="2" t="str">
        <f>VLOOKUP(T_Voluntarios[[#This Row],[RUN]],BBDD[],33,FALSE)</f>
        <v>Evangélica</v>
      </c>
      <c r="AW139" s="2" t="str">
        <f>VLOOKUP(T_Voluntarios[[#This Row],[RUN]],BBDD[],34,FALSE)</f>
        <v>Lucas</v>
      </c>
      <c r="AX139" s="13" t="s">
        <v>733</v>
      </c>
      <c r="AY139" s="76">
        <f>VLOOKUP(T_Voluntarios[[#This Row],[RUN]],BBDD[],2,FALSE)</f>
        <v>45797.745914891973</v>
      </c>
      <c r="AZ139" s="13" t="s">
        <v>2</v>
      </c>
    </row>
    <row r="140" spans="1:52" x14ac:dyDescent="0.3">
      <c r="A140" s="2" t="s">
        <v>2211</v>
      </c>
      <c r="B140" s="2" t="str">
        <f>VLOOKUP(T_Voluntarios[[#This Row],[RUN]],BBDD[],3,FALSE)</f>
        <v>tamiponss@gmail.com</v>
      </c>
      <c r="C140" s="2" t="str">
        <f>VLOOKUP(T_Voluntarios[[#This Row],[RUN]],BBDD[],4,FALSE)</f>
        <v>Tamara Patricia Ponss Riffo</v>
      </c>
      <c r="D140" s="16">
        <f>VLOOKUP(T_Voluntarios[[#This Row],[RUN]],BBDD[],5,FALSE)</f>
        <v>38176</v>
      </c>
      <c r="E140" s="2" t="str">
        <f>VLOOKUP(T_Voluntarios[[#This Row],[RUN]],BBDD[],6,FALSE)</f>
        <v>Las dalias 4947</v>
      </c>
      <c r="F140" s="2" t="str">
        <f>VLOOKUP(T_Voluntarios[[#This Row],[RUN]],BBDD[],7,FALSE)</f>
        <v>Talcahuano</v>
      </c>
      <c r="G140" s="2" t="str">
        <f>VLOOKUP(T_Voluntarios[[#This Row],[RUN]],BBDD[],8,FALSE)</f>
        <v>Celular</v>
      </c>
      <c r="H140" s="2" t="str">
        <f>IF(VLOOKUP(T_Voluntarios[[#This Row],[RUN]],BBDD[],9,FALSE)=0,"Falta",VLOOKUP(T_Voluntarios[[#This Row],[RUN]],BBDD[],9,FALSE))</f>
        <v>+56939046628</v>
      </c>
      <c r="I140" s="2" t="str">
        <f>VLOOKUP(T_Voluntarios[[#This Row],[RUN]],BBDD[],10,FALSE)</f>
        <v>Participante</v>
      </c>
      <c r="J140" s="2" t="str">
        <f>VLOOKUP(T_Voluntarios[[#This Row],[RUN]],BBDD[],11,FALSE)</f>
        <v>Santa Cecilia</v>
      </c>
      <c r="K140" s="2" t="str">
        <f>VLOOKUP(T_Voluntarios[[#This Row],[RUN]],BBDD[],12,FALSE)</f>
        <v>Golondrinas</v>
      </c>
      <c r="L140" s="2" t="str">
        <f>VLOOKUP(T_Voluntarios[[#This Row],[RUN]],BBDD[],15,FALSE)</f>
        <v>Talcahuano - Hualpén</v>
      </c>
      <c r="M140" s="2" t="str">
        <f>VLOOKUP(T_Voluntarios[[#This Row],[RUN]],BBDD[],20,FALSE)</f>
        <v>Alimentación Tradicional</v>
      </c>
      <c r="N140" s="2" t="str">
        <f>VLOOKUP(T_Voluntarios[[#This Row],[RUN]],BBDD[],21,FALSE)</f>
        <v>Ninguna</v>
      </c>
      <c r="O140" s="2" t="str">
        <f>VLOOKUP(T_Voluntarios[[#This Row],[RUN]],BBDD[],22,FALSE)</f>
        <v>Ninguna</v>
      </c>
      <c r="P140" s="2" t="str">
        <f>VLOOKUP(T_Voluntarios[[#This Row],[RUN]],BBDD[],23,FALSE)</f>
        <v>Patricia Riffo +56973710006</v>
      </c>
      <c r="Q140" s="2" t="str">
        <f>IF(VLOOKUP(T_Voluntarios[[#This Row],[RUN]],BBDD[],27,FALSE)=0,"",VLOOKUP(T_Voluntarios[[#This Row],[RUN]],BBDD[],27,FALSE))</f>
        <v/>
      </c>
      <c r="R140" s="2" t="str">
        <f>VLOOKUP(T_Voluntarios[[#This Row],[RUN]],BBDD[],36,FALSE)</f>
        <v>https://drive.google.com/open?id=1E8WEw3jToQ2re5SPmQo1nIfBOskn95DM</v>
      </c>
      <c r="S140" s="2" t="str">
        <f>VLOOKUP(T_Voluntarios[[#This Row],[RUN]],BBDD[],16,FALSE)</f>
        <v>Inicial</v>
      </c>
      <c r="T140" s="2" t="str">
        <f>VLOOKUP(T_Voluntarios[[#This Row],[RUN]],BBDD[],17,FALSE)</f>
        <v>Ninguno</v>
      </c>
      <c r="U140" s="2" t="str">
        <f>VLOOKUP(T_Voluntarios[[#This Row],[RUN]],BBDD[],18,FALSE)</f>
        <v>Ninguno</v>
      </c>
      <c r="V140" s="2" t="str">
        <f>VLOOKUP(T_Voluntarios[[#This Row],[RUN]],BBDD[],19,FALSE)</f>
        <v>Ninguno</v>
      </c>
      <c r="W140" s="13" t="str">
        <f>IF(OR(T_Voluntarios[[#This Row],[ROL]]="Formador(a)"),"SI","NO")</f>
        <v>NO</v>
      </c>
      <c r="X140" s="13" t="str">
        <f>IF(ISERROR(VLOOKUP(T_Voluntarios[[#This Row],[RUN]],BBDD_Formadores[],15,FALSE)),"NO",VLOOKUP(T_Voluntarios[[#This Row],[RUN]],BBDD_Formadores[],15,FALSE))</f>
        <v>NO</v>
      </c>
      <c r="Y140" s="13" t="str">
        <f>IF(ISERROR(VLOOKUP(T_Voluntarios[[#This Row],[RUN]],BBDD_Formadores[],16,FALSE)),"NO",VLOOKUP(T_Voluntarios[[#This Row],[RUN]],BBDD_Formadores[],16,FALSE))</f>
        <v>NO</v>
      </c>
      <c r="Z140" s="13" t="str">
        <f>IF(ISERROR(VLOOKUP(T_Voluntarios[[#This Row],[RUN]],BBDD_Formadores[],17,FALSE)),"NO",VLOOKUP(T_Voluntarios[[#This Row],[RUN]],BBDD_Formadores[],17,FALSE))</f>
        <v>NO</v>
      </c>
      <c r="AA140" s="13" t="str">
        <f>IF(ISERROR(VLOOKUP(T_Voluntarios[[#This Row],[RUN]],BBDD_Formadores[],18,FALSE)),"NO",VLOOKUP(T_Voluntarios[[#This Row],[RUN]],BBDD_Formadores[],18,FALSE))</f>
        <v>NO</v>
      </c>
      <c r="AB140" s="13">
        <v>1</v>
      </c>
      <c r="AC140" s="13" t="s">
        <v>1</v>
      </c>
      <c r="AD140" s="13" t="s">
        <v>77</v>
      </c>
      <c r="AF140" s="2" t="str">
        <f>IF(VLOOKUP(T_Voluntarios[[#This Row],[RUN]],BBDD[],25,FALSE)=0,"",VLOOKUP(T_Voluntarios[[#This Row],[RUN]],BBDD[],25,FALSE))</f>
        <v/>
      </c>
      <c r="AG140" s="2" t="str">
        <f>IF(VLOOKUP(T_Voluntarios[[#This Row],[RUN]],BBDD[],26,FALSE)=0,"",VLOOKUP(T_Voluntarios[[#This Row],[RUN]],BBDD[],26,FALSE))</f>
        <v/>
      </c>
      <c r="AH140" s="2" t="str">
        <f>IF(VLOOKUP(T_Voluntarios[[#This Row],[RUN]],BBDD[],24,FALSE)=0,"",VLOOKUP(T_Voluntarios[[#This Row],[RUN]],BBDD[],24,FALSE))</f>
        <v/>
      </c>
      <c r="AI140" s="13" t="str">
        <f>VLOOKUP(T_Voluntarios[[#This Row],[RUN]],BBDD[],28,FALSE)</f>
        <v>No</v>
      </c>
      <c r="AJ140" s="13" t="str">
        <f>VLOOKUP(T_Voluntarios[[#This Row],[RUN]],BBDD[],28,FALSE)</f>
        <v>No</v>
      </c>
      <c r="AK140" s="32">
        <f>IF(T_Voluntarios[[#This Row],[ROL]]="Participante",SUMIFS(T_Cuotas[[#All],[Total]],T_Cuotas[[#All],[RUN]],T_Voluntarios[[#This Row],[RUN]]),-1)</f>
        <v>50000</v>
      </c>
      <c r="AL140" s="13" t="s">
        <v>1</v>
      </c>
      <c r="AM140" s="13" t="s">
        <v>2029</v>
      </c>
      <c r="AP140" s="2" t="str">
        <f>MID(T_Voluntarios[[#This Row],[E_MAIL]],SEARCH("@",T_Voluntarios[[#This Row],[E_MAIL]],1),LEN(T_Voluntarios[[#This Row],[E_MAIL]]))</f>
        <v>@gmail.com</v>
      </c>
      <c r="AQ140" s="13" t="str">
        <f>VLOOKUP(T_Voluntarios[[#This Row],[RUN]],BBDD[],37,FALSE)</f>
        <v>20</v>
      </c>
      <c r="AR140" s="2" t="str">
        <f>VLOOKUP(T_Voluntarios[[#This Row],[RUN]],BBDD[],29,FALSE)</f>
        <v>Estudiante de arquitectura</v>
      </c>
      <c r="AS140" s="2" t="str">
        <f>VLOOKUP(T_Voluntarios[[#This Row],[RUN]],BBDD[],30,FALSE)</f>
        <v>14 años</v>
      </c>
      <c r="AT140" s="2" t="str">
        <f>VLOOKUP(T_Voluntarios[[#This Row],[RUN]],BBDD[],31,FALSE)</f>
        <v>2 meses</v>
      </c>
      <c r="AU140" s="2" t="str">
        <f>VLOOKUP(T_Voluntarios[[#This Row],[RUN]],BBDD[],32,FALSE)</f>
        <v>Soltero(a)</v>
      </c>
      <c r="AV140" s="2" t="str">
        <f>VLOOKUP(T_Voluntarios[[#This Row],[RUN]],BBDD[],33,FALSE)</f>
        <v>Ninguna</v>
      </c>
      <c r="AW140" s="2" t="str">
        <f>VLOOKUP(T_Voluntarios[[#This Row],[RUN]],BBDD[],34,FALSE)</f>
        <v>Tami ♥</v>
      </c>
      <c r="AX140" s="13" t="s">
        <v>733</v>
      </c>
      <c r="AY140" s="76">
        <f>VLOOKUP(T_Voluntarios[[#This Row],[RUN]],BBDD[],2,FALSE)</f>
        <v>45798.022460262342</v>
      </c>
      <c r="AZ140" s="13" t="s">
        <v>3403</v>
      </c>
    </row>
    <row r="141" spans="1:52" x14ac:dyDescent="0.3">
      <c r="A141" s="2" t="s">
        <v>2935</v>
      </c>
      <c r="B141" s="2" t="str">
        <f>VLOOKUP(T_Voluntarios[[#This Row],[RUN]],BBDD[],3,FALSE)</f>
        <v>nadiavarela79@gmail.com</v>
      </c>
      <c r="C141" s="2" t="str">
        <f>VLOOKUP(T_Voluntarios[[#This Row],[RUN]],BBDD[],4,FALSE)</f>
        <v>Nadia Sofía Varela Meza</v>
      </c>
      <c r="D141" s="16">
        <f>VLOOKUP(T_Voluntarios[[#This Row],[RUN]],BBDD[],5,FALSE)</f>
        <v>29098</v>
      </c>
      <c r="E141" s="2" t="str">
        <f>VLOOKUP(T_Voluntarios[[#This Row],[RUN]],BBDD[],6,FALSE)</f>
        <v>Prieto 144</v>
      </c>
      <c r="F141" s="2" t="str">
        <f>VLOOKUP(T_Voluntarios[[#This Row],[RUN]],BBDD[],7,FALSE)</f>
        <v>Concepción</v>
      </c>
      <c r="G141" s="2" t="str">
        <f>VLOOKUP(T_Voluntarios[[#This Row],[RUN]],BBDD[],8,FALSE)</f>
        <v>Celular</v>
      </c>
      <c r="H141" s="2" t="str">
        <f>IF(VLOOKUP(T_Voluntarios[[#This Row],[RUN]],BBDD[],9,FALSE)=0,"Falta",VLOOKUP(T_Voluntarios[[#This Row],[RUN]],BBDD[],9,FALSE))</f>
        <v>+56974975657</v>
      </c>
      <c r="I141" s="2" t="str">
        <f>VLOOKUP(T_Voluntarios[[#This Row],[RUN]],BBDD[],10,FALSE)</f>
        <v>Participante</v>
      </c>
      <c r="J141" s="2" t="str">
        <f>VLOOKUP(T_Voluntarios[[#This Row],[RUN]],BBDD[],11,FALSE)</f>
        <v>Tricolor Chileno</v>
      </c>
      <c r="K141" s="2" t="str">
        <f>VLOOKUP(T_Voluntarios[[#This Row],[RUN]],BBDD[],12,FALSE)</f>
        <v>Guias</v>
      </c>
      <c r="L141" s="2" t="str">
        <f>VLOOKUP(T_Voluntarios[[#This Row],[RUN]],BBDD[],15,FALSE)</f>
        <v>Nahuelbuta</v>
      </c>
      <c r="M141" s="2" t="str">
        <f>VLOOKUP(T_Voluntarios[[#This Row],[RUN]],BBDD[],20,FALSE)</f>
        <v>Alimentación Tradicional</v>
      </c>
      <c r="N141" s="2" t="str">
        <f>VLOOKUP(T_Voluntarios[[#This Row],[RUN]],BBDD[],21,FALSE)</f>
        <v>Ninguna</v>
      </c>
      <c r="O141" s="2" t="str">
        <f>VLOOKUP(T_Voluntarios[[#This Row],[RUN]],BBDD[],22,FALSE)</f>
        <v>Ninguna</v>
      </c>
      <c r="P141" s="2" t="str">
        <f>VLOOKUP(T_Voluntarios[[#This Row],[RUN]],BBDD[],23,FALSE)</f>
        <v>Rodrigo Fuentes +56975873478</v>
      </c>
      <c r="Q141" s="2" t="str">
        <f>IF(VLOOKUP(T_Voluntarios[[#This Row],[RUN]],BBDD[],27,FALSE)=0,"",VLOOKUP(T_Voluntarios[[#This Row],[RUN]],BBDD[],27,FALSE))</f>
        <v/>
      </c>
      <c r="R141" s="2" t="str">
        <f>VLOOKUP(T_Voluntarios[[#This Row],[RUN]],BBDD[],36,FALSE)</f>
        <v>https://drive.google.com/open?id=1-jrUGZo0JUM8IL9Pfz_s1qzajZN_N6Cx</v>
      </c>
      <c r="S141" s="2" t="str">
        <f>VLOOKUP(T_Voluntarios[[#This Row],[RUN]],BBDD[],16,FALSE)</f>
        <v>Inicial</v>
      </c>
      <c r="T141" s="2" t="str">
        <f>VLOOKUP(T_Voluntarios[[#This Row],[RUN]],BBDD[],17,FALSE)</f>
        <v>Ninguno</v>
      </c>
      <c r="U141" s="2" t="str">
        <f>VLOOKUP(T_Voluntarios[[#This Row],[RUN]],BBDD[],18,FALSE)</f>
        <v>Ninguno</v>
      </c>
      <c r="V141" s="2" t="str">
        <f>VLOOKUP(T_Voluntarios[[#This Row],[RUN]],BBDD[],19,FALSE)</f>
        <v>Ninguno</v>
      </c>
      <c r="W141" s="13" t="str">
        <f>IF(OR(T_Voluntarios[[#This Row],[ROL]]="Formador(a)"),"SI","NO")</f>
        <v>NO</v>
      </c>
      <c r="X141" s="13" t="str">
        <f>IF(ISERROR(VLOOKUP(T_Voluntarios[[#This Row],[RUN]],BBDD_Formadores[],15,FALSE)),"NO",VLOOKUP(T_Voluntarios[[#This Row],[RUN]],BBDD_Formadores[],15,FALSE))</f>
        <v>NO</v>
      </c>
      <c r="Y141" s="13" t="str">
        <f>IF(ISERROR(VLOOKUP(T_Voluntarios[[#This Row],[RUN]],BBDD_Formadores[],16,FALSE)),"NO",VLOOKUP(T_Voluntarios[[#This Row],[RUN]],BBDD_Formadores[],16,FALSE))</f>
        <v>NO</v>
      </c>
      <c r="Z141" s="13" t="str">
        <f>IF(ISERROR(VLOOKUP(T_Voluntarios[[#This Row],[RUN]],BBDD_Formadores[],17,FALSE)),"NO",VLOOKUP(T_Voluntarios[[#This Row],[RUN]],BBDD_Formadores[],17,FALSE))</f>
        <v>NO</v>
      </c>
      <c r="AA141" s="13" t="str">
        <f>IF(ISERROR(VLOOKUP(T_Voluntarios[[#This Row],[RUN]],BBDD_Formadores[],18,FALSE)),"NO",VLOOKUP(T_Voluntarios[[#This Row],[RUN]],BBDD_Formadores[],18,FALSE))</f>
        <v>NO</v>
      </c>
      <c r="AB141" s="13">
        <v>1</v>
      </c>
      <c r="AC141" s="13" t="s">
        <v>1</v>
      </c>
      <c r="AD141" s="13" t="s">
        <v>77</v>
      </c>
      <c r="AF141" s="2" t="str">
        <f>IF(VLOOKUP(T_Voluntarios[[#This Row],[RUN]],BBDD[],25,FALSE)=0,"",VLOOKUP(T_Voluntarios[[#This Row],[RUN]],BBDD[],25,FALSE))</f>
        <v/>
      </c>
      <c r="AG141" s="2" t="str">
        <f>IF(VLOOKUP(T_Voluntarios[[#This Row],[RUN]],BBDD[],26,FALSE)=0,"",VLOOKUP(T_Voluntarios[[#This Row],[RUN]],BBDD[],26,FALSE))</f>
        <v/>
      </c>
      <c r="AH141" s="2" t="str">
        <f>IF(VLOOKUP(T_Voluntarios[[#This Row],[RUN]],BBDD[],24,FALSE)=0,"",VLOOKUP(T_Voluntarios[[#This Row],[RUN]],BBDD[],24,FALSE))</f>
        <v/>
      </c>
      <c r="AI141" s="13" t="str">
        <f>VLOOKUP(T_Voluntarios[[#This Row],[RUN]],BBDD[],28,FALSE)</f>
        <v>SI</v>
      </c>
      <c r="AJ141" s="13" t="str">
        <f>VLOOKUP(T_Voluntarios[[#This Row],[RUN]],BBDD[],28,FALSE)</f>
        <v>SI</v>
      </c>
      <c r="AK141" s="32">
        <f>IF(T_Voluntarios[[#This Row],[ROL]]="Participante",SUMIFS(T_Cuotas[[#All],[Total]],T_Cuotas[[#All],[RUN]],T_Voluntarios[[#This Row],[RUN]]),-1)</f>
        <v>50000</v>
      </c>
      <c r="AL141" s="13" t="s">
        <v>1</v>
      </c>
      <c r="AM141" s="13" t="s">
        <v>2029</v>
      </c>
      <c r="AP141" s="2" t="str">
        <f>MID(T_Voluntarios[[#This Row],[E_MAIL]],SEARCH("@",T_Voluntarios[[#This Row],[E_MAIL]],1),LEN(T_Voluntarios[[#This Row],[E_MAIL]]))</f>
        <v>@gmail.com</v>
      </c>
      <c r="AQ141" s="13" t="str">
        <f>VLOOKUP(T_Voluntarios[[#This Row],[RUN]],BBDD[],37,FALSE)</f>
        <v>45</v>
      </c>
      <c r="AR141" s="2" t="str">
        <f>VLOOKUP(T_Voluntarios[[#This Row],[RUN]],BBDD[],29,FALSE)</f>
        <v>Profesora de Ingles</v>
      </c>
      <c r="AS141" s="2" t="str">
        <f>VLOOKUP(T_Voluntarios[[#This Row],[RUN]],BBDD[],30,FALSE)</f>
        <v>0</v>
      </c>
      <c r="AT141" s="2" t="str">
        <f>VLOOKUP(T_Voluntarios[[#This Row],[RUN]],BBDD[],31,FALSE)</f>
        <v>22 años</v>
      </c>
      <c r="AU141" s="2" t="str">
        <f>VLOOKUP(T_Voluntarios[[#This Row],[RUN]],BBDD[],32,FALSE)</f>
        <v>Casado(a)</v>
      </c>
      <c r="AV141" s="2" t="str">
        <f>VLOOKUP(T_Voluntarios[[#This Row],[RUN]],BBDD[],33,FALSE)</f>
        <v>Católica</v>
      </c>
      <c r="AW141" s="2" t="str">
        <f>VLOOKUP(T_Voluntarios[[#This Row],[RUN]],BBDD[],34,FALSE)</f>
        <v>Nadia</v>
      </c>
      <c r="AX141" s="13" t="s">
        <v>733</v>
      </c>
      <c r="AY141" s="76">
        <f>VLOOKUP(T_Voluntarios[[#This Row],[RUN]],BBDD[],2,FALSE)</f>
        <v>45798.585726157406</v>
      </c>
      <c r="AZ141" s="13" t="s">
        <v>3403</v>
      </c>
    </row>
    <row r="142" spans="1:52" x14ac:dyDescent="0.3">
      <c r="A142" s="2" t="s">
        <v>2219</v>
      </c>
      <c r="B142" s="2" t="str">
        <f>VLOOKUP(T_Voluntarios[[#This Row],[RUN]],BBDD[],3,FALSE)</f>
        <v>ignacio.olivaresh@gmail.com</v>
      </c>
      <c r="C142" s="2" t="str">
        <f>VLOOKUP(T_Voluntarios[[#This Row],[RUN]],BBDD[],4,FALSE)</f>
        <v>Ignacio Andrés Olivares Hernández</v>
      </c>
      <c r="D142" s="16">
        <f>VLOOKUP(T_Voluntarios[[#This Row],[RUN]],BBDD[],5,FALSE)</f>
        <v>37211</v>
      </c>
      <c r="E142" s="2" t="str">
        <f>VLOOKUP(T_Voluntarios[[#This Row],[RUN]],BBDD[],6,FALSE)</f>
        <v>Lago Riñihue 156</v>
      </c>
      <c r="F142" s="2" t="str">
        <f>VLOOKUP(T_Voluntarios[[#This Row],[RUN]],BBDD[],7,FALSE)</f>
        <v>Concepción</v>
      </c>
      <c r="G142" s="2" t="str">
        <f>VLOOKUP(T_Voluntarios[[#This Row],[RUN]],BBDD[],8,FALSE)</f>
        <v>Celular</v>
      </c>
      <c r="H142" s="2" t="str">
        <f>IF(VLOOKUP(T_Voluntarios[[#This Row],[RUN]],BBDD[],9,FALSE)=0,"Falta",VLOOKUP(T_Voluntarios[[#This Row],[RUN]],BBDD[],9,FALSE))</f>
        <v>+56940658180</v>
      </c>
      <c r="I142" s="2" t="str">
        <f>VLOOKUP(T_Voluntarios[[#This Row],[RUN]],BBDD[],10,FALSE)</f>
        <v>Participante</v>
      </c>
      <c r="J142" s="2" t="str">
        <f>VLOOKUP(T_Voluntarios[[#This Row],[RUN]],BBDD[],11,FALSE)</f>
        <v>Peulla</v>
      </c>
      <c r="K142" s="2" t="str">
        <f>VLOOKUP(T_Voluntarios[[#This Row],[RUN]],BBDD[],12,FALSE)</f>
        <v>Pioneros</v>
      </c>
      <c r="L142" s="2" t="str">
        <f>VLOOKUP(T_Voluntarios[[#This Row],[RUN]],BBDD[],15,FALSE)</f>
        <v>Rio Andalién</v>
      </c>
      <c r="M142" s="2" t="str">
        <f>VLOOKUP(T_Voluntarios[[#This Row],[RUN]],BBDD[],20,FALSE)</f>
        <v>Alimentación Tradicional</v>
      </c>
      <c r="N142" s="2" t="str">
        <f>VLOOKUP(T_Voluntarios[[#This Row],[RUN]],BBDD[],21,FALSE)</f>
        <v>Ninguna</v>
      </c>
      <c r="O142" s="2" t="str">
        <f>VLOOKUP(T_Voluntarios[[#This Row],[RUN]],BBDD[],22,FALSE)</f>
        <v>Ninguna</v>
      </c>
      <c r="P142" s="2" t="str">
        <f>VLOOKUP(T_Voluntarios[[#This Row],[RUN]],BBDD[],23,FALSE)</f>
        <v>Antonieta Hernández +56989759683</v>
      </c>
      <c r="Q142" s="2" t="str">
        <f>IF(VLOOKUP(T_Voluntarios[[#This Row],[RUN]],BBDD[],27,FALSE)=0,"",VLOOKUP(T_Voluntarios[[#This Row],[RUN]],BBDD[],27,FALSE))</f>
        <v/>
      </c>
      <c r="R142" s="2" t="str">
        <f>VLOOKUP(T_Voluntarios[[#This Row],[RUN]],BBDD[],36,FALSE)</f>
        <v>https://drive.google.com/open?id=1_DeVOc_F1cMgu0WcnPjlDRULCGHSODGm</v>
      </c>
      <c r="S142" s="2" t="str">
        <f>VLOOKUP(T_Voluntarios[[#This Row],[RUN]],BBDD[],16,FALSE)</f>
        <v>Inicial</v>
      </c>
      <c r="T142" s="2" t="str">
        <f>VLOOKUP(T_Voluntarios[[#This Row],[RUN]],BBDD[],17,FALSE)</f>
        <v>Ninguno</v>
      </c>
      <c r="U142" s="2" t="str">
        <f>VLOOKUP(T_Voluntarios[[#This Row],[RUN]],BBDD[],18,FALSE)</f>
        <v>Ninguno</v>
      </c>
      <c r="V142" s="2" t="str">
        <f>VLOOKUP(T_Voluntarios[[#This Row],[RUN]],BBDD[],19,FALSE)</f>
        <v>Ninguno</v>
      </c>
      <c r="W142" s="13" t="str">
        <f>IF(OR(T_Voluntarios[[#This Row],[ROL]]="Formador(a)"),"SI","NO")</f>
        <v>NO</v>
      </c>
      <c r="X142" s="13" t="str">
        <f>IF(ISERROR(VLOOKUP(T_Voluntarios[[#This Row],[RUN]],BBDD_Formadores[],15,FALSE)),"NO",VLOOKUP(T_Voluntarios[[#This Row],[RUN]],BBDD_Formadores[],15,FALSE))</f>
        <v>NO</v>
      </c>
      <c r="Y142" s="13" t="str">
        <f>IF(ISERROR(VLOOKUP(T_Voluntarios[[#This Row],[RUN]],BBDD_Formadores[],16,FALSE)),"NO",VLOOKUP(T_Voluntarios[[#This Row],[RUN]],BBDD_Formadores[],16,FALSE))</f>
        <v>NO</v>
      </c>
      <c r="Z142" s="13" t="str">
        <f>IF(ISERROR(VLOOKUP(T_Voluntarios[[#This Row],[RUN]],BBDD_Formadores[],17,FALSE)),"NO",VLOOKUP(T_Voluntarios[[#This Row],[RUN]],BBDD_Formadores[],17,FALSE))</f>
        <v>NO</v>
      </c>
      <c r="AA142" s="13" t="str">
        <f>IF(ISERROR(VLOOKUP(T_Voluntarios[[#This Row],[RUN]],BBDD_Formadores[],18,FALSE)),"NO",VLOOKUP(T_Voluntarios[[#This Row],[RUN]],BBDD_Formadores[],18,FALSE))</f>
        <v>NO</v>
      </c>
      <c r="AB142" s="13">
        <v>1</v>
      </c>
      <c r="AC142" s="13" t="s">
        <v>1</v>
      </c>
      <c r="AD142" s="13" t="s">
        <v>77</v>
      </c>
      <c r="AF142" s="2" t="str">
        <f>IF(VLOOKUP(T_Voluntarios[[#This Row],[RUN]],BBDD[],25,FALSE)=0,"",VLOOKUP(T_Voluntarios[[#This Row],[RUN]],BBDD[],25,FALSE))</f>
        <v/>
      </c>
      <c r="AG142" s="2" t="str">
        <f>IF(VLOOKUP(T_Voluntarios[[#This Row],[RUN]],BBDD[],26,FALSE)=0,"",VLOOKUP(T_Voluntarios[[#This Row],[RUN]],BBDD[],26,FALSE))</f>
        <v/>
      </c>
      <c r="AH142" s="2" t="str">
        <f>IF(VLOOKUP(T_Voluntarios[[#This Row],[RUN]],BBDD[],24,FALSE)=0,"",VLOOKUP(T_Voluntarios[[#This Row],[RUN]],BBDD[],24,FALSE))</f>
        <v/>
      </c>
      <c r="AI142" s="13" t="str">
        <f>VLOOKUP(T_Voluntarios[[#This Row],[RUN]],BBDD[],28,FALSE)</f>
        <v>SI</v>
      </c>
      <c r="AJ142" s="13" t="str">
        <f>VLOOKUP(T_Voluntarios[[#This Row],[RUN]],BBDD[],28,FALSE)</f>
        <v>SI</v>
      </c>
      <c r="AK142" s="32">
        <f>IF(T_Voluntarios[[#This Row],[ROL]]="Participante",SUMIFS(T_Cuotas[[#All],[Total]],T_Cuotas[[#All],[RUN]],T_Voluntarios[[#This Row],[RUN]]),-1)</f>
        <v>50000</v>
      </c>
      <c r="AL142" s="13" t="s">
        <v>1</v>
      </c>
      <c r="AM142" s="13" t="s">
        <v>2029</v>
      </c>
      <c r="AP142" s="2" t="str">
        <f>MID(T_Voluntarios[[#This Row],[E_MAIL]],SEARCH("@",T_Voluntarios[[#This Row],[E_MAIL]],1),LEN(T_Voluntarios[[#This Row],[E_MAIL]]))</f>
        <v>@gmail.com</v>
      </c>
      <c r="AQ142" s="13" t="str">
        <f>VLOOKUP(T_Voluntarios[[#This Row],[RUN]],BBDD[],37,FALSE)</f>
        <v>23</v>
      </c>
      <c r="AR142" s="2" t="str">
        <f>VLOOKUP(T_Voluntarios[[#This Row],[RUN]],BBDD[],29,FALSE)</f>
        <v>Estudiante de arquitectura</v>
      </c>
      <c r="AS142" s="2" t="str">
        <f>VLOOKUP(T_Voluntarios[[#This Row],[RUN]],BBDD[],30,FALSE)</f>
        <v>10 años</v>
      </c>
      <c r="AT142" s="2" t="str">
        <f>VLOOKUP(T_Voluntarios[[#This Row],[RUN]],BBDD[],31,FALSE)</f>
        <v>2 años y medio</v>
      </c>
      <c r="AU142" s="2" t="str">
        <f>VLOOKUP(T_Voluntarios[[#This Row],[RUN]],BBDD[],32,FALSE)</f>
        <v>Soltero(a)</v>
      </c>
      <c r="AV142" s="2" t="str">
        <f>VLOOKUP(T_Voluntarios[[#This Row],[RUN]],BBDD[],33,FALSE)</f>
        <v>Ninguna</v>
      </c>
      <c r="AW142" s="2" t="str">
        <f>VLOOKUP(T_Voluntarios[[#This Row],[RUN]],BBDD[],34,FALSE)</f>
        <v>Ignacio</v>
      </c>
      <c r="AX142" s="13" t="s">
        <v>733</v>
      </c>
      <c r="AY142" s="76">
        <f>VLOOKUP(T_Voluntarios[[#This Row],[RUN]],BBDD[],2,FALSE)</f>
        <v>45798.59632488426</v>
      </c>
      <c r="AZ142" s="13" t="s">
        <v>3403</v>
      </c>
    </row>
    <row r="143" spans="1:52" x14ac:dyDescent="0.3">
      <c r="A143" s="2" t="s">
        <v>2355</v>
      </c>
      <c r="B143" s="2" t="str">
        <f>VLOOKUP(T_Voluntarios[[#This Row],[RUN]],BBDD[],3,FALSE)</f>
        <v>jarileivam.24@gmail.com</v>
      </c>
      <c r="C143" s="2" t="str">
        <f>VLOOKUP(T_Voluntarios[[#This Row],[RUN]],BBDD[],4,FALSE)</f>
        <v>Jari Lorena Leiva Mardones</v>
      </c>
      <c r="D143" s="16">
        <f>VLOOKUP(T_Voluntarios[[#This Row],[RUN]],BBDD[],5,FALSE)</f>
        <v>33387</v>
      </c>
      <c r="E143" s="2" t="str">
        <f>VLOOKUP(T_Voluntarios[[#This Row],[RUN]],BBDD[],6,FALSE)</f>
        <v>José Miguel infante 419</v>
      </c>
      <c r="F143" s="2" t="str">
        <f>VLOOKUP(T_Voluntarios[[#This Row],[RUN]],BBDD[],7,FALSE)</f>
        <v>Los Ángeles</v>
      </c>
      <c r="G143" s="2" t="str">
        <f>VLOOKUP(T_Voluntarios[[#This Row],[RUN]],BBDD[],8,FALSE)</f>
        <v>Celular</v>
      </c>
      <c r="H143" s="2" t="str">
        <f>IF(VLOOKUP(T_Voluntarios[[#This Row],[RUN]],BBDD[],9,FALSE)=0,"Falta",VLOOKUP(T_Voluntarios[[#This Row],[RUN]],BBDD[],9,FALSE))</f>
        <v>+56982795248</v>
      </c>
      <c r="I143" s="2" t="str">
        <f>VLOOKUP(T_Voluntarios[[#This Row],[RUN]],BBDD[],10,FALSE)</f>
        <v>Participante</v>
      </c>
      <c r="J143" s="2" t="str">
        <f>VLOOKUP(T_Voluntarios[[#This Row],[RUN]],BBDD[],11,FALSE)</f>
        <v>Mahuidanche</v>
      </c>
      <c r="K143" s="2" t="str">
        <f>VLOOKUP(T_Voluntarios[[#This Row],[RUN]],BBDD[],12,FALSE)</f>
        <v>Pioneros</v>
      </c>
      <c r="L143" s="2" t="str">
        <f>VLOOKUP(T_Voluntarios[[#This Row],[RUN]],BBDD[],15,FALSE)</f>
        <v>Biobío</v>
      </c>
      <c r="M143" s="2" t="str">
        <f>VLOOKUP(T_Voluntarios[[#This Row],[RUN]],BBDD[],20,FALSE)</f>
        <v>Alimentación Tradicional</v>
      </c>
      <c r="N143" s="2" t="str">
        <f>VLOOKUP(T_Voluntarios[[#This Row],[RUN]],BBDD[],21,FALSE)</f>
        <v>Alérgica a la penicilina</v>
      </c>
      <c r="O143" s="2" t="str">
        <f>VLOOKUP(T_Voluntarios[[#This Row],[RUN]],BBDD[],22,FALSE)</f>
        <v>No lo sé</v>
      </c>
      <c r="P143" s="2" t="str">
        <f>VLOOKUP(T_Voluntarios[[#This Row],[RUN]],BBDD[],23,FALSE)</f>
        <v>Paula acuña 9 9926 3213</v>
      </c>
      <c r="Q143" s="2" t="str">
        <f>IF(VLOOKUP(T_Voluntarios[[#This Row],[RUN]],BBDD[],27,FALSE)=0,"",VLOOKUP(T_Voluntarios[[#This Row],[RUN]],BBDD[],27,FALSE))</f>
        <v/>
      </c>
      <c r="R143" s="2" t="str">
        <f>VLOOKUP(T_Voluntarios[[#This Row],[RUN]],BBDD[],36,FALSE)</f>
        <v>https://drive.google.com/open?id=15_hOZiUdrJGzAaIndiVsTz_1D3J8HBQ-</v>
      </c>
      <c r="S143" s="2" t="str">
        <f>VLOOKUP(T_Voluntarios[[#This Row],[RUN]],BBDD[],16,FALSE)</f>
        <v>Inicial</v>
      </c>
      <c r="T143" s="2" t="str">
        <f>VLOOKUP(T_Voluntarios[[#This Row],[RUN]],BBDD[],17,FALSE)</f>
        <v>Ninguno</v>
      </c>
      <c r="U143" s="2" t="str">
        <f>VLOOKUP(T_Voluntarios[[#This Row],[RUN]],BBDD[],18,FALSE)</f>
        <v>Ninguno</v>
      </c>
      <c r="V143" s="2" t="str">
        <f>VLOOKUP(T_Voluntarios[[#This Row],[RUN]],BBDD[],19,FALSE)</f>
        <v>Ninguno</v>
      </c>
      <c r="W143" s="13" t="str">
        <f>IF(OR(T_Voluntarios[[#This Row],[ROL]]="Formador(a)"),"SI","NO")</f>
        <v>NO</v>
      </c>
      <c r="X143" s="13" t="str">
        <f>IF(ISERROR(VLOOKUP(T_Voluntarios[[#This Row],[RUN]],BBDD_Formadores[],15,FALSE)),"NO",VLOOKUP(T_Voluntarios[[#This Row],[RUN]],BBDD_Formadores[],15,FALSE))</f>
        <v>NO</v>
      </c>
      <c r="Y143" s="13" t="str">
        <f>IF(ISERROR(VLOOKUP(T_Voluntarios[[#This Row],[RUN]],BBDD_Formadores[],16,FALSE)),"NO",VLOOKUP(T_Voluntarios[[#This Row],[RUN]],BBDD_Formadores[],16,FALSE))</f>
        <v>NO</v>
      </c>
      <c r="Z143" s="13" t="str">
        <f>IF(ISERROR(VLOOKUP(T_Voluntarios[[#This Row],[RUN]],BBDD_Formadores[],17,FALSE)),"NO",VLOOKUP(T_Voluntarios[[#This Row],[RUN]],BBDD_Formadores[],17,FALSE))</f>
        <v>NO</v>
      </c>
      <c r="AA143" s="13" t="str">
        <f>IF(ISERROR(VLOOKUP(T_Voluntarios[[#This Row],[RUN]],BBDD_Formadores[],18,FALSE)),"NO",VLOOKUP(T_Voluntarios[[#This Row],[RUN]],BBDD_Formadores[],18,FALSE))</f>
        <v>NO</v>
      </c>
      <c r="AB143" s="13">
        <v>1</v>
      </c>
      <c r="AC143" s="13" t="s">
        <v>1</v>
      </c>
      <c r="AD143" s="13" t="s">
        <v>77</v>
      </c>
      <c r="AF143" s="2" t="str">
        <f>IF(VLOOKUP(T_Voluntarios[[#This Row],[RUN]],BBDD[],25,FALSE)=0,"",VLOOKUP(T_Voluntarios[[#This Row],[RUN]],BBDD[],25,FALSE))</f>
        <v/>
      </c>
      <c r="AG143" s="2" t="str">
        <f>IF(VLOOKUP(T_Voluntarios[[#This Row],[RUN]],BBDD[],26,FALSE)=0,"",VLOOKUP(T_Voluntarios[[#This Row],[RUN]],BBDD[],26,FALSE))</f>
        <v/>
      </c>
      <c r="AH143" s="2" t="str">
        <f>IF(VLOOKUP(T_Voluntarios[[#This Row],[RUN]],BBDD[],24,FALSE)=0,"",VLOOKUP(T_Voluntarios[[#This Row],[RUN]],BBDD[],24,FALSE))</f>
        <v/>
      </c>
      <c r="AI143" s="13" t="str">
        <f>VLOOKUP(T_Voluntarios[[#This Row],[RUN]],BBDD[],28,FALSE)</f>
        <v>SI</v>
      </c>
      <c r="AJ143" s="13" t="str">
        <f>VLOOKUP(T_Voluntarios[[#This Row],[RUN]],BBDD[],28,FALSE)</f>
        <v>SI</v>
      </c>
      <c r="AK143" s="32">
        <f>IF(T_Voluntarios[[#This Row],[ROL]]="Participante",SUMIFS(T_Cuotas[[#All],[Total]],T_Cuotas[[#All],[RUN]],T_Voluntarios[[#This Row],[RUN]]),-1)</f>
        <v>50000</v>
      </c>
      <c r="AL143" s="13" t="s">
        <v>1</v>
      </c>
      <c r="AM143" s="13" t="s">
        <v>2029</v>
      </c>
      <c r="AP143" s="2" t="str">
        <f>MID(T_Voluntarios[[#This Row],[E_MAIL]],SEARCH("@",T_Voluntarios[[#This Row],[E_MAIL]],1),LEN(T_Voluntarios[[#This Row],[E_MAIL]]))</f>
        <v>@gmail.com</v>
      </c>
      <c r="AQ143" s="13" t="str">
        <f>VLOOKUP(T_Voluntarios[[#This Row],[RUN]],BBDD[],37,FALSE)</f>
        <v>34</v>
      </c>
      <c r="AR143" s="2" t="str">
        <f>VLOOKUP(T_Voluntarios[[#This Row],[RUN]],BBDD[],29,FALSE)</f>
        <v>Podologa</v>
      </c>
      <c r="AS143" s="2" t="str">
        <f>VLOOKUP(T_Voluntarios[[#This Row],[RUN]],BBDD[],30,FALSE)</f>
        <v>12años</v>
      </c>
      <c r="AT143" s="2" t="str">
        <f>VLOOKUP(T_Voluntarios[[#This Row],[RUN]],BBDD[],31,FALSE)</f>
        <v>6 años</v>
      </c>
      <c r="AU143" s="2" t="str">
        <f>VLOOKUP(T_Voluntarios[[#This Row],[RUN]],BBDD[],32,FALSE)</f>
        <v>Soltero(a)</v>
      </c>
      <c r="AV143" s="2" t="str">
        <f>VLOOKUP(T_Voluntarios[[#This Row],[RUN]],BBDD[],33,FALSE)</f>
        <v>Ninguna</v>
      </c>
      <c r="AW143" s="2" t="str">
        <f>VLOOKUP(T_Voluntarios[[#This Row],[RUN]],BBDD[],34,FALSE)</f>
        <v>Jari</v>
      </c>
      <c r="AX143" s="13" t="s">
        <v>733</v>
      </c>
      <c r="AY143" s="76">
        <f>VLOOKUP(T_Voluntarios[[#This Row],[RUN]],BBDD[],2,FALSE)</f>
        <v>45798.672525385802</v>
      </c>
      <c r="AZ143" s="13" t="s">
        <v>3403</v>
      </c>
    </row>
    <row r="144" spans="1:52" x14ac:dyDescent="0.3">
      <c r="A144" s="2" t="s">
        <v>2307</v>
      </c>
      <c r="B144" s="2" t="str">
        <f>VLOOKUP(T_Voluntarios[[#This Row],[RUN]],BBDD[],3,FALSE)</f>
        <v>datroncoso1@gmail.com</v>
      </c>
      <c r="C144" s="2" t="str">
        <f>VLOOKUP(T_Voluntarios[[#This Row],[RUN]],BBDD[],4,FALSE)</f>
        <v>Daniel Elias Troncoso Riquelme</v>
      </c>
      <c r="D144" s="16">
        <f>VLOOKUP(T_Voluntarios[[#This Row],[RUN]],BBDD[],5,FALSE)</f>
        <v>29687</v>
      </c>
      <c r="E144" s="2" t="str">
        <f>VLOOKUP(T_Voluntarios[[#This Row],[RUN]],BBDD[],6,FALSE)</f>
        <v>Hijuela san sebastian lote 1a sector coreo camino santa barbara km12.8</v>
      </c>
      <c r="F144" s="2" t="str">
        <f>VLOOKUP(T_Voluntarios[[#This Row],[RUN]],BBDD[],7,FALSE)</f>
        <v>Los Ángeles</v>
      </c>
      <c r="G144" s="2" t="str">
        <f>VLOOKUP(T_Voluntarios[[#This Row],[RUN]],BBDD[],8,FALSE)</f>
        <v>Celular</v>
      </c>
      <c r="H144" s="2" t="str">
        <f>IF(VLOOKUP(T_Voluntarios[[#This Row],[RUN]],BBDD[],9,FALSE)=0,"Falta",VLOOKUP(T_Voluntarios[[#This Row],[RUN]],BBDD[],9,FALSE))</f>
        <v>±56976866115</v>
      </c>
      <c r="I144" s="2" t="str">
        <f>VLOOKUP(T_Voluntarios[[#This Row],[RUN]],BBDD[],10,FALSE)</f>
        <v>Participante</v>
      </c>
      <c r="J144" s="2" t="str">
        <f>VLOOKUP(T_Voluntarios[[#This Row],[RUN]],BBDD[],11,FALSE)</f>
        <v>Mahuidanche</v>
      </c>
      <c r="K144" s="2" t="str">
        <f>VLOOKUP(T_Voluntarios[[#This Row],[RUN]],BBDD[],12,FALSE)</f>
        <v>Scouts</v>
      </c>
      <c r="L144" s="2" t="str">
        <f>VLOOKUP(T_Voluntarios[[#This Row],[RUN]],BBDD[],15,FALSE)</f>
        <v>Biobío</v>
      </c>
      <c r="M144" s="2" t="str">
        <f>VLOOKUP(T_Voluntarios[[#This Row],[RUN]],BBDD[],20,FALSE)</f>
        <v>Alimentación Tradicional</v>
      </c>
      <c r="N144" s="2" t="str">
        <f>VLOOKUP(T_Voluntarios[[#This Row],[RUN]],BBDD[],21,FALSE)</f>
        <v>Ninguna</v>
      </c>
      <c r="O144" s="2" t="str">
        <f>VLOOKUP(T_Voluntarios[[#This Row],[RUN]],BBDD[],22,FALSE)</f>
        <v>Ninguna</v>
      </c>
      <c r="P144" s="2" t="str">
        <f>VLOOKUP(T_Voluntarios[[#This Row],[RUN]],BBDD[],23,FALSE)</f>
        <v>Benjamin troncoso ±56959132913 /francisco troncoso±56956658142</v>
      </c>
      <c r="Q144" s="2" t="str">
        <f>IF(VLOOKUP(T_Voluntarios[[#This Row],[RUN]],BBDD[],27,FALSE)=0,"",VLOOKUP(T_Voluntarios[[#This Row],[RUN]],BBDD[],27,FALSE))</f>
        <v/>
      </c>
      <c r="R144" s="2" t="str">
        <f>VLOOKUP(T_Voluntarios[[#This Row],[RUN]],BBDD[],36,FALSE)</f>
        <v>https://drive.google.com/open?id=10GDWgT2Rhp7AiuAGaBUTw4QD9BgdalQi</v>
      </c>
      <c r="S144" s="2" t="str">
        <f>VLOOKUP(T_Voluntarios[[#This Row],[RUN]],BBDD[],16,FALSE)</f>
        <v>Inicial</v>
      </c>
      <c r="T144" s="2" t="str">
        <f>VLOOKUP(T_Voluntarios[[#This Row],[RUN]],BBDD[],17,FALSE)</f>
        <v>Ninguno</v>
      </c>
      <c r="U144" s="2" t="str">
        <f>VLOOKUP(T_Voluntarios[[#This Row],[RUN]],BBDD[],18,FALSE)</f>
        <v>Ninguno</v>
      </c>
      <c r="V144" s="2" t="str">
        <f>VLOOKUP(T_Voluntarios[[#This Row],[RUN]],BBDD[],19,FALSE)</f>
        <v>Ninguno</v>
      </c>
      <c r="W144" s="13" t="str">
        <f>IF(OR(T_Voluntarios[[#This Row],[ROL]]="Formador(a)"),"SI","NO")</f>
        <v>NO</v>
      </c>
      <c r="X144" s="13" t="str">
        <f>IF(ISERROR(VLOOKUP(T_Voluntarios[[#This Row],[RUN]],BBDD_Formadores[],15,FALSE)),"NO",VLOOKUP(T_Voluntarios[[#This Row],[RUN]],BBDD_Formadores[],15,FALSE))</f>
        <v>NO</v>
      </c>
      <c r="Y144" s="13" t="str">
        <f>IF(ISERROR(VLOOKUP(T_Voluntarios[[#This Row],[RUN]],BBDD_Formadores[],16,FALSE)),"NO",VLOOKUP(T_Voluntarios[[#This Row],[RUN]],BBDD_Formadores[],16,FALSE))</f>
        <v>NO</v>
      </c>
      <c r="Z144" s="13" t="str">
        <f>IF(ISERROR(VLOOKUP(T_Voluntarios[[#This Row],[RUN]],BBDD_Formadores[],17,FALSE)),"NO",VLOOKUP(T_Voluntarios[[#This Row],[RUN]],BBDD_Formadores[],17,FALSE))</f>
        <v>NO</v>
      </c>
      <c r="AA144" s="13" t="str">
        <f>IF(ISERROR(VLOOKUP(T_Voluntarios[[#This Row],[RUN]],BBDD_Formadores[],18,FALSE)),"NO",VLOOKUP(T_Voluntarios[[#This Row],[RUN]],BBDD_Formadores[],18,FALSE))</f>
        <v>NO</v>
      </c>
      <c r="AB144" s="13">
        <v>1</v>
      </c>
      <c r="AC144" s="13" t="s">
        <v>1</v>
      </c>
      <c r="AD144" s="13" t="s">
        <v>77</v>
      </c>
      <c r="AF144" s="2" t="str">
        <f>IF(VLOOKUP(T_Voluntarios[[#This Row],[RUN]],BBDD[],25,FALSE)=0,"",VLOOKUP(T_Voluntarios[[#This Row],[RUN]],BBDD[],25,FALSE))</f>
        <v>Hyunday</v>
      </c>
      <c r="AG144" s="2" t="str">
        <f>IF(VLOOKUP(T_Voluntarios[[#This Row],[RUN]],BBDD[],26,FALSE)=0,"",VLOOKUP(T_Voluntarios[[#This Row],[RUN]],BBDD[],26,FALSE))</f>
        <v>Santa Fe</v>
      </c>
      <c r="AH144" s="2" t="str">
        <f>IF(VLOOKUP(T_Voluntarios[[#This Row],[RUN]],BBDD[],24,FALSE)=0,"",VLOOKUP(T_Voluntarios[[#This Row],[RUN]],BBDD[],24,FALSE))</f>
        <v>Vrbl64</v>
      </c>
      <c r="AI144" s="13" t="str">
        <f>VLOOKUP(T_Voluntarios[[#This Row],[RUN]],BBDD[],28,FALSE)</f>
        <v>SI</v>
      </c>
      <c r="AJ144" s="13" t="str">
        <f>VLOOKUP(T_Voluntarios[[#This Row],[RUN]],BBDD[],28,FALSE)</f>
        <v>SI</v>
      </c>
      <c r="AK144" s="32">
        <f>IF(T_Voluntarios[[#This Row],[ROL]]="Participante",SUMIFS(T_Cuotas[[#All],[Total]],T_Cuotas[[#All],[RUN]],T_Voluntarios[[#This Row],[RUN]]),-1)</f>
        <v>50000</v>
      </c>
      <c r="AL144" s="13" t="s">
        <v>1</v>
      </c>
      <c r="AM144" s="13" t="s">
        <v>2029</v>
      </c>
      <c r="AP144" s="2" t="str">
        <f>MID(T_Voluntarios[[#This Row],[E_MAIL]],SEARCH("@",T_Voluntarios[[#This Row],[E_MAIL]],1),LEN(T_Voluntarios[[#This Row],[E_MAIL]]))</f>
        <v>@gmail.com</v>
      </c>
      <c r="AQ144" s="13" t="str">
        <f>VLOOKUP(T_Voluntarios[[#This Row],[RUN]],BBDD[],37,FALSE)</f>
        <v>44</v>
      </c>
      <c r="AR144" s="2" t="str">
        <f>VLOOKUP(T_Voluntarios[[#This Row],[RUN]],BBDD[],29,FALSE)</f>
        <v>Electricista</v>
      </c>
      <c r="AS144" s="2" t="str">
        <f>VLOOKUP(T_Voluntarios[[#This Row],[RUN]],BBDD[],30,FALSE)</f>
        <v>3 a 4 años</v>
      </c>
      <c r="AT144" s="2" t="str">
        <f>VLOOKUP(T_Voluntarios[[#This Row],[RUN]],BBDD[],31,FALSE)</f>
        <v>4 años y 3 meses</v>
      </c>
      <c r="AU144" s="2" t="str">
        <f>VLOOKUP(T_Voluntarios[[#This Row],[RUN]],BBDD[],32,FALSE)</f>
        <v>Casado(a)</v>
      </c>
      <c r="AV144" s="2" t="str">
        <f>VLOOKUP(T_Voluntarios[[#This Row],[RUN]],BBDD[],33,FALSE)</f>
        <v>Ninguna</v>
      </c>
      <c r="AW144" s="2" t="str">
        <f>VLOOKUP(T_Voluntarios[[#This Row],[RUN]],BBDD[],34,FALSE)</f>
        <v>Dany</v>
      </c>
      <c r="AX144" s="13" t="s">
        <v>733</v>
      </c>
      <c r="AY144" s="76">
        <f>VLOOKUP(T_Voluntarios[[#This Row],[RUN]],BBDD[],2,FALSE)</f>
        <v>45798.715100694448</v>
      </c>
      <c r="AZ144" s="13" t="s">
        <v>3403</v>
      </c>
    </row>
    <row r="145" spans="1:52" x14ac:dyDescent="0.3">
      <c r="A145" s="2" t="s">
        <v>2369</v>
      </c>
      <c r="B145" s="2" t="str">
        <f>VLOOKUP(T_Voluntarios[[#This Row],[RUN]],BBDD[],3,FALSE)</f>
        <v>sgtefhi@gmail.com</v>
      </c>
      <c r="C145" s="2" t="str">
        <f>VLOOKUP(T_Voluntarios[[#This Row],[RUN]],BBDD[],4,FALSE)</f>
        <v>Estephanie Ninette Salamanca Gutiérrez</v>
      </c>
      <c r="D145" s="16">
        <f>VLOOKUP(T_Voluntarios[[#This Row],[RUN]],BBDD[],5,FALSE)</f>
        <v>36083</v>
      </c>
      <c r="E145" s="2" t="str">
        <f>VLOOKUP(T_Voluntarios[[#This Row],[RUN]],BBDD[],6,FALSE)</f>
        <v>Maipu 1746</v>
      </c>
      <c r="F145" s="2" t="str">
        <f>VLOOKUP(T_Voluntarios[[#This Row],[RUN]],BBDD[],7,FALSE)</f>
        <v>Concepción</v>
      </c>
      <c r="G145" s="2" t="str">
        <f>VLOOKUP(T_Voluntarios[[#This Row],[RUN]],BBDD[],8,FALSE)</f>
        <v>Celular</v>
      </c>
      <c r="H145" s="2" t="str">
        <f>IF(VLOOKUP(T_Voluntarios[[#This Row],[RUN]],BBDD[],9,FALSE)=0,"Falta",VLOOKUP(T_Voluntarios[[#This Row],[RUN]],BBDD[],9,FALSE))</f>
        <v>+56945755832</v>
      </c>
      <c r="I145" s="2" t="str">
        <f>VLOOKUP(T_Voluntarios[[#This Row],[RUN]],BBDD[],10,FALSE)</f>
        <v>Participante</v>
      </c>
      <c r="J145" s="2" t="str">
        <f>VLOOKUP(T_Voluntarios[[#This Row],[RUN]],BBDD[],11,FALSE)</f>
        <v>Mahuidanche</v>
      </c>
      <c r="K145" s="2" t="str">
        <f>VLOOKUP(T_Voluntarios[[#This Row],[RUN]],BBDD[],12,FALSE)</f>
        <v>Caminantes</v>
      </c>
      <c r="L145" s="2" t="str">
        <f>VLOOKUP(T_Voluntarios[[#This Row],[RUN]],BBDD[],15,FALSE)</f>
        <v>Biobío</v>
      </c>
      <c r="M145" s="2" t="str">
        <f>VLOOKUP(T_Voluntarios[[#This Row],[RUN]],BBDD[],20,FALSE)</f>
        <v>Alimentación Tradicional</v>
      </c>
      <c r="N145" s="2" t="str">
        <f>VLOOKUP(T_Voluntarios[[#This Row],[RUN]],BBDD[],21,FALSE)</f>
        <v>ambiental, polvo, gatos</v>
      </c>
      <c r="O145" s="2" t="str">
        <f>VLOOKUP(T_Voluntarios[[#This Row],[RUN]],BBDD[],22,FALSE)</f>
        <v>Ninguna</v>
      </c>
      <c r="P145" s="2" t="str">
        <f>VLOOKUP(T_Voluntarios[[#This Row],[RUN]],BBDD[],23,FALSE)</f>
        <v>Wilma Gutiérrez +56945895756</v>
      </c>
      <c r="Q145" s="2" t="str">
        <f>IF(VLOOKUP(T_Voluntarios[[#This Row],[RUN]],BBDD[],27,FALSE)=0,"",VLOOKUP(T_Voluntarios[[#This Row],[RUN]],BBDD[],27,FALSE))</f>
        <v/>
      </c>
      <c r="R145" s="2" t="str">
        <f>VLOOKUP(T_Voluntarios[[#This Row],[RUN]],BBDD[],36,FALSE)</f>
        <v>https://drive.google.com/open?id=1d4X0jiXbyaAuAOa731y9KtudX7UK0H4L</v>
      </c>
      <c r="S145" s="2" t="str">
        <f>VLOOKUP(T_Voluntarios[[#This Row],[RUN]],BBDD[],16,FALSE)</f>
        <v>Inicial</v>
      </c>
      <c r="T145" s="2" t="str">
        <f>VLOOKUP(T_Voluntarios[[#This Row],[RUN]],BBDD[],17,FALSE)</f>
        <v>Ninguno</v>
      </c>
      <c r="U145" s="2" t="str">
        <f>VLOOKUP(T_Voluntarios[[#This Row],[RUN]],BBDD[],18,FALSE)</f>
        <v>Ninguno</v>
      </c>
      <c r="V145" s="2" t="str">
        <f>VLOOKUP(T_Voluntarios[[#This Row],[RUN]],BBDD[],19,FALSE)</f>
        <v>Ninguno</v>
      </c>
      <c r="W145" s="13" t="str">
        <f>IF(OR(T_Voluntarios[[#This Row],[ROL]]="Formador(a)"),"SI","NO")</f>
        <v>NO</v>
      </c>
      <c r="X145" s="13" t="str">
        <f>IF(ISERROR(VLOOKUP(T_Voluntarios[[#This Row],[RUN]],BBDD_Formadores[],15,FALSE)),"NO",VLOOKUP(T_Voluntarios[[#This Row],[RUN]],BBDD_Formadores[],15,FALSE))</f>
        <v>NO</v>
      </c>
      <c r="Y145" s="13" t="str">
        <f>IF(ISERROR(VLOOKUP(T_Voluntarios[[#This Row],[RUN]],BBDD_Formadores[],16,FALSE)),"NO",VLOOKUP(T_Voluntarios[[#This Row],[RUN]],BBDD_Formadores[],16,FALSE))</f>
        <v>NO</v>
      </c>
      <c r="Z145" s="13" t="str">
        <f>IF(ISERROR(VLOOKUP(T_Voluntarios[[#This Row],[RUN]],BBDD_Formadores[],17,FALSE)),"NO",VLOOKUP(T_Voluntarios[[#This Row],[RUN]],BBDD_Formadores[],17,FALSE))</f>
        <v>NO</v>
      </c>
      <c r="AA145" s="13" t="str">
        <f>IF(ISERROR(VLOOKUP(T_Voluntarios[[#This Row],[RUN]],BBDD_Formadores[],18,FALSE)),"NO",VLOOKUP(T_Voluntarios[[#This Row],[RUN]],BBDD_Formadores[],18,FALSE))</f>
        <v>NO</v>
      </c>
      <c r="AB145" s="13">
        <v>1</v>
      </c>
      <c r="AC145" s="13" t="s">
        <v>1</v>
      </c>
      <c r="AD145" s="13" t="s">
        <v>77</v>
      </c>
      <c r="AF145" s="2" t="str">
        <f>IF(VLOOKUP(T_Voluntarios[[#This Row],[RUN]],BBDD[],25,FALSE)=0,"",VLOOKUP(T_Voluntarios[[#This Row],[RUN]],BBDD[],25,FALSE))</f>
        <v/>
      </c>
      <c r="AG145" s="2" t="str">
        <f>IF(VLOOKUP(T_Voluntarios[[#This Row],[RUN]],BBDD[],26,FALSE)=0,"",VLOOKUP(T_Voluntarios[[#This Row],[RUN]],BBDD[],26,FALSE))</f>
        <v/>
      </c>
      <c r="AH145" s="2" t="str">
        <f>IF(VLOOKUP(T_Voluntarios[[#This Row],[RUN]],BBDD[],24,FALSE)=0,"",VLOOKUP(T_Voluntarios[[#This Row],[RUN]],BBDD[],24,FALSE))</f>
        <v/>
      </c>
      <c r="AI145" s="13" t="str">
        <f>VLOOKUP(T_Voluntarios[[#This Row],[RUN]],BBDD[],28,FALSE)</f>
        <v>No</v>
      </c>
      <c r="AJ145" s="13" t="str">
        <f>VLOOKUP(T_Voluntarios[[#This Row],[RUN]],BBDD[],28,FALSE)</f>
        <v>No</v>
      </c>
      <c r="AK145" s="32">
        <f>IF(T_Voluntarios[[#This Row],[ROL]]="Participante",SUMIFS(T_Cuotas[[#All],[Total]],T_Cuotas[[#All],[RUN]],T_Voluntarios[[#This Row],[RUN]]),-1)</f>
        <v>50000</v>
      </c>
      <c r="AL145" s="13" t="s">
        <v>1</v>
      </c>
      <c r="AM145" s="13" t="s">
        <v>2029</v>
      </c>
      <c r="AP145" s="2" t="str">
        <f>MID(T_Voluntarios[[#This Row],[E_MAIL]],SEARCH("@",T_Voluntarios[[#This Row],[E_MAIL]],1),LEN(T_Voluntarios[[#This Row],[E_MAIL]]))</f>
        <v>@gmail.com</v>
      </c>
      <c r="AQ145" s="13" t="str">
        <f>VLOOKUP(T_Voluntarios[[#This Row],[RUN]],BBDD[],37,FALSE)</f>
        <v>26</v>
      </c>
      <c r="AR145" s="2" t="str">
        <f>VLOOKUP(T_Voluntarios[[#This Row],[RUN]],BBDD[],29,FALSE)</f>
        <v>Ingeniera en Biotecnología</v>
      </c>
      <c r="AS145" s="2" t="str">
        <f>VLOOKUP(T_Voluntarios[[#This Row],[RUN]],BBDD[],30,FALSE)</f>
        <v>5 años</v>
      </c>
      <c r="AT145" s="2" t="str">
        <f>VLOOKUP(T_Voluntarios[[#This Row],[RUN]],BBDD[],31,FALSE)</f>
        <v>5 años</v>
      </c>
      <c r="AU145" s="2" t="str">
        <f>VLOOKUP(T_Voluntarios[[#This Row],[RUN]],BBDD[],32,FALSE)</f>
        <v>Soltero(a)</v>
      </c>
      <c r="AV145" s="2" t="str">
        <f>VLOOKUP(T_Voluntarios[[#This Row],[RUN]],BBDD[],33,FALSE)</f>
        <v>Catolica</v>
      </c>
      <c r="AW145" s="2" t="str">
        <f>VLOOKUP(T_Voluntarios[[#This Row],[RUN]],BBDD[],34,FALSE)</f>
        <v>Tefi</v>
      </c>
      <c r="AX145" s="13" t="s">
        <v>733</v>
      </c>
      <c r="AY145" s="76">
        <f>VLOOKUP(T_Voluntarios[[#This Row],[RUN]],BBDD[],2,FALSE)</f>
        <v>45798.77257484568</v>
      </c>
      <c r="AZ145" s="13" t="s">
        <v>3403</v>
      </c>
    </row>
    <row r="146" spans="1:52" ht="14.4" x14ac:dyDescent="0.3">
      <c r="A146" s="2" t="s">
        <v>2248</v>
      </c>
      <c r="B146" s="2" t="str">
        <f>VLOOKUP(T_Voluntarios[[#This Row],[RUN]],BBDD[],3,FALSE)</f>
        <v>isidorajara1910@gmail.com</v>
      </c>
      <c r="C146" s="2" t="str">
        <f>VLOOKUP(T_Voluntarios[[#This Row],[RUN]],BBDD[],4,FALSE)</f>
        <v>Isidora Ignacia Jara Ceballos</v>
      </c>
      <c r="D146" s="16">
        <f>VLOOKUP(T_Voluntarios[[#This Row],[RUN]],BBDD[],5,FALSE)</f>
        <v>37548</v>
      </c>
      <c r="E146" s="2" t="str">
        <f>VLOOKUP(T_Voluntarios[[#This Row],[RUN]],BBDD[],6,FALSE)</f>
        <v>c cinco 428 Los Fresnos</v>
      </c>
      <c r="F146" s="2" t="str">
        <f>VLOOKUP(T_Voluntarios[[#This Row],[RUN]],BBDD[],7,FALSE)</f>
        <v>Concepción</v>
      </c>
      <c r="G146" s="2" t="str">
        <f>VLOOKUP(T_Voluntarios[[#This Row],[RUN]],BBDD[],8,FALSE)</f>
        <v>Celular</v>
      </c>
      <c r="H146" s="2" t="str">
        <f>IF(VLOOKUP(T_Voluntarios[[#This Row],[RUN]],BBDD[],9,FALSE)=0,"Falta",VLOOKUP(T_Voluntarios[[#This Row],[RUN]],BBDD[],9,FALSE))</f>
        <v>+56998999503</v>
      </c>
      <c r="I146" s="2" t="str">
        <f>VLOOKUP(T_Voluntarios[[#This Row],[RUN]],BBDD[],10,FALSE)</f>
        <v>Participante</v>
      </c>
      <c r="J146" s="2" t="str">
        <f>VLOOKUP(T_Voluntarios[[#This Row],[RUN]],BBDD[],11,FALSE)</f>
        <v>Peulla</v>
      </c>
      <c r="K146" s="2" t="str">
        <f>VLOOKUP(T_Voluntarios[[#This Row],[RUN]],BBDD[],12,FALSE)</f>
        <v>Golondrinas</v>
      </c>
      <c r="L146" s="2" t="str">
        <f>VLOOKUP(T_Voluntarios[[#This Row],[RUN]],BBDD[],15,FALSE)</f>
        <v>Rio Andalién</v>
      </c>
      <c r="M146" s="2" t="str">
        <f>VLOOKUP(T_Voluntarios[[#This Row],[RUN]],BBDD[],20,FALSE)</f>
        <v>Sin Almuerzo</v>
      </c>
      <c r="N146" s="2" t="str">
        <f>VLOOKUP(T_Voluntarios[[#This Row],[RUN]],BBDD[],21,FALSE)</f>
        <v>Ninguna</v>
      </c>
      <c r="O146" s="2" t="str">
        <f>VLOOKUP(T_Voluntarios[[#This Row],[RUN]],BBDD[],22,FALSE)</f>
        <v>Ninguna</v>
      </c>
      <c r="P146" s="2" t="str">
        <f>VLOOKUP(T_Voluntarios[[#This Row],[RUN]],BBDD[],23,FALSE)</f>
        <v>Macarena Ceballos +56976623868</v>
      </c>
      <c r="Q146" s="2" t="str">
        <f>IF(VLOOKUP(T_Voluntarios[[#This Row],[RUN]],BBDD[],27,FALSE)=0,"",VLOOKUP(T_Voluntarios[[#This Row],[RUN]],BBDD[],27,FALSE))</f>
        <v/>
      </c>
      <c r="R146" s="2" t="str">
        <f>VLOOKUP(T_Voluntarios[[#This Row],[RUN]],BBDD[],36,FALSE)</f>
        <v>https://drive.google.com/open?id=1vNgRy_EkdhLHQV1kPgvW8ne-QCLE2iYT</v>
      </c>
      <c r="S146" s="2" t="str">
        <f>VLOOKUP(T_Voluntarios[[#This Row],[RUN]],BBDD[],16,FALSE)</f>
        <v>Inicial</v>
      </c>
      <c r="T146" s="2" t="str">
        <f>VLOOKUP(T_Voluntarios[[#This Row],[RUN]],BBDD[],17,FALSE)</f>
        <v>Ninguno</v>
      </c>
      <c r="U146" s="2" t="str">
        <f>VLOOKUP(T_Voluntarios[[#This Row],[RUN]],BBDD[],18,FALSE)</f>
        <v>Ninguno</v>
      </c>
      <c r="V146" s="2" t="str">
        <f>VLOOKUP(T_Voluntarios[[#This Row],[RUN]],BBDD[],19,FALSE)</f>
        <v>Ninguno</v>
      </c>
      <c r="W146" s="13" t="str">
        <f>IF(OR(T_Voluntarios[[#This Row],[ROL]]="Formador(a)"),"SI","NO")</f>
        <v>NO</v>
      </c>
      <c r="X146" s="13" t="str">
        <f>IF(ISERROR(VLOOKUP(T_Voluntarios[[#This Row],[RUN]],BBDD_Formadores[],15,FALSE)),"NO",VLOOKUP(T_Voluntarios[[#This Row],[RUN]],BBDD_Formadores[],15,FALSE))</f>
        <v>NO</v>
      </c>
      <c r="Y146" s="13" t="str">
        <f>IF(ISERROR(VLOOKUP(T_Voluntarios[[#This Row],[RUN]],BBDD_Formadores[],16,FALSE)),"NO",VLOOKUP(T_Voluntarios[[#This Row],[RUN]],BBDD_Formadores[],16,FALSE))</f>
        <v>NO</v>
      </c>
      <c r="Z146" s="13" t="str">
        <f>IF(ISERROR(VLOOKUP(T_Voluntarios[[#This Row],[RUN]],BBDD_Formadores[],17,FALSE)),"NO",VLOOKUP(T_Voluntarios[[#This Row],[RUN]],BBDD_Formadores[],17,FALSE))</f>
        <v>NO</v>
      </c>
      <c r="AA146" s="13" t="str">
        <f>IF(ISERROR(VLOOKUP(T_Voluntarios[[#This Row],[RUN]],BBDD_Formadores[],18,FALSE)),"NO",VLOOKUP(T_Voluntarios[[#This Row],[RUN]],BBDD_Formadores[],18,FALSE))</f>
        <v>NO</v>
      </c>
      <c r="AB146" s="13">
        <v>1</v>
      </c>
      <c r="AC146" s="13" t="s">
        <v>1597</v>
      </c>
      <c r="AD146" s="13" t="s">
        <v>78</v>
      </c>
      <c r="AF146" s="2" t="str">
        <f>IF(VLOOKUP(T_Voluntarios[[#This Row],[RUN]],BBDD[],25,FALSE)=0,"",VLOOKUP(T_Voluntarios[[#This Row],[RUN]],BBDD[],25,FALSE))</f>
        <v/>
      </c>
      <c r="AG146" s="2" t="str">
        <f>IF(VLOOKUP(T_Voluntarios[[#This Row],[RUN]],BBDD[],26,FALSE)=0,"",VLOOKUP(T_Voluntarios[[#This Row],[RUN]],BBDD[],26,FALSE))</f>
        <v/>
      </c>
      <c r="AH146" s="2" t="str">
        <f>IF(VLOOKUP(T_Voluntarios[[#This Row],[RUN]],BBDD[],24,FALSE)=0,"",VLOOKUP(T_Voluntarios[[#This Row],[RUN]],BBDD[],24,FALSE))</f>
        <v/>
      </c>
      <c r="AI146" s="13" t="str">
        <f>VLOOKUP(T_Voluntarios[[#This Row],[RUN]],BBDD[],28,FALSE)</f>
        <v>No</v>
      </c>
      <c r="AJ146" s="13" t="str">
        <f>VLOOKUP(T_Voluntarios[[#This Row],[RUN]],BBDD[],28,FALSE)</f>
        <v>No</v>
      </c>
      <c r="AK146" s="32">
        <f>IF(T_Voluntarios[[#This Row],[ROL]]="Participante",SUMIFS(T_Cuotas[[#All],[Total]],T_Cuotas[[#All],[RUN]],T_Voluntarios[[#This Row],[RUN]]),-1)</f>
        <v>0</v>
      </c>
      <c r="AL146" s="1" t="s">
        <v>78</v>
      </c>
      <c r="AM146" s="13" t="s">
        <v>733</v>
      </c>
      <c r="AP146" s="2" t="str">
        <f>MID(T_Voluntarios[[#This Row],[E_MAIL]],SEARCH("@",T_Voluntarios[[#This Row],[E_MAIL]],1),LEN(T_Voluntarios[[#This Row],[E_MAIL]]))</f>
        <v>@gmail.com</v>
      </c>
      <c r="AQ146" s="13" t="str">
        <f>VLOOKUP(T_Voluntarios[[#This Row],[RUN]],BBDD[],37,FALSE)</f>
        <v>22</v>
      </c>
      <c r="AR146" s="2" t="str">
        <f>VLOOKUP(T_Voluntarios[[#This Row],[RUN]],BBDD[],29,FALSE)</f>
        <v>No tengo todavía, soy estudiante</v>
      </c>
      <c r="AS146" s="2" t="str">
        <f>VLOOKUP(T_Voluntarios[[#This Row],[RUN]],BBDD[],30,FALSE)</f>
        <v>10 años fui beneficiaria</v>
      </c>
      <c r="AT146" s="2" t="str">
        <f>VLOOKUP(T_Voluntarios[[#This Row],[RUN]],BBDD[],31,FALSE)</f>
        <v>Sólo he trabajo en scout con niños y ha sido por 3 años</v>
      </c>
      <c r="AU146" s="2" t="str">
        <f>VLOOKUP(T_Voluntarios[[#This Row],[RUN]],BBDD[],32,FALSE)</f>
        <v>Soltero(a)</v>
      </c>
      <c r="AV146" s="2" t="str">
        <f>VLOOKUP(T_Voluntarios[[#This Row],[RUN]],BBDD[],33,FALSE)</f>
        <v>Ninguna</v>
      </c>
      <c r="AW146" s="2" t="str">
        <f>VLOOKUP(T_Voluntarios[[#This Row],[RUN]],BBDD[],34,FALSE)</f>
        <v>Isi</v>
      </c>
      <c r="AX146" s="13" t="s">
        <v>733</v>
      </c>
      <c r="AY146" s="76">
        <f>VLOOKUP(T_Voluntarios[[#This Row],[RUN]],BBDD[],2,FALSE)</f>
        <v>45798.773656712961</v>
      </c>
      <c r="AZ146" s="13" t="s">
        <v>2</v>
      </c>
    </row>
    <row r="147" spans="1:52" x14ac:dyDescent="0.3">
      <c r="A147" s="2" t="s">
        <v>2258</v>
      </c>
      <c r="B147" s="2" t="str">
        <f>VLOOKUP(T_Voluntarios[[#This Row],[RUN]],BBDD[],3,FALSE)</f>
        <v>danielyn10@gmail.com</v>
      </c>
      <c r="C147" s="2" t="str">
        <f>VLOOKUP(T_Voluntarios[[#This Row],[RUN]],BBDD[],4,FALSE)</f>
        <v>Daniel Alonso Sandoval Villanueva</v>
      </c>
      <c r="D147" s="16">
        <f>VLOOKUP(T_Voluntarios[[#This Row],[RUN]],BBDD[],5,FALSE)</f>
        <v>37975</v>
      </c>
      <c r="E147" s="2" t="str">
        <f>VLOOKUP(T_Voluntarios[[#This Row],[RUN]],BBDD[],6,FALSE)</f>
        <v>camilo henriquez 329</v>
      </c>
      <c r="F147" s="2" t="str">
        <f>VLOOKUP(T_Voluntarios[[#This Row],[RUN]],BBDD[],7,FALSE)</f>
        <v>Los Ángeles</v>
      </c>
      <c r="G147" s="2" t="str">
        <f>VLOOKUP(T_Voluntarios[[#This Row],[RUN]],BBDD[],8,FALSE)</f>
        <v>Celular</v>
      </c>
      <c r="H147" s="2" t="str">
        <f>IF(VLOOKUP(T_Voluntarios[[#This Row],[RUN]],BBDD[],9,FALSE)=0,"Falta",VLOOKUP(T_Voluntarios[[#This Row],[RUN]],BBDD[],9,FALSE))</f>
        <v>+56944550102</v>
      </c>
      <c r="I147" s="2" t="str">
        <f>VLOOKUP(T_Voluntarios[[#This Row],[RUN]],BBDD[],10,FALSE)</f>
        <v>Participante</v>
      </c>
      <c r="J147" s="2" t="str">
        <f>VLOOKUP(T_Voluntarios[[#This Row],[RUN]],BBDD[],11,FALSE)</f>
        <v>Mahuidanche</v>
      </c>
      <c r="K147" s="2" t="str">
        <f>VLOOKUP(T_Voluntarios[[#This Row],[RUN]],BBDD[],12,FALSE)</f>
        <v>Scouts</v>
      </c>
      <c r="L147" s="2" t="str">
        <f>VLOOKUP(T_Voluntarios[[#This Row],[RUN]],BBDD[],15,FALSE)</f>
        <v>Biobío</v>
      </c>
      <c r="M147" s="2" t="str">
        <f>VLOOKUP(T_Voluntarios[[#This Row],[RUN]],BBDD[],20,FALSE)</f>
        <v>Alimentación Tradicional</v>
      </c>
      <c r="N147" s="2" t="str">
        <f>VLOOKUP(T_Voluntarios[[#This Row],[RUN]],BBDD[],21,FALSE)</f>
        <v>Ninguna</v>
      </c>
      <c r="O147" s="2" t="str">
        <f>VLOOKUP(T_Voluntarios[[#This Row],[RUN]],BBDD[],22,FALSE)</f>
        <v>Ninguna</v>
      </c>
      <c r="P147" s="2" t="str">
        <f>VLOOKUP(T_Voluntarios[[#This Row],[RUN]],BBDD[],23,FALSE)</f>
        <v>maritza villanueva +56975649423</v>
      </c>
      <c r="Q147" s="2" t="str">
        <f>IF(VLOOKUP(T_Voluntarios[[#This Row],[RUN]],BBDD[],27,FALSE)=0,"",VLOOKUP(T_Voluntarios[[#This Row],[RUN]],BBDD[],27,FALSE))</f>
        <v/>
      </c>
      <c r="R147" s="2" t="str">
        <f>VLOOKUP(T_Voluntarios[[#This Row],[RUN]],BBDD[],36,FALSE)</f>
        <v>https://drive.google.com/open?id=1Gatbrr7FQLiiUK-npe6l7dxciwav0V6f</v>
      </c>
      <c r="S147" s="2" t="str">
        <f>VLOOKUP(T_Voluntarios[[#This Row],[RUN]],BBDD[],16,FALSE)</f>
        <v>Inicial</v>
      </c>
      <c r="T147" s="2" t="str">
        <f>VLOOKUP(T_Voluntarios[[#This Row],[RUN]],BBDD[],17,FALSE)</f>
        <v>Ninguno</v>
      </c>
      <c r="U147" s="2" t="str">
        <f>VLOOKUP(T_Voluntarios[[#This Row],[RUN]],BBDD[],18,FALSE)</f>
        <v>Ninguno</v>
      </c>
      <c r="V147" s="2" t="str">
        <f>VLOOKUP(T_Voluntarios[[#This Row],[RUN]],BBDD[],19,FALSE)</f>
        <v>Ninguno</v>
      </c>
      <c r="W147" s="13" t="str">
        <f>IF(OR(T_Voluntarios[[#This Row],[ROL]]="Formador(a)"),"SI","NO")</f>
        <v>NO</v>
      </c>
      <c r="X147" s="13" t="str">
        <f>IF(ISERROR(VLOOKUP(T_Voluntarios[[#This Row],[RUN]],BBDD_Formadores[],15,FALSE)),"NO",VLOOKUP(T_Voluntarios[[#This Row],[RUN]],BBDD_Formadores[],15,FALSE))</f>
        <v>NO</v>
      </c>
      <c r="Y147" s="13" t="str">
        <f>IF(ISERROR(VLOOKUP(T_Voluntarios[[#This Row],[RUN]],BBDD_Formadores[],16,FALSE)),"NO",VLOOKUP(T_Voluntarios[[#This Row],[RUN]],BBDD_Formadores[],16,FALSE))</f>
        <v>NO</v>
      </c>
      <c r="Z147" s="13" t="str">
        <f>IF(ISERROR(VLOOKUP(T_Voluntarios[[#This Row],[RUN]],BBDD_Formadores[],17,FALSE)),"NO",VLOOKUP(T_Voluntarios[[#This Row],[RUN]],BBDD_Formadores[],17,FALSE))</f>
        <v>NO</v>
      </c>
      <c r="AA147" s="13" t="str">
        <f>IF(ISERROR(VLOOKUP(T_Voluntarios[[#This Row],[RUN]],BBDD_Formadores[],18,FALSE)),"NO",VLOOKUP(T_Voluntarios[[#This Row],[RUN]],BBDD_Formadores[],18,FALSE))</f>
        <v>NO</v>
      </c>
      <c r="AB147" s="13">
        <v>1</v>
      </c>
      <c r="AC147" s="13" t="s">
        <v>1</v>
      </c>
      <c r="AD147" s="13" t="s">
        <v>77</v>
      </c>
      <c r="AF147" s="2" t="str">
        <f>IF(VLOOKUP(T_Voluntarios[[#This Row],[RUN]],BBDD[],25,FALSE)=0,"",VLOOKUP(T_Voluntarios[[#This Row],[RUN]],BBDD[],25,FALSE))</f>
        <v/>
      </c>
      <c r="AG147" s="2" t="str">
        <f>IF(VLOOKUP(T_Voluntarios[[#This Row],[RUN]],BBDD[],26,FALSE)=0,"",VLOOKUP(T_Voluntarios[[#This Row],[RUN]],BBDD[],26,FALSE))</f>
        <v/>
      </c>
      <c r="AH147" s="2" t="str">
        <f>IF(VLOOKUP(T_Voluntarios[[#This Row],[RUN]],BBDD[],24,FALSE)=0,"",VLOOKUP(T_Voluntarios[[#This Row],[RUN]],BBDD[],24,FALSE))</f>
        <v/>
      </c>
      <c r="AI147" s="13" t="str">
        <f>VLOOKUP(T_Voluntarios[[#This Row],[RUN]],BBDD[],28,FALSE)</f>
        <v>SI</v>
      </c>
      <c r="AJ147" s="13" t="str">
        <f>VLOOKUP(T_Voluntarios[[#This Row],[RUN]],BBDD[],28,FALSE)</f>
        <v>SI</v>
      </c>
      <c r="AK147" s="32">
        <f>IF(T_Voluntarios[[#This Row],[ROL]]="Participante",SUMIFS(T_Cuotas[[#All],[Total]],T_Cuotas[[#All],[RUN]],T_Voluntarios[[#This Row],[RUN]]),-1)</f>
        <v>50000</v>
      </c>
      <c r="AL147" s="13" t="s">
        <v>1</v>
      </c>
      <c r="AM147" s="13" t="s">
        <v>2029</v>
      </c>
      <c r="AP147" s="2" t="str">
        <f>MID(T_Voluntarios[[#This Row],[E_MAIL]],SEARCH("@",T_Voluntarios[[#This Row],[E_MAIL]],1),LEN(T_Voluntarios[[#This Row],[E_MAIL]]))</f>
        <v>@gmail.com</v>
      </c>
      <c r="AQ147" s="13" t="str">
        <f>VLOOKUP(T_Voluntarios[[#This Row],[RUN]],BBDD[],37,FALSE)</f>
        <v>21</v>
      </c>
      <c r="AR147" s="2" t="str">
        <f>VLOOKUP(T_Voluntarios[[#This Row],[RUN]],BBDD[],29,FALSE)</f>
        <v>Estudiante</v>
      </c>
      <c r="AS147" s="2" t="str">
        <f>VLOOKUP(T_Voluntarios[[#This Row],[RUN]],BBDD[],30,FALSE)</f>
        <v>16 años</v>
      </c>
      <c r="AT147" s="2" t="str">
        <f>VLOOKUP(T_Voluntarios[[#This Row],[RUN]],BBDD[],31,FALSE)</f>
        <v>2 meses</v>
      </c>
      <c r="AU147" s="2" t="str">
        <f>VLOOKUP(T_Voluntarios[[#This Row],[RUN]],BBDD[],32,FALSE)</f>
        <v>Soltero(a)</v>
      </c>
      <c r="AV147" s="2" t="str">
        <f>VLOOKUP(T_Voluntarios[[#This Row],[RUN]],BBDD[],33,FALSE)</f>
        <v>catolico</v>
      </c>
      <c r="AW147" s="2" t="str">
        <f>VLOOKUP(T_Voluntarios[[#This Row],[RUN]],BBDD[],34,FALSE)</f>
        <v>dani sandoval</v>
      </c>
      <c r="AX147" s="13" t="s">
        <v>733</v>
      </c>
      <c r="AY147" s="76">
        <f>VLOOKUP(T_Voluntarios[[#This Row],[RUN]],BBDD[],2,FALSE)</f>
        <v>45798.803119598764</v>
      </c>
      <c r="AZ147" s="13" t="s">
        <v>3403</v>
      </c>
    </row>
    <row r="148" spans="1:52" x14ac:dyDescent="0.3">
      <c r="A148" s="2" t="s">
        <v>2280</v>
      </c>
      <c r="B148" s="2" t="str">
        <f>VLOOKUP(T_Voluntarios[[#This Row],[RUN]],BBDD[],3,FALSE)</f>
        <v>jaimesanhueza249@gmail.com</v>
      </c>
      <c r="C148" s="2" t="str">
        <f>VLOOKUP(T_Voluntarios[[#This Row],[RUN]],BBDD[],4,FALSE)</f>
        <v>Jaime Antonio Sanhueza Orostica</v>
      </c>
      <c r="D148" s="16">
        <f>VLOOKUP(T_Voluntarios[[#This Row],[RUN]],BBDD[],5,FALSE)</f>
        <v>31675</v>
      </c>
      <c r="E148" s="2" t="str">
        <f>VLOOKUP(T_Voluntarios[[#This Row],[RUN]],BBDD[],6,FALSE)</f>
        <v>bajin monte cea 585</v>
      </c>
      <c r="F148" s="2" t="str">
        <f>VLOOKUP(T_Voluntarios[[#This Row],[RUN]],BBDD[],7,FALSE)</f>
        <v>Los Ángeles</v>
      </c>
      <c r="G148" s="2" t="str">
        <f>VLOOKUP(T_Voluntarios[[#This Row],[RUN]],BBDD[],8,FALSE)</f>
        <v>Celular</v>
      </c>
      <c r="H148" s="2" t="str">
        <f>IF(VLOOKUP(T_Voluntarios[[#This Row],[RUN]],BBDD[],9,FALSE)=0,"Falta",VLOOKUP(T_Voluntarios[[#This Row],[RUN]],BBDD[],9,FALSE))</f>
        <v>+56952186469</v>
      </c>
      <c r="I148" s="2" t="str">
        <f>VLOOKUP(T_Voluntarios[[#This Row],[RUN]],BBDD[],10,FALSE)</f>
        <v>Participante</v>
      </c>
      <c r="J148" s="2" t="str">
        <f>VLOOKUP(T_Voluntarios[[#This Row],[RUN]],BBDD[],11,FALSE)</f>
        <v>Mahuidanche</v>
      </c>
      <c r="K148" s="2" t="str">
        <f>VLOOKUP(T_Voluntarios[[#This Row],[RUN]],BBDD[],12,FALSE)</f>
        <v>Scouts</v>
      </c>
      <c r="L148" s="2" t="str">
        <f>VLOOKUP(T_Voluntarios[[#This Row],[RUN]],BBDD[],15,FALSE)</f>
        <v>Biobío</v>
      </c>
      <c r="M148" s="2" t="str">
        <f>VLOOKUP(T_Voluntarios[[#This Row],[RUN]],BBDD[],20,FALSE)</f>
        <v>Alimentación Tradicional</v>
      </c>
      <c r="N148" s="2" t="str">
        <f>VLOOKUP(T_Voluntarios[[#This Row],[RUN]],BBDD[],21,FALSE)</f>
        <v>Ninguna</v>
      </c>
      <c r="O148" s="2" t="str">
        <f>VLOOKUP(T_Voluntarios[[#This Row],[RUN]],BBDD[],22,FALSE)</f>
        <v>Ninguna</v>
      </c>
      <c r="P148" s="2" t="str">
        <f>VLOOKUP(T_Voluntarios[[#This Row],[RUN]],BBDD[],23,FALSE)</f>
        <v>942780290 carlos sanhueza</v>
      </c>
      <c r="Q148" s="2" t="str">
        <f>IF(VLOOKUP(T_Voluntarios[[#This Row],[RUN]],BBDD[],27,FALSE)=0,"",VLOOKUP(T_Voluntarios[[#This Row],[RUN]],BBDD[],27,FALSE))</f>
        <v/>
      </c>
      <c r="R148" s="2" t="str">
        <f>VLOOKUP(T_Voluntarios[[#This Row],[RUN]],BBDD[],36,FALSE)</f>
        <v>https://drive.google.com/open?id=1zchAuoIhDw_tQiOAa9qPAYrHLKCm1MJV</v>
      </c>
      <c r="S148" s="2" t="str">
        <f>VLOOKUP(T_Voluntarios[[#This Row],[RUN]],BBDD[],16,FALSE)</f>
        <v>Inicial</v>
      </c>
      <c r="T148" s="2" t="str">
        <f>VLOOKUP(T_Voluntarios[[#This Row],[RUN]],BBDD[],17,FALSE)</f>
        <v>Ninguno</v>
      </c>
      <c r="U148" s="2" t="str">
        <f>VLOOKUP(T_Voluntarios[[#This Row],[RUN]],BBDD[],18,FALSE)</f>
        <v>Ninguno</v>
      </c>
      <c r="V148" s="2" t="str">
        <f>VLOOKUP(T_Voluntarios[[#This Row],[RUN]],BBDD[],19,FALSE)</f>
        <v>Ninguno</v>
      </c>
      <c r="W148" s="13" t="str">
        <f>IF(OR(T_Voluntarios[[#This Row],[ROL]]="Formador(a)"),"SI","NO")</f>
        <v>NO</v>
      </c>
      <c r="X148" s="13" t="str">
        <f>IF(ISERROR(VLOOKUP(T_Voluntarios[[#This Row],[RUN]],BBDD_Formadores[],15,FALSE)),"NO",VLOOKUP(T_Voluntarios[[#This Row],[RUN]],BBDD_Formadores[],15,FALSE))</f>
        <v>NO</v>
      </c>
      <c r="Y148" s="13" t="str">
        <f>IF(ISERROR(VLOOKUP(T_Voluntarios[[#This Row],[RUN]],BBDD_Formadores[],16,FALSE)),"NO",VLOOKUP(T_Voluntarios[[#This Row],[RUN]],BBDD_Formadores[],16,FALSE))</f>
        <v>NO</v>
      </c>
      <c r="Z148" s="13" t="str">
        <f>IF(ISERROR(VLOOKUP(T_Voluntarios[[#This Row],[RUN]],BBDD_Formadores[],17,FALSE)),"NO",VLOOKUP(T_Voluntarios[[#This Row],[RUN]],BBDD_Formadores[],17,FALSE))</f>
        <v>NO</v>
      </c>
      <c r="AA148" s="13" t="str">
        <f>IF(ISERROR(VLOOKUP(T_Voluntarios[[#This Row],[RUN]],BBDD_Formadores[],18,FALSE)),"NO",VLOOKUP(T_Voluntarios[[#This Row],[RUN]],BBDD_Formadores[],18,FALSE))</f>
        <v>NO</v>
      </c>
      <c r="AB148" s="13">
        <v>1</v>
      </c>
      <c r="AC148" s="13" t="s">
        <v>1</v>
      </c>
      <c r="AD148" s="13" t="s">
        <v>77</v>
      </c>
      <c r="AF148" s="2" t="str">
        <f>IF(VLOOKUP(T_Voluntarios[[#This Row],[RUN]],BBDD[],25,FALSE)=0,"",VLOOKUP(T_Voluntarios[[#This Row],[RUN]],BBDD[],25,FALSE))</f>
        <v/>
      </c>
      <c r="AG148" s="2" t="str">
        <f>IF(VLOOKUP(T_Voluntarios[[#This Row],[RUN]],BBDD[],26,FALSE)=0,"",VLOOKUP(T_Voluntarios[[#This Row],[RUN]],BBDD[],26,FALSE))</f>
        <v/>
      </c>
      <c r="AH148" s="2" t="str">
        <f>IF(VLOOKUP(T_Voluntarios[[#This Row],[RUN]],BBDD[],24,FALSE)=0,"",VLOOKUP(T_Voluntarios[[#This Row],[RUN]],BBDD[],24,FALSE))</f>
        <v/>
      </c>
      <c r="AI148" s="13" t="str">
        <f>VLOOKUP(T_Voluntarios[[#This Row],[RUN]],BBDD[],28,FALSE)</f>
        <v>SI</v>
      </c>
      <c r="AJ148" s="13" t="str">
        <f>VLOOKUP(T_Voluntarios[[#This Row],[RUN]],BBDD[],28,FALSE)</f>
        <v>SI</v>
      </c>
      <c r="AK148" s="32">
        <f>IF(T_Voluntarios[[#This Row],[ROL]]="Participante",SUMIFS(T_Cuotas[[#All],[Total]],T_Cuotas[[#All],[RUN]],T_Voluntarios[[#This Row],[RUN]]),-1)</f>
        <v>50000</v>
      </c>
      <c r="AL148" s="13" t="s">
        <v>1</v>
      </c>
      <c r="AM148" s="13" t="s">
        <v>2029</v>
      </c>
      <c r="AP148" s="2" t="str">
        <f>MID(T_Voluntarios[[#This Row],[E_MAIL]],SEARCH("@",T_Voluntarios[[#This Row],[E_MAIL]],1),LEN(T_Voluntarios[[#This Row],[E_MAIL]]))</f>
        <v>@gmail.com</v>
      </c>
      <c r="AQ148" s="13" t="str">
        <f>VLOOKUP(T_Voluntarios[[#This Row],[RUN]],BBDD[],37,FALSE)</f>
        <v>38</v>
      </c>
      <c r="AR148" s="2" t="str">
        <f>VLOOKUP(T_Voluntarios[[#This Row],[RUN]],BBDD[],29,FALSE)</f>
        <v>conductor de municipalidad</v>
      </c>
      <c r="AS148" s="2" t="str">
        <f>VLOOKUP(T_Voluntarios[[#This Row],[RUN]],BBDD[],30,FALSE)</f>
        <v>No</v>
      </c>
      <c r="AT148" s="2" t="str">
        <f>VLOOKUP(T_Voluntarios[[#This Row],[RUN]],BBDD[],31,FALSE)</f>
        <v>12 años</v>
      </c>
      <c r="AU148" s="2" t="str">
        <f>VLOOKUP(T_Voluntarios[[#This Row],[RUN]],BBDD[],32,FALSE)</f>
        <v>Soltero(a)</v>
      </c>
      <c r="AV148" s="2" t="str">
        <f>VLOOKUP(T_Voluntarios[[#This Row],[RUN]],BBDD[],33,FALSE)</f>
        <v>Ninguna</v>
      </c>
      <c r="AW148" s="2" t="str">
        <f>VLOOKUP(T_Voluntarios[[#This Row],[RUN]],BBDD[],34,FALSE)</f>
        <v>antonio</v>
      </c>
      <c r="AX148" s="13" t="s">
        <v>733</v>
      </c>
      <c r="AY148" s="76">
        <f>VLOOKUP(T_Voluntarios[[#This Row],[RUN]],BBDD[],2,FALSE)</f>
        <v>45798.842724614195</v>
      </c>
      <c r="AZ148" s="13" t="s">
        <v>3403</v>
      </c>
    </row>
    <row r="149" spans="1:52" x14ac:dyDescent="0.3">
      <c r="A149" s="2" t="s">
        <v>2267</v>
      </c>
      <c r="B149" s="2" t="str">
        <f>VLOOKUP(T_Voluntarios[[#This Row],[RUN]],BBDD[],3,FALSE)</f>
        <v>coniimu@gmail.com</v>
      </c>
      <c r="C149" s="2" t="str">
        <f>VLOOKUP(T_Voluntarios[[#This Row],[RUN]],BBDD[],4,FALSE)</f>
        <v>Constanza Javiera Muñoz Bello</v>
      </c>
      <c r="D149" s="16">
        <f>VLOOKUP(T_Voluntarios[[#This Row],[RUN]],BBDD[],5,FALSE)</f>
        <v>37512</v>
      </c>
      <c r="E149" s="2" t="str">
        <f>VLOOKUP(T_Voluntarios[[#This Row],[RUN]],BBDD[],6,FALSE)</f>
        <v>los queules 8956</v>
      </c>
      <c r="F149" s="2" t="str">
        <f>VLOOKUP(T_Voluntarios[[#This Row],[RUN]],BBDD[],7,FALSE)</f>
        <v>Hualpén</v>
      </c>
      <c r="G149" s="2" t="str">
        <f>VLOOKUP(T_Voluntarios[[#This Row],[RUN]],BBDD[],8,FALSE)</f>
        <v>Celular</v>
      </c>
      <c r="H149" s="2" t="str">
        <f>IF(VLOOKUP(T_Voluntarios[[#This Row],[RUN]],BBDD[],9,FALSE)=0,"Falta",VLOOKUP(T_Voluntarios[[#This Row],[RUN]],BBDD[],9,FALSE))</f>
        <v>+56965963744</v>
      </c>
      <c r="I149" s="2" t="str">
        <f>VLOOKUP(T_Voluntarios[[#This Row],[RUN]],BBDD[],10,FALSE)</f>
        <v>Participante</v>
      </c>
      <c r="J149" s="2" t="str">
        <f>VLOOKUP(T_Voluntarios[[#This Row],[RUN]],BBDD[],11,FALSE)</f>
        <v>Sagrados Corazones</v>
      </c>
      <c r="K149" s="2" t="str">
        <f>VLOOKUP(T_Voluntarios[[#This Row],[RUN]],BBDD[],12,FALSE)</f>
        <v>Scouts</v>
      </c>
      <c r="L149" s="2" t="str">
        <f>VLOOKUP(T_Voluntarios[[#This Row],[RUN]],BBDD[],15,FALSE)</f>
        <v>Concepción</v>
      </c>
      <c r="M149" s="2" t="str">
        <f>VLOOKUP(T_Voluntarios[[#This Row],[RUN]],BBDD[],20,FALSE)</f>
        <v>Alimentación Tradicional</v>
      </c>
      <c r="N149" s="2" t="str">
        <f>VLOOKUP(T_Voluntarios[[#This Row],[RUN]],BBDD[],21,FALSE)</f>
        <v>Ninguna</v>
      </c>
      <c r="O149" s="2" t="str">
        <f>VLOOKUP(T_Voluntarios[[#This Row],[RUN]],BBDD[],22,FALSE)</f>
        <v>Ninguna</v>
      </c>
      <c r="P149" s="2" t="str">
        <f>VLOOKUP(T_Voluntarios[[#This Row],[RUN]],BBDD[],23,FALSE)</f>
        <v>marianela bello +56 9 7666 0530</v>
      </c>
      <c r="Q149" s="2" t="str">
        <f>IF(VLOOKUP(T_Voluntarios[[#This Row],[RUN]],BBDD[],27,FALSE)=0,"",VLOOKUP(T_Voluntarios[[#This Row],[RUN]],BBDD[],27,FALSE))</f>
        <v/>
      </c>
      <c r="R149" s="2" t="str">
        <f>VLOOKUP(T_Voluntarios[[#This Row],[RUN]],BBDD[],36,FALSE)</f>
        <v>https://drive.google.com/open?id=10uTdfTus2oknkRVbwP9gNUN-LszSQhx5</v>
      </c>
      <c r="S149" s="2" t="str">
        <f>VLOOKUP(T_Voluntarios[[#This Row],[RUN]],BBDD[],16,FALSE)</f>
        <v>Inicial</v>
      </c>
      <c r="T149" s="2" t="str">
        <f>VLOOKUP(T_Voluntarios[[#This Row],[RUN]],BBDD[],17,FALSE)</f>
        <v>Ninguno</v>
      </c>
      <c r="U149" s="2" t="str">
        <f>VLOOKUP(T_Voluntarios[[#This Row],[RUN]],BBDD[],18,FALSE)</f>
        <v>Ninguno</v>
      </c>
      <c r="V149" s="2" t="str">
        <f>VLOOKUP(T_Voluntarios[[#This Row],[RUN]],BBDD[],19,FALSE)</f>
        <v>Ninguno</v>
      </c>
      <c r="W149" s="13" t="str">
        <f>IF(OR(T_Voluntarios[[#This Row],[ROL]]="Formador(a)"),"SI","NO")</f>
        <v>NO</v>
      </c>
      <c r="X149" s="13" t="str">
        <f>IF(ISERROR(VLOOKUP(T_Voluntarios[[#This Row],[RUN]],BBDD_Formadores[],15,FALSE)),"NO",VLOOKUP(T_Voluntarios[[#This Row],[RUN]],BBDD_Formadores[],15,FALSE))</f>
        <v>NO</v>
      </c>
      <c r="Y149" s="13" t="str">
        <f>IF(ISERROR(VLOOKUP(T_Voluntarios[[#This Row],[RUN]],BBDD_Formadores[],16,FALSE)),"NO",VLOOKUP(T_Voluntarios[[#This Row],[RUN]],BBDD_Formadores[],16,FALSE))</f>
        <v>NO</v>
      </c>
      <c r="Z149" s="13" t="str">
        <f>IF(ISERROR(VLOOKUP(T_Voluntarios[[#This Row],[RUN]],BBDD_Formadores[],17,FALSE)),"NO",VLOOKUP(T_Voluntarios[[#This Row],[RUN]],BBDD_Formadores[],17,FALSE))</f>
        <v>NO</v>
      </c>
      <c r="AA149" s="13" t="str">
        <f>IF(ISERROR(VLOOKUP(T_Voluntarios[[#This Row],[RUN]],BBDD_Formadores[],18,FALSE)),"NO",VLOOKUP(T_Voluntarios[[#This Row],[RUN]],BBDD_Formadores[],18,FALSE))</f>
        <v>NO</v>
      </c>
      <c r="AB149" s="13">
        <v>1</v>
      </c>
      <c r="AC149" s="13" t="s">
        <v>1</v>
      </c>
      <c r="AD149" s="13" t="s">
        <v>77</v>
      </c>
      <c r="AF149" s="2" t="str">
        <f>IF(VLOOKUP(T_Voluntarios[[#This Row],[RUN]],BBDD[],25,FALSE)=0,"",VLOOKUP(T_Voluntarios[[#This Row],[RUN]],BBDD[],25,FALSE))</f>
        <v>Chery</v>
      </c>
      <c r="AG149" s="2" t="str">
        <f>IF(VLOOKUP(T_Voluntarios[[#This Row],[RUN]],BBDD[],26,FALSE)=0,"",VLOOKUP(T_Voluntarios[[#This Row],[RUN]],BBDD[],26,FALSE))</f>
        <v>chery tiggo 3</v>
      </c>
      <c r="AH149" s="2" t="str">
        <f>IF(VLOOKUP(T_Voluntarios[[#This Row],[RUN]],BBDD[],24,FALSE)=0,"",VLOOKUP(T_Voluntarios[[#This Row],[RUN]],BBDD[],24,FALSE))</f>
        <v>SFHF78</v>
      </c>
      <c r="AI149" s="13" t="str">
        <f>VLOOKUP(T_Voluntarios[[#This Row],[RUN]],BBDD[],28,FALSE)</f>
        <v>SI</v>
      </c>
      <c r="AJ149" s="13" t="str">
        <f>VLOOKUP(T_Voluntarios[[#This Row],[RUN]],BBDD[],28,FALSE)</f>
        <v>SI</v>
      </c>
      <c r="AK149" s="32">
        <f>IF(T_Voluntarios[[#This Row],[ROL]]="Participante",SUMIFS(T_Cuotas[[#All],[Total]],T_Cuotas[[#All],[RUN]],T_Voluntarios[[#This Row],[RUN]]),-1)</f>
        <v>50000</v>
      </c>
      <c r="AL149" s="13" t="s">
        <v>1</v>
      </c>
      <c r="AM149" s="13" t="s">
        <v>2029</v>
      </c>
      <c r="AP149" s="2" t="str">
        <f>MID(T_Voluntarios[[#This Row],[E_MAIL]],SEARCH("@",T_Voluntarios[[#This Row],[E_MAIL]],1),LEN(T_Voluntarios[[#This Row],[E_MAIL]]))</f>
        <v>@gmail.com</v>
      </c>
      <c r="AQ149" s="13" t="str">
        <f>VLOOKUP(T_Voluntarios[[#This Row],[RUN]],BBDD[],37,FALSE)</f>
        <v>22</v>
      </c>
      <c r="AR149" s="2" t="str">
        <f>VLOOKUP(T_Voluntarios[[#This Row],[RUN]],BBDD[],29,FALSE)</f>
        <v>estudiate</v>
      </c>
      <c r="AS149" s="2" t="str">
        <f>VLOOKUP(T_Voluntarios[[#This Row],[RUN]],BBDD[],30,FALSE)</f>
        <v>8 años</v>
      </c>
      <c r="AT149" s="2" t="str">
        <f>VLOOKUP(T_Voluntarios[[#This Row],[RUN]],BBDD[],31,FALSE)</f>
        <v>los meses que llevo siendo guiadora, tres veces por semana</v>
      </c>
      <c r="AU149" s="2" t="str">
        <f>VLOOKUP(T_Voluntarios[[#This Row],[RUN]],BBDD[],32,FALSE)</f>
        <v>Soltero(a)</v>
      </c>
      <c r="AV149" s="2" t="str">
        <f>VLOOKUP(T_Voluntarios[[#This Row],[RUN]],BBDD[],33,FALSE)</f>
        <v>Ninguna</v>
      </c>
      <c r="AW149" s="2" t="str">
        <f>VLOOKUP(T_Voluntarios[[#This Row],[RUN]],BBDD[],34,FALSE)</f>
        <v>coni</v>
      </c>
      <c r="AX149" s="13" t="s">
        <v>733</v>
      </c>
      <c r="AY149" s="76">
        <f>VLOOKUP(T_Voluntarios[[#This Row],[RUN]],BBDD[],2,FALSE)</f>
        <v>45798.877441358025</v>
      </c>
      <c r="AZ149" s="13" t="s">
        <v>3403</v>
      </c>
    </row>
    <row r="150" spans="1:52" x14ac:dyDescent="0.3">
      <c r="A150" s="2" t="s">
        <v>2380</v>
      </c>
      <c r="B150" s="2" t="str">
        <f>VLOOKUP(T_Voluntarios[[#This Row],[RUN]],BBDD[],3,FALSE)</f>
        <v>ayannisvenegas@gmail.com</v>
      </c>
      <c r="C150" s="2" t="str">
        <f>VLOOKUP(T_Voluntarios[[#This Row],[RUN]],BBDD[],4,FALSE)</f>
        <v>Ayannís Mara Venegas Vargas</v>
      </c>
      <c r="D150" s="16">
        <f>VLOOKUP(T_Voluntarios[[#This Row],[RUN]],BBDD[],5,FALSE)</f>
        <v>36863</v>
      </c>
      <c r="E150" s="2" t="str">
        <f>VLOOKUP(T_Voluntarios[[#This Row],[RUN]],BBDD[],6,FALSE)</f>
        <v>Calle Raimapu #089</v>
      </c>
      <c r="F150" s="2" t="str">
        <f>VLOOKUP(T_Voluntarios[[#This Row],[RUN]],BBDD[],7,FALSE)</f>
        <v>Valdivia</v>
      </c>
      <c r="G150" s="2" t="str">
        <f>VLOOKUP(T_Voluntarios[[#This Row],[RUN]],BBDD[],8,FALSE)</f>
        <v>Celular</v>
      </c>
      <c r="H150" s="2" t="str">
        <f>IF(VLOOKUP(T_Voluntarios[[#This Row],[RUN]],BBDD[],9,FALSE)=0,"Falta",VLOOKUP(T_Voluntarios[[#This Row],[RUN]],BBDD[],9,FALSE))</f>
        <v>+56926324484</v>
      </c>
      <c r="I150" s="2" t="str">
        <f>VLOOKUP(T_Voluntarios[[#This Row],[RUN]],BBDD[],10,FALSE)</f>
        <v>Participante</v>
      </c>
      <c r="J150" s="2" t="str">
        <f>VLOOKUP(T_Voluntarios[[#This Row],[RUN]],BBDD[],11,FALSE)</f>
        <v>PADRE ISMAEL CRUZ</v>
      </c>
      <c r="K150" s="2" t="str">
        <f>VLOOKUP(T_Voluntarios[[#This Row],[RUN]],BBDD[],12,FALSE)</f>
        <v>Pioneros</v>
      </c>
      <c r="L150" s="2" t="str">
        <f>VLOOKUP(T_Voluntarios[[#This Row],[RUN]],BBDD[],15,FALSE)</f>
        <v>Zona de los Rios</v>
      </c>
      <c r="M150" s="2" t="str">
        <f>VLOOKUP(T_Voluntarios[[#This Row],[RUN]],BBDD[],20,FALSE)</f>
        <v>Alimentación Tradicional</v>
      </c>
      <c r="N150" s="2" t="str">
        <f>VLOOKUP(T_Voluntarios[[#This Row],[RUN]],BBDD[],21,FALSE)</f>
        <v>Cotrimoxazol y amoxicilina</v>
      </c>
      <c r="O150" s="2" t="str">
        <f>VLOOKUP(T_Voluntarios[[#This Row],[RUN]],BBDD[],22,FALSE)</f>
        <v>Ninguna</v>
      </c>
      <c r="P150" s="2" t="str">
        <f>VLOOKUP(T_Voluntarios[[#This Row],[RUN]],BBDD[],23,FALSE)</f>
        <v>ELIZABETH VARGAS, +56957216068</v>
      </c>
      <c r="Q150" s="2" t="str">
        <f>IF(VLOOKUP(T_Voluntarios[[#This Row],[RUN]],BBDD[],27,FALSE)=0,"",VLOOKUP(T_Voluntarios[[#This Row],[RUN]],BBDD[],27,FALSE))</f>
        <v/>
      </c>
      <c r="R150" s="2" t="str">
        <f>VLOOKUP(T_Voluntarios[[#This Row],[RUN]],BBDD[],36,FALSE)</f>
        <v>https://drive.google.com/open?id=1BAI77qcmO8wuSiQeO5pzd8rhnJRSpZEV</v>
      </c>
      <c r="S150" s="2" t="str">
        <f>VLOOKUP(T_Voluntarios[[#This Row],[RUN]],BBDD[],16,FALSE)</f>
        <v>Inicial</v>
      </c>
      <c r="T150" s="2" t="str">
        <f>VLOOKUP(T_Voluntarios[[#This Row],[RUN]],BBDD[],17,FALSE)</f>
        <v>Ninguno</v>
      </c>
      <c r="U150" s="2" t="str">
        <f>VLOOKUP(T_Voluntarios[[#This Row],[RUN]],BBDD[],18,FALSE)</f>
        <v>Ninguno</v>
      </c>
      <c r="V150" s="2" t="str">
        <f>VLOOKUP(T_Voluntarios[[#This Row],[RUN]],BBDD[],19,FALSE)</f>
        <v>Ninguno</v>
      </c>
      <c r="W150" s="13" t="str">
        <f>IF(OR(T_Voluntarios[[#This Row],[ROL]]="Formador(a)"),"SI","NO")</f>
        <v>NO</v>
      </c>
      <c r="X150" s="13" t="str">
        <f>IF(ISERROR(VLOOKUP(T_Voluntarios[[#This Row],[RUN]],BBDD_Formadores[],15,FALSE)),"NO",VLOOKUP(T_Voluntarios[[#This Row],[RUN]],BBDD_Formadores[],15,FALSE))</f>
        <v>NO</v>
      </c>
      <c r="Y150" s="13" t="str">
        <f>IF(ISERROR(VLOOKUP(T_Voluntarios[[#This Row],[RUN]],BBDD_Formadores[],16,FALSE)),"NO",VLOOKUP(T_Voluntarios[[#This Row],[RUN]],BBDD_Formadores[],16,FALSE))</f>
        <v>NO</v>
      </c>
      <c r="Z150" s="13" t="str">
        <f>IF(ISERROR(VLOOKUP(T_Voluntarios[[#This Row],[RUN]],BBDD_Formadores[],17,FALSE)),"NO",VLOOKUP(T_Voluntarios[[#This Row],[RUN]],BBDD_Formadores[],17,FALSE))</f>
        <v>NO</v>
      </c>
      <c r="AA150" s="13" t="str">
        <f>IF(ISERROR(VLOOKUP(T_Voluntarios[[#This Row],[RUN]],BBDD_Formadores[],18,FALSE)),"NO",VLOOKUP(T_Voluntarios[[#This Row],[RUN]],BBDD_Formadores[],18,FALSE))</f>
        <v>NO</v>
      </c>
      <c r="AB150" s="13">
        <v>1</v>
      </c>
      <c r="AC150" s="13" t="s">
        <v>1</v>
      </c>
      <c r="AD150" s="13" t="s">
        <v>77</v>
      </c>
      <c r="AF150" s="2" t="str">
        <f>IF(VLOOKUP(T_Voluntarios[[#This Row],[RUN]],BBDD[],25,FALSE)=0,"",VLOOKUP(T_Voluntarios[[#This Row],[RUN]],BBDD[],25,FALSE))</f>
        <v/>
      </c>
      <c r="AG150" s="2" t="str">
        <f>IF(VLOOKUP(T_Voluntarios[[#This Row],[RUN]],BBDD[],26,FALSE)=0,"",VLOOKUP(T_Voluntarios[[#This Row],[RUN]],BBDD[],26,FALSE))</f>
        <v/>
      </c>
      <c r="AH150" s="2" t="str">
        <f>IF(VLOOKUP(T_Voluntarios[[#This Row],[RUN]],BBDD[],24,FALSE)=0,"",VLOOKUP(T_Voluntarios[[#This Row],[RUN]],BBDD[],24,FALSE))</f>
        <v/>
      </c>
      <c r="AI150" s="13" t="str">
        <f>VLOOKUP(T_Voluntarios[[#This Row],[RUN]],BBDD[],28,FALSE)</f>
        <v>SI</v>
      </c>
      <c r="AJ150" s="13" t="str">
        <f>VLOOKUP(T_Voluntarios[[#This Row],[RUN]],BBDD[],28,FALSE)</f>
        <v>SI</v>
      </c>
      <c r="AK150" s="32">
        <f>IF(T_Voluntarios[[#This Row],[ROL]]="Participante",SUMIFS(T_Cuotas[[#All],[Total]],T_Cuotas[[#All],[RUN]],T_Voluntarios[[#This Row],[RUN]]),-1)</f>
        <v>50000</v>
      </c>
      <c r="AL150" s="13" t="s">
        <v>1</v>
      </c>
      <c r="AM150" s="13" t="s">
        <v>2029</v>
      </c>
      <c r="AP150" s="2" t="str">
        <f>MID(T_Voluntarios[[#This Row],[E_MAIL]],SEARCH("@",T_Voluntarios[[#This Row],[E_MAIL]],1),LEN(T_Voluntarios[[#This Row],[E_MAIL]]))</f>
        <v>@gmail.com</v>
      </c>
      <c r="AQ150" s="13" t="str">
        <f>VLOOKUP(T_Voluntarios[[#This Row],[RUN]],BBDD[],37,FALSE)</f>
        <v>24</v>
      </c>
      <c r="AR150" s="2" t="str">
        <f>VLOOKUP(T_Voluntarios[[#This Row],[RUN]],BBDD[],29,FALSE)</f>
        <v>Tec. en educación parvularia y primer ciclo de enseñanza básica</v>
      </c>
      <c r="AS150" s="2" t="str">
        <f>VLOOKUP(T_Voluntarios[[#This Row],[RUN]],BBDD[],30,FALSE)</f>
        <v>5 años</v>
      </c>
      <c r="AT150" s="2" t="str">
        <f>VLOOKUP(T_Voluntarios[[#This Row],[RUN]],BBDD[],31,FALSE)</f>
        <v>1 año y medio</v>
      </c>
      <c r="AU150" s="2" t="str">
        <f>VLOOKUP(T_Voluntarios[[#This Row],[RUN]],BBDD[],32,FALSE)</f>
        <v>Soltero(a)</v>
      </c>
      <c r="AV150" s="2" t="str">
        <f>VLOOKUP(T_Voluntarios[[#This Row],[RUN]],BBDD[],33,FALSE)</f>
        <v>Ninguna</v>
      </c>
      <c r="AW150" s="2" t="str">
        <f>VLOOKUP(T_Voluntarios[[#This Row],[RUN]],BBDD[],34,FALSE)</f>
        <v>Ayannís</v>
      </c>
      <c r="AX150" s="13" t="s">
        <v>733</v>
      </c>
      <c r="AY150" s="76">
        <f>VLOOKUP(T_Voluntarios[[#This Row],[RUN]],BBDD[],2,FALSE)</f>
        <v>45798.88685327932</v>
      </c>
      <c r="AZ150" s="13" t="s">
        <v>3402</v>
      </c>
    </row>
    <row r="151" spans="1:52" x14ac:dyDescent="0.3">
      <c r="A151" s="2" t="s">
        <v>2397</v>
      </c>
      <c r="B151" s="2" t="str">
        <f>VLOOKUP(T_Voluntarios[[#This Row],[RUN]],BBDD[],3,FALSE)</f>
        <v>matiasessmann@gmail.com</v>
      </c>
      <c r="C151" s="2" t="str">
        <f>VLOOKUP(T_Voluntarios[[#This Row],[RUN]],BBDD[],4,FALSE)</f>
        <v>Matías Alejandro Castro Essmann</v>
      </c>
      <c r="D151" s="16">
        <f>VLOOKUP(T_Voluntarios[[#This Row],[RUN]],BBDD[],5,FALSE)</f>
        <v>37698</v>
      </c>
      <c r="E151" s="2" t="str">
        <f>VLOOKUP(T_Voluntarios[[#This Row],[RUN]],BBDD[],6,FALSE)</f>
        <v>Collao 1571</v>
      </c>
      <c r="F151" s="2" t="str">
        <f>VLOOKUP(T_Voluntarios[[#This Row],[RUN]],BBDD[],7,FALSE)</f>
        <v>Concepción</v>
      </c>
      <c r="G151" s="2" t="str">
        <f>VLOOKUP(T_Voluntarios[[#This Row],[RUN]],BBDD[],8,FALSE)</f>
        <v>Celular</v>
      </c>
      <c r="H151" s="2" t="str">
        <f>IF(VLOOKUP(T_Voluntarios[[#This Row],[RUN]],BBDD[],9,FALSE)=0,"Falta",VLOOKUP(T_Voluntarios[[#This Row],[RUN]],BBDD[],9,FALSE))</f>
        <v>+56944723273</v>
      </c>
      <c r="I151" s="2" t="str">
        <f>VLOOKUP(T_Voluntarios[[#This Row],[RUN]],BBDD[],10,FALSE)</f>
        <v>Participante</v>
      </c>
      <c r="J151" s="2" t="str">
        <f>VLOOKUP(T_Voluntarios[[#This Row],[RUN]],BBDD[],11,FALSE)</f>
        <v>Sagrados Corazones</v>
      </c>
      <c r="K151" s="2" t="str">
        <f>VLOOKUP(T_Voluntarios[[#This Row],[RUN]],BBDD[],12,FALSE)</f>
        <v>Scouts</v>
      </c>
      <c r="L151" s="2" t="str">
        <f>VLOOKUP(T_Voluntarios[[#This Row],[RUN]],BBDD[],15,FALSE)</f>
        <v>Concepción</v>
      </c>
      <c r="M151" s="2" t="str">
        <f>VLOOKUP(T_Voluntarios[[#This Row],[RUN]],BBDD[],20,FALSE)</f>
        <v>Alimentación Tradicional</v>
      </c>
      <c r="N151" s="2" t="str">
        <f>VLOOKUP(T_Voluntarios[[#This Row],[RUN]],BBDD[],21,FALSE)</f>
        <v>Tomate crudo</v>
      </c>
      <c r="O151" s="2" t="str">
        <f>VLOOKUP(T_Voluntarios[[#This Row],[RUN]],BBDD[],22,FALSE)</f>
        <v>Ninguna</v>
      </c>
      <c r="P151" s="2" t="str">
        <f>VLOOKUP(T_Voluntarios[[#This Row],[RUN]],BBDD[],23,FALSE)</f>
        <v>Francisco Cruz +56999970414</v>
      </c>
      <c r="Q151" s="2" t="str">
        <f>IF(VLOOKUP(T_Voluntarios[[#This Row],[RUN]],BBDD[],27,FALSE)=0,"",VLOOKUP(T_Voluntarios[[#This Row],[RUN]],BBDD[],27,FALSE))</f>
        <v/>
      </c>
      <c r="R151" s="2" t="str">
        <f>VLOOKUP(T_Voluntarios[[#This Row],[RUN]],BBDD[],36,FALSE)</f>
        <v>https://drive.google.com/open?id=1IWNhPg83lnVH1MmdNCy61vkjskWzJWb8</v>
      </c>
      <c r="S151" s="2" t="str">
        <f>VLOOKUP(T_Voluntarios[[#This Row],[RUN]],BBDD[],16,FALSE)</f>
        <v>Inicial</v>
      </c>
      <c r="T151" s="2" t="str">
        <f>VLOOKUP(T_Voluntarios[[#This Row],[RUN]],BBDD[],17,FALSE)</f>
        <v>Ninguno</v>
      </c>
      <c r="U151" s="2" t="str">
        <f>VLOOKUP(T_Voluntarios[[#This Row],[RUN]],BBDD[],18,FALSE)</f>
        <v>Ninguno</v>
      </c>
      <c r="V151" s="2" t="str">
        <f>VLOOKUP(T_Voluntarios[[#This Row],[RUN]],BBDD[],19,FALSE)</f>
        <v>Ninguno</v>
      </c>
      <c r="W151" s="13" t="str">
        <f>IF(OR(T_Voluntarios[[#This Row],[ROL]]="Formador(a)"),"SI","NO")</f>
        <v>NO</v>
      </c>
      <c r="X151" s="13" t="str">
        <f>IF(ISERROR(VLOOKUP(T_Voluntarios[[#This Row],[RUN]],BBDD_Formadores[],15,FALSE)),"NO",VLOOKUP(T_Voluntarios[[#This Row],[RUN]],BBDD_Formadores[],15,FALSE))</f>
        <v>NO</v>
      </c>
      <c r="Y151" s="13" t="str">
        <f>IF(ISERROR(VLOOKUP(T_Voluntarios[[#This Row],[RUN]],BBDD_Formadores[],16,FALSE)),"NO",VLOOKUP(T_Voluntarios[[#This Row],[RUN]],BBDD_Formadores[],16,FALSE))</f>
        <v>NO</v>
      </c>
      <c r="Z151" s="13" t="str">
        <f>IF(ISERROR(VLOOKUP(T_Voluntarios[[#This Row],[RUN]],BBDD_Formadores[],17,FALSE)),"NO",VLOOKUP(T_Voluntarios[[#This Row],[RUN]],BBDD_Formadores[],17,FALSE))</f>
        <v>NO</v>
      </c>
      <c r="AA151" s="13" t="str">
        <f>IF(ISERROR(VLOOKUP(T_Voluntarios[[#This Row],[RUN]],BBDD_Formadores[],18,FALSE)),"NO",VLOOKUP(T_Voluntarios[[#This Row],[RUN]],BBDD_Formadores[],18,FALSE))</f>
        <v>NO</v>
      </c>
      <c r="AB151" s="13">
        <v>1</v>
      </c>
      <c r="AC151" s="13" t="s">
        <v>1</v>
      </c>
      <c r="AD151" s="13" t="s">
        <v>77</v>
      </c>
      <c r="AF151" s="2" t="str">
        <f>IF(VLOOKUP(T_Voluntarios[[#This Row],[RUN]],BBDD[],25,FALSE)=0,"",VLOOKUP(T_Voluntarios[[#This Row],[RUN]],BBDD[],25,FALSE))</f>
        <v>changan</v>
      </c>
      <c r="AG151" s="2" t="str">
        <f>IF(VLOOKUP(T_Voluntarios[[#This Row],[RUN]],BBDD[],26,FALSE)=0,"",VLOOKUP(T_Voluntarios[[#This Row],[RUN]],BBDD[],26,FALSE))</f>
        <v>cx70</v>
      </c>
      <c r="AH151" s="2" t="str">
        <f>IF(VLOOKUP(T_Voluntarios[[#This Row],[RUN]],BBDD[],24,FALSE)=0,"",VLOOKUP(T_Voluntarios[[#This Row],[RUN]],BBDD[],24,FALSE))</f>
        <v>LZLB59</v>
      </c>
      <c r="AI151" s="13" t="str">
        <f>VLOOKUP(T_Voluntarios[[#This Row],[RUN]],BBDD[],28,FALSE)</f>
        <v>SI</v>
      </c>
      <c r="AJ151" s="13" t="str">
        <f>VLOOKUP(T_Voluntarios[[#This Row],[RUN]],BBDD[],28,FALSE)</f>
        <v>SI</v>
      </c>
      <c r="AK151" s="32">
        <f>IF(T_Voluntarios[[#This Row],[ROL]]="Participante",SUMIFS(T_Cuotas[[#All],[Total]],T_Cuotas[[#All],[RUN]],T_Voluntarios[[#This Row],[RUN]]),-1)</f>
        <v>50000</v>
      </c>
      <c r="AL151" s="13" t="s">
        <v>1</v>
      </c>
      <c r="AM151" s="13" t="s">
        <v>2029</v>
      </c>
      <c r="AP151" s="2" t="str">
        <f>MID(T_Voluntarios[[#This Row],[E_MAIL]],SEARCH("@",T_Voluntarios[[#This Row],[E_MAIL]],1),LEN(T_Voluntarios[[#This Row],[E_MAIL]]))</f>
        <v>@gmail.com</v>
      </c>
      <c r="AQ151" s="13" t="str">
        <f>VLOOKUP(T_Voluntarios[[#This Row],[RUN]],BBDD[],37,FALSE)</f>
        <v>22</v>
      </c>
      <c r="AR151" s="2" t="str">
        <f>VLOOKUP(T_Voluntarios[[#This Row],[RUN]],BBDD[],29,FALSE)</f>
        <v>Estudiante</v>
      </c>
      <c r="AS151" s="2" t="str">
        <f>VLOOKUP(T_Voluntarios[[#This Row],[RUN]],BBDD[],30,FALSE)</f>
        <v>8 años</v>
      </c>
      <c r="AT151" s="2" t="str">
        <f>VLOOKUP(T_Voluntarios[[#This Row],[RUN]],BBDD[],31,FALSE)</f>
        <v>1año y 6 meses</v>
      </c>
      <c r="AU151" s="2" t="str">
        <f>VLOOKUP(T_Voluntarios[[#This Row],[RUN]],BBDD[],32,FALSE)</f>
        <v>Soltero(a)</v>
      </c>
      <c r="AV151" s="2" t="str">
        <f>VLOOKUP(T_Voluntarios[[#This Row],[RUN]],BBDD[],33,FALSE)</f>
        <v>Ninguna</v>
      </c>
      <c r="AW151" s="2" t="str">
        <f>VLOOKUP(T_Voluntarios[[#This Row],[RUN]],BBDD[],34,FALSE)</f>
        <v>Matías</v>
      </c>
      <c r="AX151" s="13" t="s">
        <v>733</v>
      </c>
      <c r="AY151" s="76">
        <f>VLOOKUP(T_Voluntarios[[#This Row],[RUN]],BBDD[],2,FALSE)</f>
        <v>45798.921749845678</v>
      </c>
      <c r="AZ151" s="13" t="s">
        <v>3403</v>
      </c>
    </row>
    <row r="152" spans="1:52" x14ac:dyDescent="0.3">
      <c r="A152" s="2" t="s">
        <v>2605</v>
      </c>
      <c r="B152" s="2" t="str">
        <f>VLOOKUP(T_Voluntarios[[#This Row],[RUN]],BBDD[],3,FALSE)</f>
        <v>pilotobizama@gmail.com</v>
      </c>
      <c r="C152" s="2" t="str">
        <f>VLOOKUP(T_Voluntarios[[#This Row],[RUN]],BBDD[],4,FALSE)</f>
        <v>Lorenzo Rodrigo Bizama Muñoz</v>
      </c>
      <c r="D152" s="16">
        <f>VLOOKUP(T_Voluntarios[[#This Row],[RUN]],BBDD[],5,FALSE)</f>
        <v>26498</v>
      </c>
      <c r="E152" s="2" t="str">
        <f>VLOOKUP(T_Voluntarios[[#This Row],[RUN]],BBDD[],6,FALSE)</f>
        <v>Santiago Steel 71-B</v>
      </c>
      <c r="F152" s="2" t="str">
        <f>VLOOKUP(T_Voluntarios[[#This Row],[RUN]],BBDD[],7,FALSE)</f>
        <v>Coronel</v>
      </c>
      <c r="G152" s="2" t="str">
        <f>VLOOKUP(T_Voluntarios[[#This Row],[RUN]],BBDD[],8,FALSE)</f>
        <v>Celular</v>
      </c>
      <c r="H152" s="2" t="str">
        <f>IF(VLOOKUP(T_Voluntarios[[#This Row],[RUN]],BBDD[],9,FALSE)=0,"Falta",VLOOKUP(T_Voluntarios[[#This Row],[RUN]],BBDD[],9,FALSE))</f>
        <v>+56953737037</v>
      </c>
      <c r="I152" s="2" t="str">
        <f>VLOOKUP(T_Voluntarios[[#This Row],[RUN]],BBDD[],10,FALSE)</f>
        <v>Participante</v>
      </c>
      <c r="J152" s="2" t="str">
        <f>VLOOKUP(T_Voluntarios[[#This Row],[RUN]],BBDD[],11,FALSE)</f>
        <v>Tricolor Chileno</v>
      </c>
      <c r="K152" s="2" t="str">
        <f>VLOOKUP(T_Voluntarios[[#This Row],[RUN]],BBDD[],12,FALSE)</f>
        <v>Lobatos</v>
      </c>
      <c r="L152" s="2" t="str">
        <f>VLOOKUP(T_Voluntarios[[#This Row],[RUN]],BBDD[],15,FALSE)</f>
        <v>Nahuelbuta</v>
      </c>
      <c r="M152" s="2" t="str">
        <f>VLOOKUP(T_Voluntarios[[#This Row],[RUN]],BBDD[],20,FALSE)</f>
        <v>Alimentación Tradicional</v>
      </c>
      <c r="N152" s="2" t="str">
        <f>VLOOKUP(T_Voluntarios[[#This Row],[RUN]],BBDD[],21,FALSE)</f>
        <v>Ninguna</v>
      </c>
      <c r="O152" s="2" t="str">
        <f>VLOOKUP(T_Voluntarios[[#This Row],[RUN]],BBDD[],22,FALSE)</f>
        <v>Ninguna</v>
      </c>
      <c r="P152" s="2" t="str">
        <f>VLOOKUP(T_Voluntarios[[#This Row],[RUN]],BBDD[],23,FALSE)</f>
        <v>Alejandra Paredes +56 9 5374 4582</v>
      </c>
      <c r="Q152" s="2" t="str">
        <f>IF(VLOOKUP(T_Voluntarios[[#This Row],[RUN]],BBDD[],27,FALSE)=0,"",VLOOKUP(T_Voluntarios[[#This Row],[RUN]],BBDD[],27,FALSE))</f>
        <v/>
      </c>
      <c r="R152" s="2" t="str">
        <f>VLOOKUP(T_Voluntarios[[#This Row],[RUN]],BBDD[],36,FALSE)</f>
        <v>https://drive.google.com/open?id=1dozaQzrxD-9IlCgXMIcKkDvYVA6NImXv</v>
      </c>
      <c r="S152" s="2" t="str">
        <f>VLOOKUP(T_Voluntarios[[#This Row],[RUN]],BBDD[],16,FALSE)</f>
        <v>Inicial</v>
      </c>
      <c r="T152" s="2" t="str">
        <f>VLOOKUP(T_Voluntarios[[#This Row],[RUN]],BBDD[],17,FALSE)</f>
        <v>Ninguno</v>
      </c>
      <c r="U152" s="2" t="str">
        <f>VLOOKUP(T_Voluntarios[[#This Row],[RUN]],BBDD[],18,FALSE)</f>
        <v>Lobatos</v>
      </c>
      <c r="V152" s="2" t="str">
        <f>VLOOKUP(T_Voluntarios[[#This Row],[RUN]],BBDD[],19,FALSE)</f>
        <v>Lobatos</v>
      </c>
      <c r="W152" s="13" t="str">
        <f>IF(OR(T_Voluntarios[[#This Row],[ROL]]="Formador(a)"),"SI","NO")</f>
        <v>NO</v>
      </c>
      <c r="X152" s="13" t="str">
        <f>IF(ISERROR(VLOOKUP(T_Voluntarios[[#This Row],[RUN]],BBDD_Formadores[],15,FALSE)),"NO",VLOOKUP(T_Voluntarios[[#This Row],[RUN]],BBDD_Formadores[],15,FALSE))</f>
        <v>NO</v>
      </c>
      <c r="Y152" s="13" t="str">
        <f>IF(ISERROR(VLOOKUP(T_Voluntarios[[#This Row],[RUN]],BBDD_Formadores[],16,FALSE)),"NO",VLOOKUP(T_Voluntarios[[#This Row],[RUN]],BBDD_Formadores[],16,FALSE))</f>
        <v>NO</v>
      </c>
      <c r="Z152" s="13" t="str">
        <f>IF(ISERROR(VLOOKUP(T_Voluntarios[[#This Row],[RUN]],BBDD_Formadores[],17,FALSE)),"NO",VLOOKUP(T_Voluntarios[[#This Row],[RUN]],BBDD_Formadores[],17,FALSE))</f>
        <v>NO</v>
      </c>
      <c r="AA152" s="13" t="str">
        <f>IF(ISERROR(VLOOKUP(T_Voluntarios[[#This Row],[RUN]],BBDD_Formadores[],18,FALSE)),"NO",VLOOKUP(T_Voluntarios[[#This Row],[RUN]],BBDD_Formadores[],18,FALSE))</f>
        <v>NO</v>
      </c>
      <c r="AB152" s="13">
        <v>1</v>
      </c>
      <c r="AC152" s="13" t="s">
        <v>1</v>
      </c>
      <c r="AD152" s="13" t="s">
        <v>77</v>
      </c>
      <c r="AF152" s="2" t="str">
        <f>IF(VLOOKUP(T_Voluntarios[[#This Row],[RUN]],BBDD[],25,FALSE)=0,"",VLOOKUP(T_Voluntarios[[#This Row],[RUN]],BBDD[],25,FALSE))</f>
        <v>Land Rover</v>
      </c>
      <c r="AG152" s="2" t="str">
        <f>IF(VLOOKUP(T_Voluntarios[[#This Row],[RUN]],BBDD[],26,FALSE)=0,"",VLOOKUP(T_Voluntarios[[#This Row],[RUN]],BBDD[],26,FALSE))</f>
        <v>Evoque</v>
      </c>
      <c r="AH152" s="2" t="str">
        <f>IF(VLOOKUP(T_Voluntarios[[#This Row],[RUN]],BBDD[],24,FALSE)=0,"",VLOOKUP(T_Voluntarios[[#This Row],[RUN]],BBDD[],24,FALSE))</f>
        <v>Gwjb25</v>
      </c>
      <c r="AI152" s="13" t="str">
        <f>VLOOKUP(T_Voluntarios[[#This Row],[RUN]],BBDD[],28,FALSE)</f>
        <v>No</v>
      </c>
      <c r="AJ152" s="13" t="str">
        <f>VLOOKUP(T_Voluntarios[[#This Row],[RUN]],BBDD[],28,FALSE)</f>
        <v>No</v>
      </c>
      <c r="AK152" s="32">
        <f>IF(T_Voluntarios[[#This Row],[ROL]]="Participante",SUMIFS(T_Cuotas[[#All],[Total]],T_Cuotas[[#All],[RUN]],T_Voluntarios[[#This Row],[RUN]]),-1)</f>
        <v>50000</v>
      </c>
      <c r="AL152" s="13" t="s">
        <v>1</v>
      </c>
      <c r="AM152" s="13" t="s">
        <v>2029</v>
      </c>
      <c r="AP152" s="2" t="str">
        <f>MID(T_Voluntarios[[#This Row],[E_MAIL]],SEARCH("@",T_Voluntarios[[#This Row],[E_MAIL]],1),LEN(T_Voluntarios[[#This Row],[E_MAIL]]))</f>
        <v>@gmail.com</v>
      </c>
      <c r="AQ152" s="13" t="str">
        <f>VLOOKUP(T_Voluntarios[[#This Row],[RUN]],BBDD[],37,FALSE)</f>
        <v>52</v>
      </c>
      <c r="AR152" s="2" t="str">
        <f>VLOOKUP(T_Voluntarios[[#This Row],[RUN]],BBDD[],29,FALSE)</f>
        <v>Piloto de Marina Mercante</v>
      </c>
      <c r="AS152" s="2" t="str">
        <f>VLOOKUP(T_Voluntarios[[#This Row],[RUN]],BBDD[],30,FALSE)</f>
        <v>10 años</v>
      </c>
      <c r="AT152" s="2" t="str">
        <f>VLOOKUP(T_Voluntarios[[#This Row],[RUN]],BBDD[],31,FALSE)</f>
        <v>No</v>
      </c>
      <c r="AU152" s="2" t="str">
        <f>VLOOKUP(T_Voluntarios[[#This Row],[RUN]],BBDD[],32,FALSE)</f>
        <v>Casado(a)</v>
      </c>
      <c r="AV152" s="2" t="str">
        <f>VLOOKUP(T_Voluntarios[[#This Row],[RUN]],BBDD[],33,FALSE)</f>
        <v>Católica</v>
      </c>
      <c r="AW152" s="2" t="str">
        <f>VLOOKUP(T_Voluntarios[[#This Row],[RUN]],BBDD[],34,FALSE)</f>
        <v>Lorenzo</v>
      </c>
      <c r="AX152" s="13" t="s">
        <v>733</v>
      </c>
      <c r="AY152" s="76">
        <f>VLOOKUP(T_Voluntarios[[#This Row],[RUN]],BBDD[],2,FALSE)</f>
        <v>45798.963755478399</v>
      </c>
      <c r="AZ152" s="13" t="s">
        <v>3403</v>
      </c>
    </row>
    <row r="153" spans="1:52" x14ac:dyDescent="0.3">
      <c r="A153" s="2" t="s">
        <v>2408</v>
      </c>
      <c r="B153" s="2" t="str">
        <f>VLOOKUP(T_Voluntarios[[#This Row],[RUN]],BBDD[],3,FALSE)</f>
        <v>renata.belen.ramirez@gmail.com</v>
      </c>
      <c r="C153" s="2" t="str">
        <f>VLOOKUP(T_Voluntarios[[#This Row],[RUN]],BBDD[],4,FALSE)</f>
        <v>Renata Belen Ramirez Merino</v>
      </c>
      <c r="D153" s="16">
        <f>VLOOKUP(T_Voluntarios[[#This Row],[RUN]],BBDD[],5,FALSE)</f>
        <v>37425</v>
      </c>
      <c r="E153" s="2" t="str">
        <f>VLOOKUP(T_Voluntarios[[#This Row],[RUN]],BBDD[],6,FALSE)</f>
        <v>Calle F 910 casa 15</v>
      </c>
      <c r="F153" s="2" t="str">
        <f>VLOOKUP(T_Voluntarios[[#This Row],[RUN]],BBDD[],7,FALSE)</f>
        <v>Talcahuano</v>
      </c>
      <c r="G153" s="2" t="str">
        <f>VLOOKUP(T_Voluntarios[[#This Row],[RUN]],BBDD[],8,FALSE)</f>
        <v>Celular</v>
      </c>
      <c r="H153" s="2" t="str">
        <f>IF(VLOOKUP(T_Voluntarios[[#This Row],[RUN]],BBDD[],9,FALSE)=0,"Falta",VLOOKUP(T_Voluntarios[[#This Row],[RUN]],BBDD[],9,FALSE))</f>
        <v>+56971088769</v>
      </c>
      <c r="I153" s="2" t="str">
        <f>VLOOKUP(T_Voluntarios[[#This Row],[RUN]],BBDD[],10,FALSE)</f>
        <v>Participante</v>
      </c>
      <c r="J153" s="2" t="str">
        <f>VLOOKUP(T_Voluntarios[[#This Row],[RUN]],BBDD[],11,FALSE)</f>
        <v>Sagrados Corazones</v>
      </c>
      <c r="K153" s="2" t="str">
        <f>VLOOKUP(T_Voluntarios[[#This Row],[RUN]],BBDD[],12,FALSE)</f>
        <v>Lobatos</v>
      </c>
      <c r="L153" s="2" t="str">
        <f>VLOOKUP(T_Voluntarios[[#This Row],[RUN]],BBDD[],15,FALSE)</f>
        <v>Concepción</v>
      </c>
      <c r="M153" s="2" t="str">
        <f>VLOOKUP(T_Voluntarios[[#This Row],[RUN]],BBDD[],20,FALSE)</f>
        <v>Alimentación Tradicional</v>
      </c>
      <c r="N153" s="2" t="str">
        <f>VLOOKUP(T_Voluntarios[[#This Row],[RUN]],BBDD[],21,FALSE)</f>
        <v>Ninguna</v>
      </c>
      <c r="O153" s="2" t="str">
        <f>VLOOKUP(T_Voluntarios[[#This Row],[RUN]],BBDD[],22,FALSE)</f>
        <v>Ninguna</v>
      </c>
      <c r="P153" s="2" t="str">
        <f>VLOOKUP(T_Voluntarios[[#This Row],[RUN]],BBDD[],23,FALSE)</f>
        <v>Karem merino 982340290</v>
      </c>
      <c r="Q153" s="2" t="str">
        <f>IF(VLOOKUP(T_Voluntarios[[#This Row],[RUN]],BBDD[],27,FALSE)=0,"",VLOOKUP(T_Voluntarios[[#This Row],[RUN]],BBDD[],27,FALSE))</f>
        <v/>
      </c>
      <c r="R153" s="2" t="str">
        <f>VLOOKUP(T_Voluntarios[[#This Row],[RUN]],BBDD[],36,FALSE)</f>
        <v>https://drive.google.com/open?id=106-BPbpA4mU_YkhNzQDYXWCWOctyqDSp</v>
      </c>
      <c r="S153" s="2" t="str">
        <f>VLOOKUP(T_Voluntarios[[#This Row],[RUN]],BBDD[],16,FALSE)</f>
        <v>Inicial</v>
      </c>
      <c r="T153" s="2" t="str">
        <f>VLOOKUP(T_Voluntarios[[#This Row],[RUN]],BBDD[],17,FALSE)</f>
        <v>Ninguno</v>
      </c>
      <c r="U153" s="2" t="str">
        <f>VLOOKUP(T_Voluntarios[[#This Row],[RUN]],BBDD[],18,FALSE)</f>
        <v>Ninguno</v>
      </c>
      <c r="V153" s="2" t="str">
        <f>VLOOKUP(T_Voluntarios[[#This Row],[RUN]],BBDD[],19,FALSE)</f>
        <v>Ninguno</v>
      </c>
      <c r="W153" s="13" t="str">
        <f>IF(OR(T_Voluntarios[[#This Row],[ROL]]="Formador(a)"),"SI","NO")</f>
        <v>NO</v>
      </c>
      <c r="X153" s="13" t="str">
        <f>IF(ISERROR(VLOOKUP(T_Voluntarios[[#This Row],[RUN]],BBDD_Formadores[],15,FALSE)),"NO",VLOOKUP(T_Voluntarios[[#This Row],[RUN]],BBDD_Formadores[],15,FALSE))</f>
        <v>NO</v>
      </c>
      <c r="Y153" s="13" t="str">
        <f>IF(ISERROR(VLOOKUP(T_Voluntarios[[#This Row],[RUN]],BBDD_Formadores[],16,FALSE)),"NO",VLOOKUP(T_Voluntarios[[#This Row],[RUN]],BBDD_Formadores[],16,FALSE))</f>
        <v>NO</v>
      </c>
      <c r="Z153" s="13" t="str">
        <f>IF(ISERROR(VLOOKUP(T_Voluntarios[[#This Row],[RUN]],BBDD_Formadores[],17,FALSE)),"NO",VLOOKUP(T_Voluntarios[[#This Row],[RUN]],BBDD_Formadores[],17,FALSE))</f>
        <v>NO</v>
      </c>
      <c r="AA153" s="13" t="str">
        <f>IF(ISERROR(VLOOKUP(T_Voluntarios[[#This Row],[RUN]],BBDD_Formadores[],18,FALSE)),"NO",VLOOKUP(T_Voluntarios[[#This Row],[RUN]],BBDD_Formadores[],18,FALSE))</f>
        <v>NO</v>
      </c>
      <c r="AB153" s="13">
        <v>1</v>
      </c>
      <c r="AC153" s="13" t="s">
        <v>1597</v>
      </c>
      <c r="AD153" s="13" t="s">
        <v>78</v>
      </c>
      <c r="AF153" s="2" t="str">
        <f>IF(VLOOKUP(T_Voluntarios[[#This Row],[RUN]],BBDD[],25,FALSE)=0,"",VLOOKUP(T_Voluntarios[[#This Row],[RUN]],BBDD[],25,FALSE))</f>
        <v/>
      </c>
      <c r="AG153" s="2" t="str">
        <f>IF(VLOOKUP(T_Voluntarios[[#This Row],[RUN]],BBDD[],26,FALSE)=0,"",VLOOKUP(T_Voluntarios[[#This Row],[RUN]],BBDD[],26,FALSE))</f>
        <v/>
      </c>
      <c r="AH153" s="2" t="str">
        <f>IF(VLOOKUP(T_Voluntarios[[#This Row],[RUN]],BBDD[],24,FALSE)=0,"",VLOOKUP(T_Voluntarios[[#This Row],[RUN]],BBDD[],24,FALSE))</f>
        <v/>
      </c>
      <c r="AI153" s="13" t="str">
        <f>VLOOKUP(T_Voluntarios[[#This Row],[RUN]],BBDD[],28,FALSE)</f>
        <v>No</v>
      </c>
      <c r="AJ153" s="13" t="str">
        <f>VLOOKUP(T_Voluntarios[[#This Row],[RUN]],BBDD[],28,FALSE)</f>
        <v>No</v>
      </c>
      <c r="AK153" s="32">
        <f>IF(T_Voluntarios[[#This Row],[ROL]]="Participante",SUMIFS(T_Cuotas[[#All],[Total]],T_Cuotas[[#All],[RUN]],T_Voluntarios[[#This Row],[RUN]]),-1)</f>
        <v>0</v>
      </c>
      <c r="AL153" s="13" t="s">
        <v>2</v>
      </c>
      <c r="AM153" s="13" t="s">
        <v>733</v>
      </c>
      <c r="AP153" s="2" t="str">
        <f>MID(T_Voluntarios[[#This Row],[E_MAIL]],SEARCH("@",T_Voluntarios[[#This Row],[E_MAIL]],1),LEN(T_Voluntarios[[#This Row],[E_MAIL]]))</f>
        <v>@gmail.com</v>
      </c>
      <c r="AQ153" s="13" t="str">
        <f>VLOOKUP(T_Voluntarios[[#This Row],[RUN]],BBDD[],37,FALSE)</f>
        <v>23</v>
      </c>
      <c r="AR153" s="2" t="str">
        <f>VLOOKUP(T_Voluntarios[[#This Row],[RUN]],BBDD[],29,FALSE)</f>
        <v>Estudiante</v>
      </c>
      <c r="AS153" s="2" t="str">
        <f>VLOOKUP(T_Voluntarios[[#This Row],[RUN]],BBDD[],30,FALSE)</f>
        <v>11 años</v>
      </c>
      <c r="AT153" s="2" t="str">
        <f>VLOOKUP(T_Voluntarios[[#This Row],[RUN]],BBDD[],31,FALSE)</f>
        <v>No</v>
      </c>
      <c r="AU153" s="2" t="str">
        <f>VLOOKUP(T_Voluntarios[[#This Row],[RUN]],BBDD[],32,FALSE)</f>
        <v>Soltero(a)</v>
      </c>
      <c r="AV153" s="2" t="str">
        <f>VLOOKUP(T_Voluntarios[[#This Row],[RUN]],BBDD[],33,FALSE)</f>
        <v>Ninguna</v>
      </c>
      <c r="AW153" s="2" t="str">
        <f>VLOOKUP(T_Voluntarios[[#This Row],[RUN]],BBDD[],34,FALSE)</f>
        <v>Rena</v>
      </c>
      <c r="AX153" s="13" t="s">
        <v>733</v>
      </c>
      <c r="AY153" s="76">
        <f>VLOOKUP(T_Voluntarios[[#This Row],[RUN]],BBDD[],2,FALSE)</f>
        <v>45798.973210108023</v>
      </c>
      <c r="AZ153" s="13" t="s">
        <v>2</v>
      </c>
    </row>
    <row r="154" spans="1:52" x14ac:dyDescent="0.3">
      <c r="A154" s="2" t="s">
        <v>2639</v>
      </c>
      <c r="B154" s="2" t="str">
        <f>VLOOKUP(T_Voluntarios[[#This Row],[RUN]],BBDD[],3,FALSE)</f>
        <v>marquezbarbara2018@gmail.com</v>
      </c>
      <c r="C154" s="2" t="str">
        <f>VLOOKUP(T_Voluntarios[[#This Row],[RUN]],BBDD[],4,FALSE)</f>
        <v>Bárbara Catalina Márquez Rivas</v>
      </c>
      <c r="D154" s="16">
        <f>VLOOKUP(T_Voluntarios[[#This Row],[RUN]],BBDD[],5,FALSE)</f>
        <v>34656</v>
      </c>
      <c r="E154" s="2" t="str">
        <f>VLOOKUP(T_Voluntarios[[#This Row],[RUN]],BBDD[],6,FALSE)</f>
        <v>Catirai 161</v>
      </c>
      <c r="F154" s="2" t="str">
        <f>VLOOKUP(T_Voluntarios[[#This Row],[RUN]],BBDD[],7,FALSE)</f>
        <v>Los Ángeles</v>
      </c>
      <c r="G154" s="2" t="str">
        <f>VLOOKUP(T_Voluntarios[[#This Row],[RUN]],BBDD[],8,FALSE)</f>
        <v>Celular</v>
      </c>
      <c r="H154" s="2" t="str">
        <f>IF(VLOOKUP(T_Voluntarios[[#This Row],[RUN]],BBDD[],9,FALSE)=0,"Falta",VLOOKUP(T_Voluntarios[[#This Row],[RUN]],BBDD[],9,FALSE))</f>
        <v>+56933969452</v>
      </c>
      <c r="I154" s="2" t="str">
        <f>VLOOKUP(T_Voluntarios[[#This Row],[RUN]],BBDD[],10,FALSE)</f>
        <v>Participante</v>
      </c>
      <c r="J154" s="2" t="str">
        <f>VLOOKUP(T_Voluntarios[[#This Row],[RUN]],BBDD[],11,FALSE)</f>
        <v>Sagrada Familia</v>
      </c>
      <c r="K154" s="2" t="str">
        <f>VLOOKUP(T_Voluntarios[[#This Row],[RUN]],BBDD[],12,FALSE)</f>
        <v>Lobatos</v>
      </c>
      <c r="L154" s="2" t="str">
        <f>VLOOKUP(T_Voluntarios[[#This Row],[RUN]],BBDD[],15,FALSE)</f>
        <v>Biobío</v>
      </c>
      <c r="M154" s="2" t="str">
        <f>VLOOKUP(T_Voluntarios[[#This Row],[RUN]],BBDD[],20,FALSE)</f>
        <v>Alimentación Tradicional</v>
      </c>
      <c r="N154" s="2" t="str">
        <f>VLOOKUP(T_Voluntarios[[#This Row],[RUN]],BBDD[],21,FALSE)</f>
        <v>Ninguna</v>
      </c>
      <c r="O154" s="2" t="str">
        <f>VLOOKUP(T_Voluntarios[[#This Row],[RUN]],BBDD[],22,FALSE)</f>
        <v>Ninguna</v>
      </c>
      <c r="P154" s="2" t="str">
        <f>VLOOKUP(T_Voluntarios[[#This Row],[RUN]],BBDD[],23,FALSE)</f>
        <v>Natacha Márquez +56977065940</v>
      </c>
      <c r="Q154" s="2" t="str">
        <f>IF(VLOOKUP(T_Voluntarios[[#This Row],[RUN]],BBDD[],27,FALSE)=0,"",VLOOKUP(T_Voluntarios[[#This Row],[RUN]],BBDD[],27,FALSE))</f>
        <v>Ninguna</v>
      </c>
      <c r="R154" s="2" t="str">
        <f>VLOOKUP(T_Voluntarios[[#This Row],[RUN]],BBDD[],36,FALSE)</f>
        <v>https://drive.google.com/open?id=1IahMy16pqVZ1HqOemGuy6Ol07aojIb3h</v>
      </c>
      <c r="S154" s="2" t="str">
        <f>VLOOKUP(T_Voluntarios[[#This Row],[RUN]],BBDD[],16,FALSE)</f>
        <v>Medio</v>
      </c>
      <c r="T154" s="2" t="str">
        <f>VLOOKUP(T_Voluntarios[[#This Row],[RUN]],BBDD[],17,FALSE)</f>
        <v>10845</v>
      </c>
      <c r="U154" s="2" t="str">
        <f>VLOOKUP(T_Voluntarios[[#This Row],[RUN]],BBDD[],18,FALSE)</f>
        <v>Guias</v>
      </c>
      <c r="V154" s="2" t="str">
        <f>VLOOKUP(T_Voluntarios[[#This Row],[RUN]],BBDD[],19,FALSE)</f>
        <v>Ninguno</v>
      </c>
      <c r="W154" s="13" t="str">
        <f>IF(OR(T_Voluntarios[[#This Row],[ROL]]="Formador(a)"),"SI","NO")</f>
        <v>NO</v>
      </c>
      <c r="X154" s="13" t="str">
        <f>IF(ISERROR(VLOOKUP(T_Voluntarios[[#This Row],[RUN]],BBDD_Formadores[],15,FALSE)),"NO",VLOOKUP(T_Voluntarios[[#This Row],[RUN]],BBDD_Formadores[],15,FALSE))</f>
        <v>NO</v>
      </c>
      <c r="Y154" s="13" t="str">
        <f>IF(ISERROR(VLOOKUP(T_Voluntarios[[#This Row],[RUN]],BBDD_Formadores[],16,FALSE)),"NO",VLOOKUP(T_Voluntarios[[#This Row],[RUN]],BBDD_Formadores[],16,FALSE))</f>
        <v>NO</v>
      </c>
      <c r="Z154" s="13" t="str">
        <f>IF(ISERROR(VLOOKUP(T_Voluntarios[[#This Row],[RUN]],BBDD_Formadores[],17,FALSE)),"NO",VLOOKUP(T_Voluntarios[[#This Row],[RUN]],BBDD_Formadores[],17,FALSE))</f>
        <v>NO</v>
      </c>
      <c r="AA154" s="13" t="str">
        <f>IF(ISERROR(VLOOKUP(T_Voluntarios[[#This Row],[RUN]],BBDD_Formadores[],18,FALSE)),"NO",VLOOKUP(T_Voluntarios[[#This Row],[RUN]],BBDD_Formadores[],18,FALSE))</f>
        <v>NO</v>
      </c>
      <c r="AB154" s="13">
        <v>1</v>
      </c>
      <c r="AC154" s="13" t="s">
        <v>1597</v>
      </c>
      <c r="AD154" s="13" t="s">
        <v>78</v>
      </c>
      <c r="AF154" s="2" t="str">
        <f>IF(VLOOKUP(T_Voluntarios[[#This Row],[RUN]],BBDD[],25,FALSE)=0,"",VLOOKUP(T_Voluntarios[[#This Row],[RUN]],BBDD[],25,FALSE))</f>
        <v/>
      </c>
      <c r="AG154" s="2" t="str">
        <f>IF(VLOOKUP(T_Voluntarios[[#This Row],[RUN]],BBDD[],26,FALSE)=0,"",VLOOKUP(T_Voluntarios[[#This Row],[RUN]],BBDD[],26,FALSE))</f>
        <v/>
      </c>
      <c r="AH154" s="2" t="str">
        <f>IF(VLOOKUP(T_Voluntarios[[#This Row],[RUN]],BBDD[],24,FALSE)=0,"",VLOOKUP(T_Voluntarios[[#This Row],[RUN]],BBDD[],24,FALSE))</f>
        <v>No</v>
      </c>
      <c r="AI154" s="13" t="str">
        <f>VLOOKUP(T_Voluntarios[[#This Row],[RUN]],BBDD[],28,FALSE)</f>
        <v>No</v>
      </c>
      <c r="AJ154" s="13" t="str">
        <f>VLOOKUP(T_Voluntarios[[#This Row],[RUN]],BBDD[],28,FALSE)</f>
        <v>No</v>
      </c>
      <c r="AK154" s="32">
        <f>IF(T_Voluntarios[[#This Row],[ROL]]="Participante",SUMIFS(T_Cuotas[[#All],[Total]],T_Cuotas[[#All],[RUN]],T_Voluntarios[[#This Row],[RUN]]),-1)</f>
        <v>0</v>
      </c>
      <c r="AL154" s="13" t="s">
        <v>2</v>
      </c>
      <c r="AM154" s="13" t="s">
        <v>733</v>
      </c>
      <c r="AP154" s="2" t="str">
        <f>MID(T_Voluntarios[[#This Row],[E_MAIL]],SEARCH("@",T_Voluntarios[[#This Row],[E_MAIL]],1),LEN(T_Voluntarios[[#This Row],[E_MAIL]]))</f>
        <v>@gmail.com</v>
      </c>
      <c r="AQ154" s="13" t="str">
        <f>VLOOKUP(T_Voluntarios[[#This Row],[RUN]],BBDD[],37,FALSE)</f>
        <v>30</v>
      </c>
      <c r="AR154" s="2" t="str">
        <f>VLOOKUP(T_Voluntarios[[#This Row],[RUN]],BBDD[],29,FALSE)</f>
        <v>Tens</v>
      </c>
      <c r="AS154" s="2" t="str">
        <f>VLOOKUP(T_Voluntarios[[#This Row],[RUN]],BBDD[],30,FALSE)</f>
        <v>Ingresé en 2006, no recuerdo hasta cuando</v>
      </c>
      <c r="AT154" s="2" t="str">
        <f>VLOOKUP(T_Voluntarios[[#This Row],[RUN]],BBDD[],31,FALSE)</f>
        <v>Tuve años que trabajé intermitente (no recuerdo años ni periodos) regresé de vuelta de pandemia en 2022</v>
      </c>
      <c r="AU154" s="2" t="str">
        <f>VLOOKUP(T_Voluntarios[[#This Row],[RUN]],BBDD[],32,FALSE)</f>
        <v>Casado(a)</v>
      </c>
      <c r="AV154" s="2" t="str">
        <f>VLOOKUP(T_Voluntarios[[#This Row],[RUN]],BBDD[],33,FALSE)</f>
        <v>Ninguna</v>
      </c>
      <c r="AW154" s="2" t="str">
        <f>VLOOKUP(T_Voluntarios[[#This Row],[RUN]],BBDD[],34,FALSE)</f>
        <v>Babi</v>
      </c>
      <c r="AX154" s="13" t="s">
        <v>733</v>
      </c>
      <c r="AY154" s="76">
        <f>VLOOKUP(T_Voluntarios[[#This Row],[RUN]],BBDD[],2,FALSE)</f>
        <v>45798.980256481482</v>
      </c>
      <c r="AZ154" s="13" t="s">
        <v>2</v>
      </c>
    </row>
    <row r="155" spans="1:52" x14ac:dyDescent="0.3">
      <c r="A155" s="2" t="s">
        <v>2651</v>
      </c>
      <c r="B155" s="2" t="str">
        <f>VLOOKUP(T_Voluntarios[[#This Row],[RUN]],BBDD[],3,FALSE)</f>
        <v>d11reamy@gmail.com</v>
      </c>
      <c r="C155" s="2" t="str">
        <f>VLOOKUP(T_Voluntarios[[#This Row],[RUN]],BBDD[],4,FALSE)</f>
        <v>Katherine Ayllen Castro Leiva</v>
      </c>
      <c r="D155" s="16">
        <f>VLOOKUP(T_Voluntarios[[#This Row],[RUN]],BBDD[],5,FALSE)</f>
        <v>36821</v>
      </c>
      <c r="E155" s="2" t="str">
        <f>VLOOKUP(T_Voluntarios[[#This Row],[RUN]],BBDD[],6,FALSE)</f>
        <v>Pasaje los avellanos, 41
Cerro la cruz, Lebu</v>
      </c>
      <c r="F155" s="2" t="str">
        <f>VLOOKUP(T_Voluntarios[[#This Row],[RUN]],BBDD[],7,FALSE)</f>
        <v>Lebu</v>
      </c>
      <c r="G155" s="2" t="str">
        <f>VLOOKUP(T_Voluntarios[[#This Row],[RUN]],BBDD[],8,FALSE)</f>
        <v>Celular</v>
      </c>
      <c r="H155" s="2" t="str">
        <f>IF(VLOOKUP(T_Voluntarios[[#This Row],[RUN]],BBDD[],9,FALSE)=0,"Falta",VLOOKUP(T_Voluntarios[[#This Row],[RUN]],BBDD[],9,FALSE))</f>
        <v>+56976643685</v>
      </c>
      <c r="I155" s="2" t="str">
        <f>VLOOKUP(T_Voluntarios[[#This Row],[RUN]],BBDD[],10,FALSE)</f>
        <v>Participante</v>
      </c>
      <c r="J155" s="2" t="str">
        <f>VLOOKUP(T_Voluntarios[[#This Row],[RUN]],BBDD[],11,FALSE)</f>
        <v>Fresia Müller Ruiz</v>
      </c>
      <c r="K155" s="2" t="str">
        <f>VLOOKUP(T_Voluntarios[[#This Row],[RUN]],BBDD[],12,FALSE)</f>
        <v>Lobatos</v>
      </c>
      <c r="L155" s="2" t="str">
        <f>VLOOKUP(T_Voluntarios[[#This Row],[RUN]],BBDD[],15,FALSE)</f>
        <v>Nahuelbuta</v>
      </c>
      <c r="M155" s="2" t="str">
        <f>VLOOKUP(T_Voluntarios[[#This Row],[RUN]],BBDD[],20,FALSE)</f>
        <v>Alimentación Tradicional</v>
      </c>
      <c r="N155" s="2" t="str">
        <f>VLOOKUP(T_Voluntarios[[#This Row],[RUN]],BBDD[],21,FALSE)</f>
        <v>Ninguna</v>
      </c>
      <c r="O155" s="2" t="str">
        <f>VLOOKUP(T_Voluntarios[[#This Row],[RUN]],BBDD[],22,FALSE)</f>
        <v>Ninguna</v>
      </c>
      <c r="P155" s="2" t="str">
        <f>VLOOKUP(T_Voluntarios[[#This Row],[RUN]],BBDD[],23,FALSE)</f>
        <v>Fresia Leiva +56 9 3889 2185</v>
      </c>
      <c r="Q155" s="2" t="str">
        <f>IF(VLOOKUP(T_Voluntarios[[#This Row],[RUN]],BBDD[],27,FALSE)=0,"",VLOOKUP(T_Voluntarios[[#This Row],[RUN]],BBDD[],27,FALSE))</f>
        <v/>
      </c>
      <c r="R155" s="2" t="str">
        <f>VLOOKUP(T_Voluntarios[[#This Row],[RUN]],BBDD[],36,FALSE)</f>
        <v>https://drive.google.com/open?id=1VXpAoY8mFyTPB6KRGDcJKOx0kvYs61oH</v>
      </c>
      <c r="S155" s="2" t="str">
        <f>VLOOKUP(T_Voluntarios[[#This Row],[RUN]],BBDD[],16,FALSE)</f>
        <v>Inicial</v>
      </c>
      <c r="T155" s="2" t="str">
        <f>VLOOKUP(T_Voluntarios[[#This Row],[RUN]],BBDD[],17,FALSE)</f>
        <v>No comprendo</v>
      </c>
      <c r="U155" s="2" t="str">
        <f>VLOOKUP(T_Voluntarios[[#This Row],[RUN]],BBDD[],18,FALSE)</f>
        <v>Ninguno</v>
      </c>
      <c r="V155" s="2" t="str">
        <f>VLOOKUP(T_Voluntarios[[#This Row],[RUN]],BBDD[],19,FALSE)</f>
        <v>Ninguno</v>
      </c>
      <c r="W155" s="13" t="str">
        <f>IF(OR(T_Voluntarios[[#This Row],[ROL]]="Formador(a)"),"SI","NO")</f>
        <v>NO</v>
      </c>
      <c r="X155" s="13" t="str">
        <f>IF(ISERROR(VLOOKUP(T_Voluntarios[[#This Row],[RUN]],BBDD_Formadores[],15,FALSE)),"NO",VLOOKUP(T_Voluntarios[[#This Row],[RUN]],BBDD_Formadores[],15,FALSE))</f>
        <v>NO</v>
      </c>
      <c r="Y155" s="13" t="str">
        <f>IF(ISERROR(VLOOKUP(T_Voluntarios[[#This Row],[RUN]],BBDD_Formadores[],16,FALSE)),"NO",VLOOKUP(T_Voluntarios[[#This Row],[RUN]],BBDD_Formadores[],16,FALSE))</f>
        <v>NO</v>
      </c>
      <c r="Z155" s="13" t="str">
        <f>IF(ISERROR(VLOOKUP(T_Voluntarios[[#This Row],[RUN]],BBDD_Formadores[],17,FALSE)),"NO",VLOOKUP(T_Voluntarios[[#This Row],[RUN]],BBDD_Formadores[],17,FALSE))</f>
        <v>NO</v>
      </c>
      <c r="AA155" s="13" t="str">
        <f>IF(ISERROR(VLOOKUP(T_Voluntarios[[#This Row],[RUN]],BBDD_Formadores[],18,FALSE)),"NO",VLOOKUP(T_Voluntarios[[#This Row],[RUN]],BBDD_Formadores[],18,FALSE))</f>
        <v>NO</v>
      </c>
      <c r="AB155" s="13">
        <v>1</v>
      </c>
      <c r="AC155" s="13" t="s">
        <v>1597</v>
      </c>
      <c r="AD155" s="13" t="s">
        <v>78</v>
      </c>
      <c r="AF155" s="2" t="str">
        <f>IF(VLOOKUP(T_Voluntarios[[#This Row],[RUN]],BBDD[],25,FALSE)=0,"",VLOOKUP(T_Voluntarios[[#This Row],[RUN]],BBDD[],25,FALSE))</f>
        <v/>
      </c>
      <c r="AG155" s="2" t="str">
        <f>IF(VLOOKUP(T_Voluntarios[[#This Row],[RUN]],BBDD[],26,FALSE)=0,"",VLOOKUP(T_Voluntarios[[#This Row],[RUN]],BBDD[],26,FALSE))</f>
        <v/>
      </c>
      <c r="AH155" s="2" t="str">
        <f>IF(VLOOKUP(T_Voluntarios[[#This Row],[RUN]],BBDD[],24,FALSE)=0,"",VLOOKUP(T_Voluntarios[[#This Row],[RUN]],BBDD[],24,FALSE))</f>
        <v/>
      </c>
      <c r="AI155" s="13" t="str">
        <f>VLOOKUP(T_Voluntarios[[#This Row],[RUN]],BBDD[],28,FALSE)</f>
        <v>SI</v>
      </c>
      <c r="AJ155" s="13" t="str">
        <f>VLOOKUP(T_Voluntarios[[#This Row],[RUN]],BBDD[],28,FALSE)</f>
        <v>SI</v>
      </c>
      <c r="AK155" s="32">
        <f>IF(T_Voluntarios[[#This Row],[ROL]]="Participante",SUMIFS(T_Cuotas[[#All],[Total]],T_Cuotas[[#All],[RUN]],T_Voluntarios[[#This Row],[RUN]]),-1)</f>
        <v>0</v>
      </c>
      <c r="AL155" s="13" t="s">
        <v>2</v>
      </c>
      <c r="AM155" s="13" t="s">
        <v>733</v>
      </c>
      <c r="AP155" s="2" t="str">
        <f>MID(T_Voluntarios[[#This Row],[E_MAIL]],SEARCH("@",T_Voluntarios[[#This Row],[E_MAIL]],1),LEN(T_Voluntarios[[#This Row],[E_MAIL]]))</f>
        <v>@gmail.com</v>
      </c>
      <c r="AQ155" s="13" t="str">
        <f>VLOOKUP(T_Voluntarios[[#This Row],[RUN]],BBDD[],37,FALSE)</f>
        <v>24</v>
      </c>
      <c r="AR155" s="2" t="str">
        <f>VLOOKUP(T_Voluntarios[[#This Row],[RUN]],BBDD[],29,FALSE)</f>
        <v>-</v>
      </c>
      <c r="AS155" s="2" t="str">
        <f>VLOOKUP(T_Voluntarios[[#This Row],[RUN]],BBDD[],30,FALSE)</f>
        <v>2 años aproximadamente</v>
      </c>
      <c r="AT155" s="2" t="str">
        <f>VLOOKUP(T_Voluntarios[[#This Row],[RUN]],BBDD[],31,FALSE)</f>
        <v>Mas de un año</v>
      </c>
      <c r="AU155" s="2" t="str">
        <f>VLOOKUP(T_Voluntarios[[#This Row],[RUN]],BBDD[],32,FALSE)</f>
        <v>Soltero(a)</v>
      </c>
      <c r="AV155" s="2" t="str">
        <f>VLOOKUP(T_Voluntarios[[#This Row],[RUN]],BBDD[],33,FALSE)</f>
        <v>Evangelica</v>
      </c>
      <c r="AW155" s="2" t="str">
        <f>VLOOKUP(T_Voluntarios[[#This Row],[RUN]],BBDD[],34,FALSE)</f>
        <v>Kathy</v>
      </c>
      <c r="AX155" s="13" t="s">
        <v>733</v>
      </c>
      <c r="AY155" s="76">
        <f>VLOOKUP(T_Voluntarios[[#This Row],[RUN]],BBDD[],2,FALSE)</f>
        <v>45798.987415740739</v>
      </c>
      <c r="AZ155" s="13" t="s">
        <v>2</v>
      </c>
    </row>
    <row r="156" spans="1:52" ht="14.4" x14ac:dyDescent="0.3">
      <c r="A156" s="2" t="s">
        <v>2416</v>
      </c>
      <c r="B156" s="2" t="str">
        <f>VLOOKUP(T_Voluntarios[[#This Row],[RUN]],BBDD[],3,FALSE)</f>
        <v>broarojas@gmail.com</v>
      </c>
      <c r="C156" s="2" t="str">
        <f>VLOOKUP(T_Voluntarios[[#This Row],[RUN]],BBDD[],4,FALSE)</f>
        <v>Benjamín Andrés Roa Rojas</v>
      </c>
      <c r="D156" s="16">
        <f>VLOOKUP(T_Voluntarios[[#This Row],[RUN]],BBDD[],5,FALSE)</f>
        <v>37672</v>
      </c>
      <c r="E156" s="2" t="str">
        <f>VLOOKUP(T_Voluntarios[[#This Row],[RUN]],BBDD[],6,FALSE)</f>
        <v>Enrique moya 178</v>
      </c>
      <c r="F156" s="2" t="str">
        <f>VLOOKUP(T_Voluntarios[[#This Row],[RUN]],BBDD[],7,FALSE)</f>
        <v>San Pedro De La Paz</v>
      </c>
      <c r="G156" s="2" t="str">
        <f>VLOOKUP(T_Voluntarios[[#This Row],[RUN]],BBDD[],8,FALSE)</f>
        <v>Celular</v>
      </c>
      <c r="H156" s="2" t="str">
        <f>IF(VLOOKUP(T_Voluntarios[[#This Row],[RUN]],BBDD[],9,FALSE)=0,"Falta",VLOOKUP(T_Voluntarios[[#This Row],[RUN]],BBDD[],9,FALSE))</f>
        <v>+56996378248</v>
      </c>
      <c r="I156" s="2" t="str">
        <f>VLOOKUP(T_Voluntarios[[#This Row],[RUN]],BBDD[],10,FALSE)</f>
        <v>Participante</v>
      </c>
      <c r="J156" s="2" t="str">
        <f>VLOOKUP(T_Voluntarios[[#This Row],[RUN]],BBDD[],11,FALSE)</f>
        <v>Sagrados Corazones</v>
      </c>
      <c r="K156" s="2" t="str">
        <f>VLOOKUP(T_Voluntarios[[#This Row],[RUN]],BBDD[],12,FALSE)</f>
        <v>Scouts</v>
      </c>
      <c r="L156" s="2" t="str">
        <f>VLOOKUP(T_Voluntarios[[#This Row],[RUN]],BBDD[],15,FALSE)</f>
        <v>Concepción</v>
      </c>
      <c r="M156" s="2" t="str">
        <f>VLOOKUP(T_Voluntarios[[#This Row],[RUN]],BBDD[],20,FALSE)</f>
        <v>Alimentación Tradicional</v>
      </c>
      <c r="N156" s="2" t="str">
        <f>VLOOKUP(T_Voluntarios[[#This Row],[RUN]],BBDD[],21,FALSE)</f>
        <v>Ninguna</v>
      </c>
      <c r="O156" s="2" t="str">
        <f>VLOOKUP(T_Voluntarios[[#This Row],[RUN]],BBDD[],22,FALSE)</f>
        <v>Ninguna</v>
      </c>
      <c r="P156" s="2" t="str">
        <f>VLOOKUP(T_Voluntarios[[#This Row],[RUN]],BBDD[],23,FALSE)</f>
        <v>997397134</v>
      </c>
      <c r="Q156" s="2" t="str">
        <f>IF(VLOOKUP(T_Voluntarios[[#This Row],[RUN]],BBDD[],27,FALSE)=0,"",VLOOKUP(T_Voluntarios[[#This Row],[RUN]],BBDD[],27,FALSE))</f>
        <v/>
      </c>
      <c r="R156" s="2" t="str">
        <f>VLOOKUP(T_Voluntarios[[#This Row],[RUN]],BBDD[],36,FALSE)</f>
        <v>https://drive.google.com/open?id=1Pc5RBHaKRlqnHh78xnLMdTWkLYLuyjfI</v>
      </c>
      <c r="S156" s="2" t="str">
        <f>VLOOKUP(T_Voluntarios[[#This Row],[RUN]],BBDD[],16,FALSE)</f>
        <v>Inicial</v>
      </c>
      <c r="T156" s="2" t="str">
        <f>VLOOKUP(T_Voluntarios[[#This Row],[RUN]],BBDD[],17,FALSE)</f>
        <v>Ninguno</v>
      </c>
      <c r="U156" s="2" t="str">
        <f>VLOOKUP(T_Voluntarios[[#This Row],[RUN]],BBDD[],18,FALSE)</f>
        <v>Ninguno</v>
      </c>
      <c r="V156" s="2" t="str">
        <f>VLOOKUP(T_Voluntarios[[#This Row],[RUN]],BBDD[],19,FALSE)</f>
        <v>Ninguno</v>
      </c>
      <c r="W156" s="13" t="str">
        <f>IF(OR(T_Voluntarios[[#This Row],[ROL]]="Formador(a)"),"SI","NO")</f>
        <v>NO</v>
      </c>
      <c r="X156" s="13" t="str">
        <f>IF(ISERROR(VLOOKUP(T_Voluntarios[[#This Row],[RUN]],BBDD_Formadores[],15,FALSE)),"NO",VLOOKUP(T_Voluntarios[[#This Row],[RUN]],BBDD_Formadores[],15,FALSE))</f>
        <v>NO</v>
      </c>
      <c r="Y156" s="13" t="str">
        <f>IF(ISERROR(VLOOKUP(T_Voluntarios[[#This Row],[RUN]],BBDD_Formadores[],16,FALSE)),"NO",VLOOKUP(T_Voluntarios[[#This Row],[RUN]],BBDD_Formadores[],16,FALSE))</f>
        <v>NO</v>
      </c>
      <c r="Z156" s="13" t="str">
        <f>IF(ISERROR(VLOOKUP(T_Voluntarios[[#This Row],[RUN]],BBDD_Formadores[],17,FALSE)),"NO",VLOOKUP(T_Voluntarios[[#This Row],[RUN]],BBDD_Formadores[],17,FALSE))</f>
        <v>NO</v>
      </c>
      <c r="AA156" s="13" t="str">
        <f>IF(ISERROR(VLOOKUP(T_Voluntarios[[#This Row],[RUN]],BBDD_Formadores[],18,FALSE)),"NO",VLOOKUP(T_Voluntarios[[#This Row],[RUN]],BBDD_Formadores[],18,FALSE))</f>
        <v>NO</v>
      </c>
      <c r="AB156" s="13">
        <v>1</v>
      </c>
      <c r="AC156" s="13" t="s">
        <v>1597</v>
      </c>
      <c r="AD156" s="13" t="s">
        <v>78</v>
      </c>
      <c r="AF156" s="2" t="str">
        <f>IF(VLOOKUP(T_Voluntarios[[#This Row],[RUN]],BBDD[],25,FALSE)=0,"",VLOOKUP(T_Voluntarios[[#This Row],[RUN]],BBDD[],25,FALSE))</f>
        <v>Dodge</v>
      </c>
      <c r="AG156" s="2" t="str">
        <f>IF(VLOOKUP(T_Voluntarios[[#This Row],[RUN]],BBDD[],26,FALSE)=0,"",VLOOKUP(T_Voluntarios[[#This Row],[RUN]],BBDD[],26,FALSE))</f>
        <v>Dodge DurangoS</v>
      </c>
      <c r="AH156" s="2" t="str">
        <f>IF(VLOOKUP(T_Voluntarios[[#This Row],[RUN]],BBDD[],24,FALSE)=0,"",VLOOKUP(T_Voluntarios[[#This Row],[RUN]],BBDD[],24,FALSE))</f>
        <v>ZY505</v>
      </c>
      <c r="AI156" s="13" t="str">
        <f>VLOOKUP(T_Voluntarios[[#This Row],[RUN]],BBDD[],28,FALSE)</f>
        <v>SI</v>
      </c>
      <c r="AJ156" s="13" t="str">
        <f>VLOOKUP(T_Voluntarios[[#This Row],[RUN]],BBDD[],28,FALSE)</f>
        <v>SI</v>
      </c>
      <c r="AK156" s="32">
        <f>IF(T_Voluntarios[[#This Row],[ROL]]="Participante",SUMIFS(T_Cuotas[[#All],[Total]],T_Cuotas[[#All],[RUN]],T_Voluntarios[[#This Row],[RUN]]),-1)</f>
        <v>0</v>
      </c>
      <c r="AL156" s="1" t="s">
        <v>78</v>
      </c>
      <c r="AM156" s="13" t="s">
        <v>733</v>
      </c>
      <c r="AP156" s="2" t="str">
        <f>MID(T_Voluntarios[[#This Row],[E_MAIL]],SEARCH("@",T_Voluntarios[[#This Row],[E_MAIL]],1),LEN(T_Voluntarios[[#This Row],[E_MAIL]]))</f>
        <v>@gmail.com</v>
      </c>
      <c r="AQ156" s="13" t="str">
        <f>VLOOKUP(T_Voluntarios[[#This Row],[RUN]],BBDD[],37,FALSE)</f>
        <v>22</v>
      </c>
      <c r="AR156" s="2" t="str">
        <f>VLOOKUP(T_Voluntarios[[#This Row],[RUN]],BBDD[],29,FALSE)</f>
        <v>Estudiante Psicologia</v>
      </c>
      <c r="AS156" s="2" t="str">
        <f>VLOOKUP(T_Voluntarios[[#This Row],[RUN]],BBDD[],30,FALSE)</f>
        <v>11 años aproximadamente.</v>
      </c>
      <c r="AT156" s="2" t="str">
        <f>VLOOKUP(T_Voluntarios[[#This Row],[RUN]],BBDD[],31,FALSE)</f>
        <v xml:space="preserve"> 2 años siendo dirigente, y durante mi formacion universitaria.</v>
      </c>
      <c r="AU156" s="2" t="str">
        <f>VLOOKUP(T_Voluntarios[[#This Row],[RUN]],BBDD[],32,FALSE)</f>
        <v>Soltero(a)</v>
      </c>
      <c r="AV156" s="2" t="str">
        <f>VLOOKUP(T_Voluntarios[[#This Row],[RUN]],BBDD[],33,FALSE)</f>
        <v>Ninguna</v>
      </c>
      <c r="AW156" s="2" t="str">
        <f>VLOOKUP(T_Voluntarios[[#This Row],[RUN]],BBDD[],34,FALSE)</f>
        <v>Benja.</v>
      </c>
      <c r="AX156" s="13" t="s">
        <v>733</v>
      </c>
      <c r="AY156" s="76">
        <f>VLOOKUP(T_Voluntarios[[#This Row],[RUN]],BBDD[],2,FALSE)</f>
        <v>45798.989366010799</v>
      </c>
      <c r="AZ156" s="13" t="s">
        <v>2</v>
      </c>
    </row>
    <row r="157" spans="1:52" x14ac:dyDescent="0.3">
      <c r="A157" s="2" t="s">
        <v>2430</v>
      </c>
      <c r="B157" s="2" t="str">
        <f>VLOOKUP(T_Voluntarios[[#This Row],[RUN]],BBDD[],3,FALSE)</f>
        <v>vichofuentest@gmail.com</v>
      </c>
      <c r="C157" s="2" t="str">
        <f>VLOOKUP(T_Voluntarios[[#This Row],[RUN]],BBDD[],4,FALSE)</f>
        <v>Vicente Matias Fuentes Torres</v>
      </c>
      <c r="D157" s="16">
        <f>VLOOKUP(T_Voluntarios[[#This Row],[RUN]],BBDD[],5,FALSE)</f>
        <v>38768</v>
      </c>
      <c r="E157" s="2" t="str">
        <f>VLOOKUP(T_Voluntarios[[#This Row],[RUN]],BBDD[],6,FALSE)</f>
        <v>Excequiel Plaza 1034</v>
      </c>
      <c r="F157" s="2" t="str">
        <f>VLOOKUP(T_Voluntarios[[#This Row],[RUN]],BBDD[],7,FALSE)</f>
        <v>San Pedro De La Paz</v>
      </c>
      <c r="G157" s="2" t="str">
        <f>VLOOKUP(T_Voluntarios[[#This Row],[RUN]],BBDD[],8,FALSE)</f>
        <v>Celular</v>
      </c>
      <c r="H157" s="2" t="str">
        <f>IF(VLOOKUP(T_Voluntarios[[#This Row],[RUN]],BBDD[],9,FALSE)=0,"Falta",VLOOKUP(T_Voluntarios[[#This Row],[RUN]],BBDD[],9,FALSE))</f>
        <v>+56999065330</v>
      </c>
      <c r="I157" s="2" t="str">
        <f>VLOOKUP(T_Voluntarios[[#This Row],[RUN]],BBDD[],10,FALSE)</f>
        <v>Participante</v>
      </c>
      <c r="J157" s="2" t="str">
        <f>VLOOKUP(T_Voluntarios[[#This Row],[RUN]],BBDD[],11,FALSE)</f>
        <v>Tricolor Chileno</v>
      </c>
      <c r="K157" s="2" t="str">
        <f>VLOOKUP(T_Voluntarios[[#This Row],[RUN]],BBDD[],12,FALSE)</f>
        <v>Scouts</v>
      </c>
      <c r="L157" s="2" t="str">
        <f>VLOOKUP(T_Voluntarios[[#This Row],[RUN]],BBDD[],15,FALSE)</f>
        <v>Nahuelbuta</v>
      </c>
      <c r="M157" s="2" t="str">
        <f>VLOOKUP(T_Voluntarios[[#This Row],[RUN]],BBDD[],20,FALSE)</f>
        <v>Alimentación Tradicional</v>
      </c>
      <c r="N157" s="2" t="str">
        <f>VLOOKUP(T_Voluntarios[[#This Row],[RUN]],BBDD[],21,FALSE)</f>
        <v>Ninguna</v>
      </c>
      <c r="O157" s="2" t="str">
        <f>VLOOKUP(T_Voluntarios[[#This Row],[RUN]],BBDD[],22,FALSE)</f>
        <v>Ninguna</v>
      </c>
      <c r="P157" s="2" t="str">
        <f>VLOOKUP(T_Voluntarios[[#This Row],[RUN]],BBDD[],23,FALSE)</f>
        <v>Paola Torres +59996394681</v>
      </c>
      <c r="Q157" s="2" t="str">
        <f>IF(VLOOKUP(T_Voluntarios[[#This Row],[RUN]],BBDD[],27,FALSE)=0,"",VLOOKUP(T_Voluntarios[[#This Row],[RUN]],BBDD[],27,FALSE))</f>
        <v/>
      </c>
      <c r="R157" s="2" t="str">
        <f>VLOOKUP(T_Voluntarios[[#This Row],[RUN]],BBDD[],36,FALSE)</f>
        <v>https://drive.google.com/open?id=1opQC2_-Q_0s_2yUPjf-zqy8m9l6noasw</v>
      </c>
      <c r="S157" s="2" t="str">
        <f>VLOOKUP(T_Voluntarios[[#This Row],[RUN]],BBDD[],16,FALSE)</f>
        <v>Inicial</v>
      </c>
      <c r="T157" s="2" t="str">
        <f>VLOOKUP(T_Voluntarios[[#This Row],[RUN]],BBDD[],17,FALSE)</f>
        <v>Ninguno</v>
      </c>
      <c r="U157" s="2" t="str">
        <f>VLOOKUP(T_Voluntarios[[#This Row],[RUN]],BBDD[],18,FALSE)</f>
        <v>Ninguno</v>
      </c>
      <c r="V157" s="2" t="str">
        <f>VLOOKUP(T_Voluntarios[[#This Row],[RUN]],BBDD[],19,FALSE)</f>
        <v>Ninguno</v>
      </c>
      <c r="W157" s="13" t="str">
        <f>IF(OR(T_Voluntarios[[#This Row],[ROL]]="Formador(a)"),"SI","NO")</f>
        <v>NO</v>
      </c>
      <c r="X157" s="13" t="str">
        <f>IF(ISERROR(VLOOKUP(T_Voluntarios[[#This Row],[RUN]],BBDD_Formadores[],15,FALSE)),"NO",VLOOKUP(T_Voluntarios[[#This Row],[RUN]],BBDD_Formadores[],15,FALSE))</f>
        <v>NO</v>
      </c>
      <c r="Y157" s="13" t="str">
        <f>IF(ISERROR(VLOOKUP(T_Voluntarios[[#This Row],[RUN]],BBDD_Formadores[],16,FALSE)),"NO",VLOOKUP(T_Voluntarios[[#This Row],[RUN]],BBDD_Formadores[],16,FALSE))</f>
        <v>NO</v>
      </c>
      <c r="Z157" s="13" t="str">
        <f>IF(ISERROR(VLOOKUP(T_Voluntarios[[#This Row],[RUN]],BBDD_Formadores[],17,FALSE)),"NO",VLOOKUP(T_Voluntarios[[#This Row],[RUN]],BBDD_Formadores[],17,FALSE))</f>
        <v>NO</v>
      </c>
      <c r="AA157" s="13" t="str">
        <f>IF(ISERROR(VLOOKUP(T_Voluntarios[[#This Row],[RUN]],BBDD_Formadores[],18,FALSE)),"NO",VLOOKUP(T_Voluntarios[[#This Row],[RUN]],BBDD_Formadores[],18,FALSE))</f>
        <v>NO</v>
      </c>
      <c r="AB157" s="13">
        <v>1</v>
      </c>
      <c r="AC157" s="13" t="s">
        <v>1</v>
      </c>
      <c r="AD157" s="13" t="s">
        <v>77</v>
      </c>
      <c r="AF157" s="2" t="str">
        <f>IF(VLOOKUP(T_Voluntarios[[#This Row],[RUN]],BBDD[],25,FALSE)=0,"",VLOOKUP(T_Voluntarios[[#This Row],[RUN]],BBDD[],25,FALSE))</f>
        <v/>
      </c>
      <c r="AG157" s="2" t="str">
        <f>IF(VLOOKUP(T_Voluntarios[[#This Row],[RUN]],BBDD[],26,FALSE)=0,"",VLOOKUP(T_Voluntarios[[#This Row],[RUN]],BBDD[],26,FALSE))</f>
        <v/>
      </c>
      <c r="AH157" s="2" t="str">
        <f>IF(VLOOKUP(T_Voluntarios[[#This Row],[RUN]],BBDD[],24,FALSE)=0,"",VLOOKUP(T_Voluntarios[[#This Row],[RUN]],BBDD[],24,FALSE))</f>
        <v/>
      </c>
      <c r="AI157" s="13" t="str">
        <f>VLOOKUP(T_Voluntarios[[#This Row],[RUN]],BBDD[],28,FALSE)</f>
        <v>SI</v>
      </c>
      <c r="AJ157" s="13" t="str">
        <f>VLOOKUP(T_Voluntarios[[#This Row],[RUN]],BBDD[],28,FALSE)</f>
        <v>SI</v>
      </c>
      <c r="AK157" s="32">
        <f>IF(T_Voluntarios[[#This Row],[ROL]]="Participante",SUMIFS(T_Cuotas[[#All],[Total]],T_Cuotas[[#All],[RUN]],T_Voluntarios[[#This Row],[RUN]]),-1)</f>
        <v>50000</v>
      </c>
      <c r="AL157" s="13" t="s">
        <v>1</v>
      </c>
      <c r="AM157" s="13" t="s">
        <v>2029</v>
      </c>
      <c r="AP157" s="2" t="str">
        <f>MID(T_Voluntarios[[#This Row],[E_MAIL]],SEARCH("@",T_Voluntarios[[#This Row],[E_MAIL]],1),LEN(T_Voluntarios[[#This Row],[E_MAIL]]))</f>
        <v>@gmail.com</v>
      </c>
      <c r="AQ157" s="13" t="str">
        <f>VLOOKUP(T_Voluntarios[[#This Row],[RUN]],BBDD[],37,FALSE)</f>
        <v>19</v>
      </c>
      <c r="AR157" s="2" t="str">
        <f>VLOOKUP(T_Voluntarios[[#This Row],[RUN]],BBDD[],29,FALSE)</f>
        <v>Estudiante</v>
      </c>
      <c r="AS157" s="2" t="str">
        <f>VLOOKUP(T_Voluntarios[[#This Row],[RUN]],BBDD[],30,FALSE)</f>
        <v>11 años</v>
      </c>
      <c r="AT157" s="2" t="str">
        <f>VLOOKUP(T_Voluntarios[[#This Row],[RUN]],BBDD[],31,FALSE)</f>
        <v>0</v>
      </c>
      <c r="AU157" s="2" t="str">
        <f>VLOOKUP(T_Voluntarios[[#This Row],[RUN]],BBDD[],32,FALSE)</f>
        <v>Soltero(a)</v>
      </c>
      <c r="AV157" s="2" t="str">
        <f>VLOOKUP(T_Voluntarios[[#This Row],[RUN]],BBDD[],33,FALSE)</f>
        <v>Ninguna</v>
      </c>
      <c r="AW157" s="2" t="str">
        <f>VLOOKUP(T_Voluntarios[[#This Row],[RUN]],BBDD[],34,FALSE)</f>
        <v>Vicente</v>
      </c>
      <c r="AX157" s="13" t="s">
        <v>733</v>
      </c>
      <c r="AY157" s="76">
        <f>VLOOKUP(T_Voluntarios[[#This Row],[RUN]],BBDD[],2,FALSE)</f>
        <v>45799.014139930558</v>
      </c>
      <c r="AZ157" s="13" t="s">
        <v>3403</v>
      </c>
    </row>
    <row r="158" spans="1:52" x14ac:dyDescent="0.3">
      <c r="A158" s="2" t="s">
        <v>217</v>
      </c>
      <c r="B158" s="2" t="str">
        <f>VLOOKUP(T_Voluntarios[[#This Row],[RUN]],BBDD[],3,FALSE)</f>
        <v>javieracsv21@gmail.com</v>
      </c>
      <c r="C158" s="2" t="str">
        <f>VLOOKUP(T_Voluntarios[[#This Row],[RUN]],BBDD[],4,FALSE)</f>
        <v>Javiera Constanza Sánchez Vega</v>
      </c>
      <c r="D158" s="16">
        <f>VLOOKUP(T_Voluntarios[[#This Row],[RUN]],BBDD[],5,FALSE)</f>
        <v>34963</v>
      </c>
      <c r="E158" s="2" t="str">
        <f>VLOOKUP(T_Voluntarios[[#This Row],[RUN]],BBDD[],6,FALSE)</f>
        <v>gobernador juan henríquez #820</v>
      </c>
      <c r="F158" s="2" t="str">
        <f>VLOOKUP(T_Voluntarios[[#This Row],[RUN]],BBDD[],7,FALSE)</f>
        <v>Concepción</v>
      </c>
      <c r="G158" s="2" t="str">
        <f>VLOOKUP(T_Voluntarios[[#This Row],[RUN]],BBDD[],8,FALSE)</f>
        <v>Celular</v>
      </c>
      <c r="H158" s="2" t="str">
        <f>IF(VLOOKUP(T_Voluntarios[[#This Row],[RUN]],BBDD[],9,FALSE)=0,"Falta",VLOOKUP(T_Voluntarios[[#This Row],[RUN]],BBDD[],9,FALSE))</f>
        <v>+56997711144</v>
      </c>
      <c r="I158" s="2" t="str">
        <f>VLOOKUP(T_Voluntarios[[#This Row],[RUN]],BBDD[],10,FALSE)</f>
        <v>Formador(a)</v>
      </c>
      <c r="J158" s="2" t="str">
        <f>VLOOKUP(T_Voluntarios[[#This Row],[RUN]],BBDD[],11,FALSE)</f>
        <v>Alcatipay</v>
      </c>
      <c r="K158" s="2" t="str">
        <f>VLOOKUP(T_Voluntarios[[#This Row],[RUN]],BBDD[],12,FALSE)</f>
        <v>Lobatos</v>
      </c>
      <c r="L158" s="2" t="str">
        <f>VLOOKUP(T_Voluntarios[[#This Row],[RUN]],BBDD[],15,FALSE)</f>
        <v>Talcahuano - Hualpén</v>
      </c>
      <c r="M158" s="2" t="str">
        <f>VLOOKUP(T_Voluntarios[[#This Row],[RUN]],BBDD[],20,FALSE)</f>
        <v>Alimentación Vegetariana</v>
      </c>
      <c r="N158" s="2" t="str">
        <f>VLOOKUP(T_Voluntarios[[#This Row],[RUN]],BBDD[],21,FALSE)</f>
        <v>Ninguna</v>
      </c>
      <c r="O158" s="2" t="str">
        <f>VLOOKUP(T_Voluntarios[[#This Row],[RUN]],BBDD[],22,FALSE)</f>
        <v>Asma</v>
      </c>
      <c r="P158" s="2" t="str">
        <f>VLOOKUP(T_Voluntarios[[#This Row],[RUN]],BBDD[],23,FALSE)</f>
        <v>Mónica Vega +56974645434</v>
      </c>
      <c r="Q158" s="2" t="str">
        <f>IF(VLOOKUP(T_Voluntarios[[#This Row],[RUN]],BBDD[],27,FALSE)=0,"",VLOOKUP(T_Voluntarios[[#This Row],[RUN]],BBDD[],27,FALSE))</f>
        <v/>
      </c>
      <c r="R158" s="2" t="str">
        <f>VLOOKUP(T_Voluntarios[[#This Row],[RUN]],BBDD[],36,FALSE)</f>
        <v>https://drive.google.com/open?id=1Nb3QRDh30HxlthHSrrcDhXJjHkkNqF7w</v>
      </c>
      <c r="S158" s="2" t="str">
        <f>VLOOKUP(T_Voluntarios[[#This Row],[RUN]],BBDD[],16,FALSE)</f>
        <v>Medio</v>
      </c>
      <c r="T158" s="2" t="str">
        <f>VLOOKUP(T_Voluntarios[[#This Row],[RUN]],BBDD[],17,FALSE)</f>
        <v>10118</v>
      </c>
      <c r="U158" s="2" t="str">
        <f>VLOOKUP(T_Voluntarios[[#This Row],[RUN]],BBDD[],18,FALSE)</f>
        <v>Lobatos</v>
      </c>
      <c r="V158" s="2" t="str">
        <f>VLOOKUP(T_Voluntarios[[#This Row],[RUN]],BBDD[],19,FALSE)</f>
        <v>Ninguno</v>
      </c>
      <c r="W158" s="13" t="str">
        <f>IF(OR(T_Voluntarios[[#This Row],[ROL]]="Formador(a)"),"SI","NO")</f>
        <v>SI</v>
      </c>
      <c r="X158" s="13" t="str">
        <f>IF(ISERROR(VLOOKUP(T_Voluntarios[[#This Row],[RUN]],BBDD_Formadores[],15,FALSE)),"NO",VLOOKUP(T_Voluntarios[[#This Row],[RUN]],BBDD_Formadores[],15,FALSE))</f>
        <v>SI</v>
      </c>
      <c r="Y158" s="13" t="str">
        <f>IF(ISERROR(VLOOKUP(T_Voluntarios[[#This Row],[RUN]],BBDD_Formadores[],16,FALSE)),"NO",VLOOKUP(T_Voluntarios[[#This Row],[RUN]],BBDD_Formadores[],16,FALSE))</f>
        <v>Lobatos</v>
      </c>
      <c r="Z158" s="13" t="str">
        <f>IF(ISERROR(VLOOKUP(T_Voluntarios[[#This Row],[RUN]],BBDD_Formadores[],17,FALSE)),"NO",VLOOKUP(T_Voluntarios[[#This Row],[RUN]],BBDD_Formadores[],17,FALSE))</f>
        <v>Lobatos</v>
      </c>
      <c r="AA158" s="13" t="str">
        <f>IF(ISERROR(VLOOKUP(T_Voluntarios[[#This Row],[RUN]],BBDD_Formadores[],18,FALSE)),"NO",VLOOKUP(T_Voluntarios[[#This Row],[RUN]],BBDD_Formadores[],18,FALSE))</f>
        <v>NO</v>
      </c>
      <c r="AB158" s="13">
        <v>1</v>
      </c>
      <c r="AC158" s="13" t="s">
        <v>1</v>
      </c>
      <c r="AD158" s="13" t="s">
        <v>77</v>
      </c>
      <c r="AF158" s="2" t="str">
        <f>IF(VLOOKUP(T_Voluntarios[[#This Row],[RUN]],BBDD[],25,FALSE)=0,"",VLOOKUP(T_Voluntarios[[#This Row],[RUN]],BBDD[],25,FALSE))</f>
        <v/>
      </c>
      <c r="AG158" s="2" t="str">
        <f>IF(VLOOKUP(T_Voluntarios[[#This Row],[RUN]],BBDD[],26,FALSE)=0,"",VLOOKUP(T_Voluntarios[[#This Row],[RUN]],BBDD[],26,FALSE))</f>
        <v/>
      </c>
      <c r="AH158" s="2" t="str">
        <f>IF(VLOOKUP(T_Voluntarios[[#This Row],[RUN]],BBDD[],24,FALSE)=0,"",VLOOKUP(T_Voluntarios[[#This Row],[RUN]],BBDD[],24,FALSE))</f>
        <v/>
      </c>
      <c r="AI158" s="13" t="str">
        <f>VLOOKUP(T_Voluntarios[[#This Row],[RUN]],BBDD[],28,FALSE)</f>
        <v>No</v>
      </c>
      <c r="AJ158" s="13" t="str">
        <f>VLOOKUP(T_Voluntarios[[#This Row],[RUN]],BBDD[],28,FALSE)</f>
        <v>No</v>
      </c>
      <c r="AK158" s="32">
        <f>IF(T_Voluntarios[[#This Row],[ROL]]="Participante",SUMIFS(T_Cuotas[[#All],[Total]],T_Cuotas[[#All],[RUN]],T_Voluntarios[[#This Row],[RUN]]),-1)</f>
        <v>-1</v>
      </c>
      <c r="AL158" s="13" t="s">
        <v>1</v>
      </c>
      <c r="AM158" s="13" t="s">
        <v>2029</v>
      </c>
      <c r="AP158" s="2" t="str">
        <f>MID(T_Voluntarios[[#This Row],[E_MAIL]],SEARCH("@",T_Voluntarios[[#This Row],[E_MAIL]],1),LEN(T_Voluntarios[[#This Row],[E_MAIL]]))</f>
        <v>@gmail.com</v>
      </c>
      <c r="AQ158" s="13" t="str">
        <f>VLOOKUP(T_Voluntarios[[#This Row],[RUN]],BBDD[],37,FALSE)</f>
        <v>29</v>
      </c>
      <c r="AR158" s="2" t="str">
        <f>VLOOKUP(T_Voluntarios[[#This Row],[RUN]],BBDD[],29,FALSE)</f>
        <v>Profesora de Artes Visuales</v>
      </c>
      <c r="AS158" s="2" t="str">
        <f>VLOOKUP(T_Voluntarios[[#This Row],[RUN]],BBDD[],30,FALSE)</f>
        <v>6 años</v>
      </c>
      <c r="AT158" s="2" t="str">
        <f>VLOOKUP(T_Voluntarios[[#This Row],[RUN]],BBDD[],31,FALSE)</f>
        <v>7 años</v>
      </c>
      <c r="AU158" s="2" t="str">
        <f>VLOOKUP(T_Voluntarios[[#This Row],[RUN]],BBDD[],32,FALSE)</f>
        <v>Soltero(a)</v>
      </c>
      <c r="AV158" s="2" t="str">
        <f>VLOOKUP(T_Voluntarios[[#This Row],[RUN]],BBDD[],33,FALSE)</f>
        <v>Pagana</v>
      </c>
      <c r="AW158" s="2" t="str">
        <f>VLOOKUP(T_Voluntarios[[#This Row],[RUN]],BBDD[],34,FALSE)</f>
        <v>Javi</v>
      </c>
      <c r="AX158" s="13" t="s">
        <v>733</v>
      </c>
      <c r="AY158" s="76">
        <f>VLOOKUP(T_Voluntarios[[#This Row],[RUN]],BBDD[],2,FALSE)</f>
        <v>45799.064909722219</v>
      </c>
      <c r="AZ158" s="13" t="s">
        <v>2</v>
      </c>
    </row>
    <row r="159" spans="1:52" x14ac:dyDescent="0.3">
      <c r="A159" s="2" t="s">
        <v>2439</v>
      </c>
      <c r="B159" s="2" t="str">
        <f>VLOOKUP(T_Voluntarios[[#This Row],[RUN]],BBDD[],3,FALSE)</f>
        <v>javier.dauros@gmail.com</v>
      </c>
      <c r="C159" s="2" t="str">
        <f>VLOOKUP(T_Voluntarios[[#This Row],[RUN]],BBDD[],4,FALSE)</f>
        <v>Javier Andres Dauros Hormazabal</v>
      </c>
      <c r="D159" s="16">
        <f>VLOOKUP(T_Voluntarios[[#This Row],[RUN]],BBDD[],5,FALSE)</f>
        <v>35466</v>
      </c>
      <c r="E159" s="2" t="str">
        <f>VLOOKUP(T_Voluntarios[[#This Row],[RUN]],BBDD[],6,FALSE)</f>
        <v>Laguna Logalindo 883</v>
      </c>
      <c r="F159" s="2" t="str">
        <f>VLOOKUP(T_Voluntarios[[#This Row],[RUN]],BBDD[],7,FALSE)</f>
        <v>Talcahuano</v>
      </c>
      <c r="G159" s="2" t="str">
        <f>VLOOKUP(T_Voluntarios[[#This Row],[RUN]],BBDD[],8,FALSE)</f>
        <v>Celular</v>
      </c>
      <c r="H159" s="2" t="str">
        <f>IF(VLOOKUP(T_Voluntarios[[#This Row],[RUN]],BBDD[],9,FALSE)=0,"Falta",VLOOKUP(T_Voluntarios[[#This Row],[RUN]],BBDD[],9,FALSE))</f>
        <v>+56998047156</v>
      </c>
      <c r="I159" s="2" t="str">
        <f>VLOOKUP(T_Voluntarios[[#This Row],[RUN]],BBDD[],10,FALSE)</f>
        <v>Participante</v>
      </c>
      <c r="J159" s="2" t="str">
        <f>VLOOKUP(T_Voluntarios[[#This Row],[RUN]],BBDD[],11,FALSE)</f>
        <v>La Asunción</v>
      </c>
      <c r="K159" s="2" t="str">
        <f>VLOOKUP(T_Voluntarios[[#This Row],[RUN]],BBDD[],12,FALSE)</f>
        <v>Caminantes</v>
      </c>
      <c r="L159" s="2" t="str">
        <f>VLOOKUP(T_Voluntarios[[#This Row],[RUN]],BBDD[],15,FALSE)</f>
        <v>Talcahuano - Hualpén</v>
      </c>
      <c r="M159" s="2" t="str">
        <f>VLOOKUP(T_Voluntarios[[#This Row],[RUN]],BBDD[],20,FALSE)</f>
        <v>Alimentación Tradicional</v>
      </c>
      <c r="N159" s="2" t="str">
        <f>VLOOKUP(T_Voluntarios[[#This Row],[RUN]],BBDD[],21,FALSE)</f>
        <v>Ninguna</v>
      </c>
      <c r="O159" s="2" t="str">
        <f>VLOOKUP(T_Voluntarios[[#This Row],[RUN]],BBDD[],22,FALSE)</f>
        <v>Ninguna</v>
      </c>
      <c r="P159" s="2" t="str">
        <f>VLOOKUP(T_Voluntarios[[#This Row],[RUN]],BBDD[],23,FALSE)</f>
        <v>Camila Diaz +56967783337</v>
      </c>
      <c r="Q159" s="2" t="str">
        <f>IF(VLOOKUP(T_Voluntarios[[#This Row],[RUN]],BBDD[],27,FALSE)=0,"",VLOOKUP(T_Voluntarios[[#This Row],[RUN]],BBDD[],27,FALSE))</f>
        <v>Quizás no pueda pernoctar en el lugar del curso, debido a las responsabilidades con mi hija</v>
      </c>
      <c r="R159" s="2" t="str">
        <f>VLOOKUP(T_Voluntarios[[#This Row],[RUN]],BBDD[],36,FALSE)</f>
        <v>https://drive.google.com/open?id=1tlWf6VDk8BXrsuDaekiXc2qT376n3lNs</v>
      </c>
      <c r="S159" s="2" t="str">
        <f>VLOOKUP(T_Voluntarios[[#This Row],[RUN]],BBDD[],16,FALSE)</f>
        <v>Inicial</v>
      </c>
      <c r="T159" s="2" t="str">
        <f>VLOOKUP(T_Voluntarios[[#This Row],[RUN]],BBDD[],17,FALSE)</f>
        <v>Ninguno</v>
      </c>
      <c r="U159" s="2" t="str">
        <f>VLOOKUP(T_Voluntarios[[#This Row],[RUN]],BBDD[],18,FALSE)</f>
        <v>Ninguno</v>
      </c>
      <c r="V159" s="2" t="str">
        <f>VLOOKUP(T_Voluntarios[[#This Row],[RUN]],BBDD[],19,FALSE)</f>
        <v>Ninguno</v>
      </c>
      <c r="W159" s="13" t="str">
        <f>IF(OR(T_Voluntarios[[#This Row],[ROL]]="Formador(a)"),"SI","NO")</f>
        <v>NO</v>
      </c>
      <c r="X159" s="13" t="str">
        <f>IF(ISERROR(VLOOKUP(T_Voluntarios[[#This Row],[RUN]],BBDD_Formadores[],15,FALSE)),"NO",VLOOKUP(T_Voluntarios[[#This Row],[RUN]],BBDD_Formadores[],15,FALSE))</f>
        <v>NO</v>
      </c>
      <c r="Y159" s="13" t="str">
        <f>IF(ISERROR(VLOOKUP(T_Voluntarios[[#This Row],[RUN]],BBDD_Formadores[],16,FALSE)),"NO",VLOOKUP(T_Voluntarios[[#This Row],[RUN]],BBDD_Formadores[],16,FALSE))</f>
        <v>NO</v>
      </c>
      <c r="Z159" s="13" t="str">
        <f>IF(ISERROR(VLOOKUP(T_Voluntarios[[#This Row],[RUN]],BBDD_Formadores[],17,FALSE)),"NO",VLOOKUP(T_Voluntarios[[#This Row],[RUN]],BBDD_Formadores[],17,FALSE))</f>
        <v>NO</v>
      </c>
      <c r="AA159" s="13" t="str">
        <f>IF(ISERROR(VLOOKUP(T_Voluntarios[[#This Row],[RUN]],BBDD_Formadores[],18,FALSE)),"NO",VLOOKUP(T_Voluntarios[[#This Row],[RUN]],BBDD_Formadores[],18,FALSE))</f>
        <v>NO</v>
      </c>
      <c r="AB159" s="13">
        <v>1</v>
      </c>
      <c r="AC159" s="13" t="s">
        <v>1</v>
      </c>
      <c r="AD159" s="13" t="s">
        <v>77</v>
      </c>
      <c r="AF159" s="2" t="str">
        <f>IF(VLOOKUP(T_Voluntarios[[#This Row],[RUN]],BBDD[],25,FALSE)=0,"",VLOOKUP(T_Voluntarios[[#This Row],[RUN]],BBDD[],25,FALSE))</f>
        <v>MAZDA</v>
      </c>
      <c r="AG159" s="2" t="str">
        <f>IF(VLOOKUP(T_Voluntarios[[#This Row],[RUN]],BBDD[],26,FALSE)=0,"",VLOOKUP(T_Voluntarios[[#This Row],[RUN]],BBDD[],26,FALSE))</f>
        <v>CX-5</v>
      </c>
      <c r="AH159" s="2" t="str">
        <f>IF(VLOOKUP(T_Voluntarios[[#This Row],[RUN]],BBDD[],24,FALSE)=0,"",VLOOKUP(T_Voluntarios[[#This Row],[RUN]],BBDD[],24,FALSE))</f>
        <v>JVSX-81</v>
      </c>
      <c r="AI159" s="13" t="str">
        <f>VLOOKUP(T_Voluntarios[[#This Row],[RUN]],BBDD[],28,FALSE)</f>
        <v>SI</v>
      </c>
      <c r="AJ159" s="13" t="str">
        <f>VLOOKUP(T_Voluntarios[[#This Row],[RUN]],BBDD[],28,FALSE)</f>
        <v>SI</v>
      </c>
      <c r="AK159" s="32">
        <f>IF(T_Voluntarios[[#This Row],[ROL]]="Participante",SUMIFS(T_Cuotas[[#All],[Total]],T_Cuotas[[#All],[RUN]],T_Voluntarios[[#This Row],[RUN]]),-1)</f>
        <v>50000</v>
      </c>
      <c r="AL159" s="13" t="s">
        <v>1</v>
      </c>
      <c r="AM159" s="13" t="s">
        <v>2029</v>
      </c>
      <c r="AP159" s="2" t="str">
        <f>MID(T_Voluntarios[[#This Row],[E_MAIL]],SEARCH("@",T_Voluntarios[[#This Row],[E_MAIL]],1),LEN(T_Voluntarios[[#This Row],[E_MAIL]]))</f>
        <v>@gmail.com</v>
      </c>
      <c r="AQ159" s="13" t="str">
        <f>VLOOKUP(T_Voluntarios[[#This Row],[RUN]],BBDD[],37,FALSE)</f>
        <v>28</v>
      </c>
      <c r="AR159" s="2" t="str">
        <f>VLOOKUP(T_Voluntarios[[#This Row],[RUN]],BBDD[],29,FALSE)</f>
        <v>Ingeniero Civil Industrial</v>
      </c>
      <c r="AS159" s="2" t="str">
        <f>VLOOKUP(T_Voluntarios[[#This Row],[RUN]],BBDD[],30,FALSE)</f>
        <v>13</v>
      </c>
      <c r="AT159" s="2" t="str">
        <f>VLOOKUP(T_Voluntarios[[#This Row],[RUN]],BBDD[],31,FALSE)</f>
        <v>6</v>
      </c>
      <c r="AU159" s="2" t="str">
        <f>VLOOKUP(T_Voluntarios[[#This Row],[RUN]],BBDD[],32,FALSE)</f>
        <v>Soltero(a)</v>
      </c>
      <c r="AV159" s="2" t="str">
        <f>VLOOKUP(T_Voluntarios[[#This Row],[RUN]],BBDD[],33,FALSE)</f>
        <v>Ninguna</v>
      </c>
      <c r="AW159" s="2" t="str">
        <f>VLOOKUP(T_Voluntarios[[#This Row],[RUN]],BBDD[],34,FALSE)</f>
        <v>Dauros</v>
      </c>
      <c r="AX159" s="13" t="s">
        <v>733</v>
      </c>
      <c r="AY159" s="76">
        <f>VLOOKUP(T_Voluntarios[[#This Row],[RUN]],BBDD[],2,FALSE)</f>
        <v>45799.450536959877</v>
      </c>
      <c r="AZ159" s="13" t="s">
        <v>3403</v>
      </c>
    </row>
    <row r="160" spans="1:52" x14ac:dyDescent="0.3">
      <c r="A160" s="2" t="s">
        <v>2671</v>
      </c>
      <c r="B160" s="2" t="str">
        <f>VLOOKUP(T_Voluntarios[[#This Row],[RUN]],BBDD[],3,FALSE)</f>
        <v>f.lehuey97@gmail.com</v>
      </c>
      <c r="C160" s="2" t="str">
        <f>VLOOKUP(T_Voluntarios[[#This Row],[RUN]],BBDD[],4,FALSE)</f>
        <v>Felipe Andrés Lehuey Cuevas</v>
      </c>
      <c r="D160" s="16">
        <f>VLOOKUP(T_Voluntarios[[#This Row],[RUN]],BBDD[],5,FALSE)</f>
        <v>35611</v>
      </c>
      <c r="E160" s="2" t="str">
        <f>VLOOKUP(T_Voluntarios[[#This Row],[RUN]],BBDD[],6,FALSE)</f>
        <v>Paseo del sol 0690, Labranza, Temuco</v>
      </c>
      <c r="F160" s="2" t="str">
        <f>VLOOKUP(T_Voluntarios[[#This Row],[RUN]],BBDD[],7,FALSE)</f>
        <v>Temuco</v>
      </c>
      <c r="G160" s="2" t="str">
        <f>VLOOKUP(T_Voluntarios[[#This Row],[RUN]],BBDD[],8,FALSE)</f>
        <v>Celular</v>
      </c>
      <c r="H160" s="2" t="str">
        <f>IF(VLOOKUP(T_Voluntarios[[#This Row],[RUN]],BBDD[],9,FALSE)=0,"Falta",VLOOKUP(T_Voluntarios[[#This Row],[RUN]],BBDD[],9,FALSE))</f>
        <v>+56974188677</v>
      </c>
      <c r="I160" s="2" t="str">
        <f>VLOOKUP(T_Voluntarios[[#This Row],[RUN]],BBDD[],10,FALSE)</f>
        <v>Formador(a)</v>
      </c>
      <c r="J160" s="2" t="str">
        <f>VLOOKUP(T_Voluntarios[[#This Row],[RUN]],BBDD[],11,FALSE)</f>
        <v>Repudauken</v>
      </c>
      <c r="K160" s="2" t="str">
        <f>VLOOKUP(T_Voluntarios[[#This Row],[RUN]],BBDD[],12,FALSE)</f>
        <v>Lobatos</v>
      </c>
      <c r="L160" s="2" t="str">
        <f>VLOOKUP(T_Voluntarios[[#This Row],[RUN]],BBDD[],15,FALSE)</f>
        <v>Zona La Frontera</v>
      </c>
      <c r="M160" s="2" t="str">
        <f>VLOOKUP(T_Voluntarios[[#This Row],[RUN]],BBDD[],20,FALSE)</f>
        <v>Alimentación Tradicional</v>
      </c>
      <c r="N160" s="2" t="str">
        <f>VLOOKUP(T_Voluntarios[[#This Row],[RUN]],BBDD[],21,FALSE)</f>
        <v>Ninguna</v>
      </c>
      <c r="O160" s="2" t="str">
        <f>VLOOKUP(T_Voluntarios[[#This Row],[RUN]],BBDD[],22,FALSE)</f>
        <v>Ninguna</v>
      </c>
      <c r="P160" s="2" t="str">
        <f>VLOOKUP(T_Voluntarios[[#This Row],[RUN]],BBDD[],23,FALSE)</f>
        <v>Arturo Lehuey - +56950960719</v>
      </c>
      <c r="Q160" s="2" t="str">
        <f>IF(VLOOKUP(T_Voluntarios[[#This Row],[RUN]],BBDD[],27,FALSE)=0,"",VLOOKUP(T_Voluntarios[[#This Row],[RUN]],BBDD[],27,FALSE))</f>
        <v/>
      </c>
      <c r="R160" s="2" t="str">
        <f>VLOOKUP(T_Voluntarios[[#This Row],[RUN]],BBDD[],36,FALSE)</f>
        <v>https://drive.google.com/open?id=1C9fDj8Dmnv5aGSnU38OMUhX6ljzY0I1e</v>
      </c>
      <c r="S160" s="2" t="str">
        <f>VLOOKUP(T_Voluntarios[[#This Row],[RUN]],BBDD[],16,FALSE)</f>
        <v>Medio</v>
      </c>
      <c r="T160" s="2" t="str">
        <f>VLOOKUP(T_Voluntarios[[#This Row],[RUN]],BBDD[],17,FALSE)</f>
        <v>10035</v>
      </c>
      <c r="U160" s="2" t="str">
        <f>VLOOKUP(T_Voluntarios[[#This Row],[RUN]],BBDD[],18,FALSE)</f>
        <v>Lobatos</v>
      </c>
      <c r="V160" s="2" t="str">
        <f>VLOOKUP(T_Voluntarios[[#This Row],[RUN]],BBDD[],19,FALSE)</f>
        <v>Ninguno</v>
      </c>
      <c r="W160" s="13" t="str">
        <f>IF(OR(T_Voluntarios[[#This Row],[ROL]]="Formador(a)"),"SI","NO")</f>
        <v>SI</v>
      </c>
      <c r="X160" s="13" t="str">
        <f>IF(ISERROR(VLOOKUP(T_Voluntarios[[#This Row],[RUN]],BBDD_Formadores[],15,FALSE)),"NO",VLOOKUP(T_Voluntarios[[#This Row],[RUN]],BBDD_Formadores[],15,FALSE))</f>
        <v>NO</v>
      </c>
      <c r="Y160" s="13" t="str">
        <f>IF(ISERROR(VLOOKUP(T_Voluntarios[[#This Row],[RUN]],BBDD_Formadores[],16,FALSE)),"NO",VLOOKUP(T_Voluntarios[[#This Row],[RUN]],BBDD_Formadores[],16,FALSE))</f>
        <v>NO</v>
      </c>
      <c r="Z160" s="13" t="str">
        <f>IF(ISERROR(VLOOKUP(T_Voluntarios[[#This Row],[RUN]],BBDD_Formadores[],17,FALSE)),"NO",VLOOKUP(T_Voluntarios[[#This Row],[RUN]],BBDD_Formadores[],17,FALSE))</f>
        <v>NO</v>
      </c>
      <c r="AA160" s="13" t="str">
        <f>IF(ISERROR(VLOOKUP(T_Voluntarios[[#This Row],[RUN]],BBDD_Formadores[],18,FALSE)),"NO",VLOOKUP(T_Voluntarios[[#This Row],[RUN]],BBDD_Formadores[],18,FALSE))</f>
        <v>NO</v>
      </c>
      <c r="AB160" s="13">
        <v>1</v>
      </c>
      <c r="AC160" s="13" t="s">
        <v>1</v>
      </c>
      <c r="AD160" s="13" t="s">
        <v>77</v>
      </c>
      <c r="AF160" s="2" t="str">
        <f>IF(VLOOKUP(T_Voluntarios[[#This Row],[RUN]],BBDD[],25,FALSE)=0,"",VLOOKUP(T_Voluntarios[[#This Row],[RUN]],BBDD[],25,FALSE))</f>
        <v/>
      </c>
      <c r="AG160" s="2" t="str">
        <f>IF(VLOOKUP(T_Voluntarios[[#This Row],[RUN]],BBDD[],26,FALSE)=0,"",VLOOKUP(T_Voluntarios[[#This Row],[RUN]],BBDD[],26,FALSE))</f>
        <v/>
      </c>
      <c r="AH160" s="2" t="str">
        <f>IF(VLOOKUP(T_Voluntarios[[#This Row],[RUN]],BBDD[],24,FALSE)=0,"",VLOOKUP(T_Voluntarios[[#This Row],[RUN]],BBDD[],24,FALSE))</f>
        <v/>
      </c>
      <c r="AI160" s="13" t="str">
        <f>VLOOKUP(T_Voluntarios[[#This Row],[RUN]],BBDD[],28,FALSE)</f>
        <v>SI</v>
      </c>
      <c r="AJ160" s="13" t="str">
        <f>VLOOKUP(T_Voluntarios[[#This Row],[RUN]],BBDD[],28,FALSE)</f>
        <v>SI</v>
      </c>
      <c r="AK160" s="32">
        <f>IF(T_Voluntarios[[#This Row],[ROL]]="Participante",SUMIFS(T_Cuotas[[#All],[Total]],T_Cuotas[[#All],[RUN]],T_Voluntarios[[#This Row],[RUN]]),-1)</f>
        <v>-1</v>
      </c>
      <c r="AL160" s="13" t="s">
        <v>1</v>
      </c>
      <c r="AM160" s="13" t="s">
        <v>2029</v>
      </c>
      <c r="AP160" s="2" t="str">
        <f>MID(T_Voluntarios[[#This Row],[E_MAIL]],SEARCH("@",T_Voluntarios[[#This Row],[E_MAIL]],1),LEN(T_Voluntarios[[#This Row],[E_MAIL]]))</f>
        <v>@gmail.com</v>
      </c>
      <c r="AQ160" s="13" t="str">
        <f>VLOOKUP(T_Voluntarios[[#This Row],[RUN]],BBDD[],37,FALSE)</f>
        <v>28</v>
      </c>
      <c r="AR160" s="2" t="str">
        <f>VLOOKUP(T_Voluntarios[[#This Row],[RUN]],BBDD[],29,FALSE)</f>
        <v>Ingeniero en recursos naturales</v>
      </c>
      <c r="AS160" s="2" t="str">
        <f>VLOOKUP(T_Voluntarios[[#This Row],[RUN]],BBDD[],30,FALSE)</f>
        <v>11 años</v>
      </c>
      <c r="AT160" s="2" t="str">
        <f>VLOOKUP(T_Voluntarios[[#This Row],[RUN]],BBDD[],31,FALSE)</f>
        <v>8 años</v>
      </c>
      <c r="AU160" s="2" t="str">
        <f>VLOOKUP(T_Voluntarios[[#This Row],[RUN]],BBDD[],32,FALSE)</f>
        <v>Soltero(a)</v>
      </c>
      <c r="AV160" s="2" t="str">
        <f>VLOOKUP(T_Voluntarios[[#This Row],[RUN]],BBDD[],33,FALSE)</f>
        <v>Ninguna</v>
      </c>
      <c r="AW160" s="2" t="str">
        <f>VLOOKUP(T_Voluntarios[[#This Row],[RUN]],BBDD[],34,FALSE)</f>
        <v>Felipe</v>
      </c>
      <c r="AX160" s="13" t="s">
        <v>733</v>
      </c>
      <c r="AY160" s="76">
        <f>VLOOKUP(T_Voluntarios[[#This Row],[RUN]],BBDD[],2,FALSE)</f>
        <v>45799.487469637344</v>
      </c>
      <c r="AZ160" s="13" t="s">
        <v>2</v>
      </c>
    </row>
    <row r="161" spans="1:52" x14ac:dyDescent="0.3">
      <c r="A161" s="2" t="s">
        <v>2452</v>
      </c>
      <c r="B161" s="2" t="str">
        <f>VLOOKUP(T_Voluntarios[[#This Row],[RUN]],BBDD[],3,FALSE)</f>
        <v>chifuuuxc@gmail.com</v>
      </c>
      <c r="C161" s="2" t="str">
        <f>VLOOKUP(T_Voluntarios[[#This Row],[RUN]],BBDD[],4,FALSE)</f>
        <v>Catalina Ignacia Pérez Ramos</v>
      </c>
      <c r="D161" s="16">
        <f>VLOOKUP(T_Voluntarios[[#This Row],[RUN]],BBDD[],5,FALSE)</f>
        <v>37610</v>
      </c>
      <c r="E161" s="2" t="str">
        <f>VLOOKUP(T_Voluntarios[[#This Row],[RUN]],BBDD[],6,FALSE)</f>
        <v>General Hernán Merino Correa 497, salinas</v>
      </c>
      <c r="F161" s="2" t="str">
        <f>VLOOKUP(T_Voluntarios[[#This Row],[RUN]],BBDD[],7,FALSE)</f>
        <v>Talcahuano</v>
      </c>
      <c r="G161" s="2" t="str">
        <f>VLOOKUP(T_Voluntarios[[#This Row],[RUN]],BBDD[],8,FALSE)</f>
        <v>Celular</v>
      </c>
      <c r="H161" s="2" t="str">
        <f>IF(VLOOKUP(T_Voluntarios[[#This Row],[RUN]],BBDD[],9,FALSE)=0,"Falta",VLOOKUP(T_Voluntarios[[#This Row],[RUN]],BBDD[],9,FALSE))</f>
        <v>+56973834520</v>
      </c>
      <c r="I161" s="2" t="str">
        <f>VLOOKUP(T_Voluntarios[[#This Row],[RUN]],BBDD[],10,FALSE)</f>
        <v>Participante</v>
      </c>
      <c r="J161" s="2" t="str">
        <f>VLOOKUP(T_Voluntarios[[#This Row],[RUN]],BBDD[],11,FALSE)</f>
        <v>La Asunción</v>
      </c>
      <c r="K161" s="2" t="str">
        <f>VLOOKUP(T_Voluntarios[[#This Row],[RUN]],BBDD[],12,FALSE)</f>
        <v>Lobatos</v>
      </c>
      <c r="L161" s="2" t="str">
        <f>VLOOKUP(T_Voluntarios[[#This Row],[RUN]],BBDD[],15,FALSE)</f>
        <v>Talcahuano - Hualpén</v>
      </c>
      <c r="M161" s="2" t="str">
        <f>VLOOKUP(T_Voluntarios[[#This Row],[RUN]],BBDD[],20,FALSE)</f>
        <v>Alimentación Tradicional</v>
      </c>
      <c r="N161" s="2" t="str">
        <f>VLOOKUP(T_Voluntarios[[#This Row],[RUN]],BBDD[],21,FALSE)</f>
        <v>Hipotiroidismo</v>
      </c>
      <c r="O161" s="2" t="str">
        <f>VLOOKUP(T_Voluntarios[[#This Row],[RUN]],BBDD[],22,FALSE)</f>
        <v>No lo sé</v>
      </c>
      <c r="P161" s="2" t="str">
        <f>VLOOKUP(T_Voluntarios[[#This Row],[RUN]],BBDD[],23,FALSE)</f>
        <v>Bruno Pérez (Papá) +56966818633</v>
      </c>
      <c r="Q161" s="2" t="str">
        <f>IF(VLOOKUP(T_Voluntarios[[#This Row],[RUN]],BBDD[],27,FALSE)=0,"",VLOOKUP(T_Voluntarios[[#This Row],[RUN]],BBDD[],27,FALSE))</f>
        <v/>
      </c>
      <c r="R161" s="2" t="str">
        <f>VLOOKUP(T_Voluntarios[[#This Row],[RUN]],BBDD[],36,FALSE)</f>
        <v>https://drive.google.com/open?id=1dTmxF9whA20880iTtf5TOcmlkKWvhYAr</v>
      </c>
      <c r="S161" s="2" t="str">
        <f>VLOOKUP(T_Voluntarios[[#This Row],[RUN]],BBDD[],16,FALSE)</f>
        <v>Inicial</v>
      </c>
      <c r="T161" s="2" t="str">
        <f>VLOOKUP(T_Voluntarios[[#This Row],[RUN]],BBDD[],17,FALSE)</f>
        <v>Ninguno</v>
      </c>
      <c r="U161" s="2" t="str">
        <f>VLOOKUP(T_Voluntarios[[#This Row],[RUN]],BBDD[],18,FALSE)</f>
        <v>Ninguno</v>
      </c>
      <c r="V161" s="2" t="str">
        <f>VLOOKUP(T_Voluntarios[[#This Row],[RUN]],BBDD[],19,FALSE)</f>
        <v>Ninguno</v>
      </c>
      <c r="W161" s="13" t="str">
        <f>IF(OR(T_Voluntarios[[#This Row],[ROL]]="Formador(a)"),"SI","NO")</f>
        <v>NO</v>
      </c>
      <c r="X161" s="13" t="str">
        <f>IF(ISERROR(VLOOKUP(T_Voluntarios[[#This Row],[RUN]],BBDD_Formadores[],15,FALSE)),"NO",VLOOKUP(T_Voluntarios[[#This Row],[RUN]],BBDD_Formadores[],15,FALSE))</f>
        <v>NO</v>
      </c>
      <c r="Y161" s="13" t="str">
        <f>IF(ISERROR(VLOOKUP(T_Voluntarios[[#This Row],[RUN]],BBDD_Formadores[],16,FALSE)),"NO",VLOOKUP(T_Voluntarios[[#This Row],[RUN]],BBDD_Formadores[],16,FALSE))</f>
        <v>NO</v>
      </c>
      <c r="Z161" s="13" t="str">
        <f>IF(ISERROR(VLOOKUP(T_Voluntarios[[#This Row],[RUN]],BBDD_Formadores[],17,FALSE)),"NO",VLOOKUP(T_Voluntarios[[#This Row],[RUN]],BBDD_Formadores[],17,FALSE))</f>
        <v>NO</v>
      </c>
      <c r="AA161" s="13" t="str">
        <f>IF(ISERROR(VLOOKUP(T_Voluntarios[[#This Row],[RUN]],BBDD_Formadores[],18,FALSE)),"NO",VLOOKUP(T_Voluntarios[[#This Row],[RUN]],BBDD_Formadores[],18,FALSE))</f>
        <v>NO</v>
      </c>
      <c r="AB161" s="13">
        <v>1</v>
      </c>
      <c r="AC161" s="13" t="s">
        <v>1</v>
      </c>
      <c r="AD161" s="13" t="s">
        <v>77</v>
      </c>
      <c r="AF161" s="2" t="str">
        <f>IF(VLOOKUP(T_Voluntarios[[#This Row],[RUN]],BBDD[],25,FALSE)=0,"",VLOOKUP(T_Voluntarios[[#This Row],[RUN]],BBDD[],25,FALSE))</f>
        <v/>
      </c>
      <c r="AG161" s="2" t="str">
        <f>IF(VLOOKUP(T_Voluntarios[[#This Row],[RUN]],BBDD[],26,FALSE)=0,"",VLOOKUP(T_Voluntarios[[#This Row],[RUN]],BBDD[],26,FALSE))</f>
        <v/>
      </c>
      <c r="AH161" s="2" t="str">
        <f>IF(VLOOKUP(T_Voluntarios[[#This Row],[RUN]],BBDD[],24,FALSE)=0,"",VLOOKUP(T_Voluntarios[[#This Row],[RUN]],BBDD[],24,FALSE))</f>
        <v/>
      </c>
      <c r="AI161" s="13" t="str">
        <f>VLOOKUP(T_Voluntarios[[#This Row],[RUN]],BBDD[],28,FALSE)</f>
        <v>SI</v>
      </c>
      <c r="AJ161" s="13" t="str">
        <f>VLOOKUP(T_Voluntarios[[#This Row],[RUN]],BBDD[],28,FALSE)</f>
        <v>SI</v>
      </c>
      <c r="AK161" s="32">
        <f>IF(T_Voluntarios[[#This Row],[ROL]]="Participante",SUMIFS(T_Cuotas[[#All],[Total]],T_Cuotas[[#All],[RUN]],T_Voluntarios[[#This Row],[RUN]]),-1)</f>
        <v>50000</v>
      </c>
      <c r="AL161" s="13" t="s">
        <v>1</v>
      </c>
      <c r="AM161" s="13" t="s">
        <v>2029</v>
      </c>
      <c r="AP161" s="2" t="str">
        <f>MID(T_Voluntarios[[#This Row],[E_MAIL]],SEARCH("@",T_Voluntarios[[#This Row],[E_MAIL]],1),LEN(T_Voluntarios[[#This Row],[E_MAIL]]))</f>
        <v>@gmail.com</v>
      </c>
      <c r="AQ161" s="13" t="str">
        <f>VLOOKUP(T_Voluntarios[[#This Row],[RUN]],BBDD[],37,FALSE)</f>
        <v>22</v>
      </c>
      <c r="AR161" s="2" t="str">
        <f>VLOOKUP(T_Voluntarios[[#This Row],[RUN]],BBDD[],29,FALSE)</f>
        <v>Profesora en formación de educación diferencial</v>
      </c>
      <c r="AS161" s="2" t="str">
        <f>VLOOKUP(T_Voluntarios[[#This Row],[RUN]],BBDD[],30,FALSE)</f>
        <v>1 año</v>
      </c>
      <c r="AT161" s="2" t="str">
        <f>VLOOKUP(T_Voluntarios[[#This Row],[RUN]],BBDD[],31,FALSE)</f>
        <v>1 año y 2 meses</v>
      </c>
      <c r="AU161" s="2" t="str">
        <f>VLOOKUP(T_Voluntarios[[#This Row],[RUN]],BBDD[],32,FALSE)</f>
        <v>Soltero(a)</v>
      </c>
      <c r="AV161" s="2" t="str">
        <f>VLOOKUP(T_Voluntarios[[#This Row],[RUN]],BBDD[],33,FALSE)</f>
        <v>Católica</v>
      </c>
      <c r="AW161" s="2" t="str">
        <f>VLOOKUP(T_Voluntarios[[#This Row],[RUN]],BBDD[],34,FALSE)</f>
        <v>Catita P.</v>
      </c>
      <c r="AX161" s="13" t="s">
        <v>733</v>
      </c>
      <c r="AY161" s="76">
        <f>VLOOKUP(T_Voluntarios[[#This Row],[RUN]],BBDD[],2,FALSE)</f>
        <v>45799.514969675925</v>
      </c>
      <c r="AZ161" s="13" t="s">
        <v>3403</v>
      </c>
    </row>
    <row r="162" spans="1:52" x14ac:dyDescent="0.3">
      <c r="A162" s="2" t="s">
        <v>2465</v>
      </c>
      <c r="B162" s="2" t="str">
        <f>VLOOKUP(T_Voluntarios[[#This Row],[RUN]],BBDD[],3,FALSE)</f>
        <v>tw.lozanopp@gmail.com</v>
      </c>
      <c r="C162" s="2" t="str">
        <f>VLOOKUP(T_Voluntarios[[#This Row],[RUN]],BBDD[],4,FALSE)</f>
        <v>Ignacio Andrés Lozano Urra</v>
      </c>
      <c r="D162" s="16">
        <f>VLOOKUP(T_Voluntarios[[#This Row],[RUN]],BBDD[],5,FALSE)</f>
        <v>37645</v>
      </c>
      <c r="E162" s="2" t="str">
        <f>VLOOKUP(T_Voluntarios[[#This Row],[RUN]],BBDD[],6,FALSE)</f>
        <v>Carlos Dittborn 3678, Villa San Martin, Talcahuano</v>
      </c>
      <c r="F162" s="2" t="str">
        <f>VLOOKUP(T_Voluntarios[[#This Row],[RUN]],BBDD[],7,FALSE)</f>
        <v>Talcahuano</v>
      </c>
      <c r="G162" s="2" t="str">
        <f>VLOOKUP(T_Voluntarios[[#This Row],[RUN]],BBDD[],8,FALSE)</f>
        <v>Celular</v>
      </c>
      <c r="H162" s="2" t="str">
        <f>IF(VLOOKUP(T_Voluntarios[[#This Row],[RUN]],BBDD[],9,FALSE)=0,"Falta",VLOOKUP(T_Voluntarios[[#This Row],[RUN]],BBDD[],9,FALSE))</f>
        <v>+56973309179</v>
      </c>
      <c r="I162" s="2" t="str">
        <f>VLOOKUP(T_Voluntarios[[#This Row],[RUN]],BBDD[],10,FALSE)</f>
        <v>Participante</v>
      </c>
      <c r="J162" s="2" t="str">
        <f>VLOOKUP(T_Voluntarios[[#This Row],[RUN]],BBDD[],11,FALSE)</f>
        <v>La Asunción</v>
      </c>
      <c r="K162" s="2" t="str">
        <f>VLOOKUP(T_Voluntarios[[#This Row],[RUN]],BBDD[],12,FALSE)</f>
        <v>Golondrinas</v>
      </c>
      <c r="L162" s="2" t="str">
        <f>VLOOKUP(T_Voluntarios[[#This Row],[RUN]],BBDD[],15,FALSE)</f>
        <v>Talcahuano - Hualpén</v>
      </c>
      <c r="M162" s="2" t="str">
        <f>VLOOKUP(T_Voluntarios[[#This Row],[RUN]],BBDD[],20,FALSE)</f>
        <v>Alimentación Tradicional</v>
      </c>
      <c r="N162" s="2" t="str">
        <f>VLOOKUP(T_Voluntarios[[#This Row],[RUN]],BBDD[],21,FALSE)</f>
        <v>Ninguna</v>
      </c>
      <c r="O162" s="2" t="str">
        <f>VLOOKUP(T_Voluntarios[[#This Row],[RUN]],BBDD[],22,FALSE)</f>
        <v>Ninguna</v>
      </c>
      <c r="P162" s="2" t="str">
        <f>VLOOKUP(T_Voluntarios[[#This Row],[RUN]],BBDD[],23,FALSE)</f>
        <v>Carolina Urra (Madre) +56 9 7578 5107</v>
      </c>
      <c r="Q162" s="2" t="str">
        <f>IF(VLOOKUP(T_Voluntarios[[#This Row],[RUN]],BBDD[],27,FALSE)=0,"",VLOOKUP(T_Voluntarios[[#This Row],[RUN]],BBDD[],27,FALSE))</f>
        <v/>
      </c>
      <c r="R162" s="2" t="str">
        <f>VLOOKUP(T_Voluntarios[[#This Row],[RUN]],BBDD[],36,FALSE)</f>
        <v>https://drive.google.com/open?id=1IHVXceatXSmBW3883maHquDjCrbqF7GM</v>
      </c>
      <c r="S162" s="2" t="str">
        <f>VLOOKUP(T_Voluntarios[[#This Row],[RUN]],BBDD[],16,FALSE)</f>
        <v>Inicial</v>
      </c>
      <c r="T162" s="2" t="str">
        <f>VLOOKUP(T_Voluntarios[[#This Row],[RUN]],BBDD[],17,FALSE)</f>
        <v>Ninguno</v>
      </c>
      <c r="U162" s="2" t="str">
        <f>VLOOKUP(T_Voluntarios[[#This Row],[RUN]],BBDD[],18,FALSE)</f>
        <v>Ninguno</v>
      </c>
      <c r="V162" s="2" t="str">
        <f>VLOOKUP(T_Voluntarios[[#This Row],[RUN]],BBDD[],19,FALSE)</f>
        <v>Ninguno</v>
      </c>
      <c r="W162" s="13" t="str">
        <f>IF(OR(T_Voluntarios[[#This Row],[ROL]]="Formador(a)"),"SI","NO")</f>
        <v>NO</v>
      </c>
      <c r="X162" s="13" t="str">
        <f>IF(ISERROR(VLOOKUP(T_Voluntarios[[#This Row],[RUN]],BBDD_Formadores[],15,FALSE)),"NO",VLOOKUP(T_Voluntarios[[#This Row],[RUN]],BBDD_Formadores[],15,FALSE))</f>
        <v>NO</v>
      </c>
      <c r="Y162" s="13" t="str">
        <f>IF(ISERROR(VLOOKUP(T_Voluntarios[[#This Row],[RUN]],BBDD_Formadores[],16,FALSE)),"NO",VLOOKUP(T_Voluntarios[[#This Row],[RUN]],BBDD_Formadores[],16,FALSE))</f>
        <v>NO</v>
      </c>
      <c r="Z162" s="13" t="str">
        <f>IF(ISERROR(VLOOKUP(T_Voluntarios[[#This Row],[RUN]],BBDD_Formadores[],17,FALSE)),"NO",VLOOKUP(T_Voluntarios[[#This Row],[RUN]],BBDD_Formadores[],17,FALSE))</f>
        <v>NO</v>
      </c>
      <c r="AA162" s="13" t="str">
        <f>IF(ISERROR(VLOOKUP(T_Voluntarios[[#This Row],[RUN]],BBDD_Formadores[],18,FALSE)),"NO",VLOOKUP(T_Voluntarios[[#This Row],[RUN]],BBDD_Formadores[],18,FALSE))</f>
        <v>NO</v>
      </c>
      <c r="AB162" s="13">
        <v>1</v>
      </c>
      <c r="AC162" s="13" t="s">
        <v>1</v>
      </c>
      <c r="AD162" s="13" t="s">
        <v>77</v>
      </c>
      <c r="AF162" s="2" t="str">
        <f>IF(VLOOKUP(T_Voluntarios[[#This Row],[RUN]],BBDD[],25,FALSE)=0,"",VLOOKUP(T_Voluntarios[[#This Row],[RUN]],BBDD[],25,FALSE))</f>
        <v/>
      </c>
      <c r="AG162" s="2" t="str">
        <f>IF(VLOOKUP(T_Voluntarios[[#This Row],[RUN]],BBDD[],26,FALSE)=0,"",VLOOKUP(T_Voluntarios[[#This Row],[RUN]],BBDD[],26,FALSE))</f>
        <v/>
      </c>
      <c r="AH162" s="2" t="str">
        <f>IF(VLOOKUP(T_Voluntarios[[#This Row],[RUN]],BBDD[],24,FALSE)=0,"",VLOOKUP(T_Voluntarios[[#This Row],[RUN]],BBDD[],24,FALSE))</f>
        <v/>
      </c>
      <c r="AI162" s="13" t="str">
        <f>VLOOKUP(T_Voluntarios[[#This Row],[RUN]],BBDD[],28,FALSE)</f>
        <v>SI</v>
      </c>
      <c r="AJ162" s="13" t="str">
        <f>VLOOKUP(T_Voluntarios[[#This Row],[RUN]],BBDD[],28,FALSE)</f>
        <v>SI</v>
      </c>
      <c r="AK162" s="32">
        <f>IF(T_Voluntarios[[#This Row],[ROL]]="Participante",SUMIFS(T_Cuotas[[#All],[Total]],T_Cuotas[[#All],[RUN]],T_Voluntarios[[#This Row],[RUN]]),-1)</f>
        <v>50000</v>
      </c>
      <c r="AL162" s="13" t="s">
        <v>1</v>
      </c>
      <c r="AM162" s="13" t="s">
        <v>2029</v>
      </c>
      <c r="AP162" s="2" t="str">
        <f>MID(T_Voluntarios[[#This Row],[E_MAIL]],SEARCH("@",T_Voluntarios[[#This Row],[E_MAIL]],1),LEN(T_Voluntarios[[#This Row],[E_MAIL]]))</f>
        <v>@gmail.com</v>
      </c>
      <c r="AQ162" s="13" t="str">
        <f>VLOOKUP(T_Voluntarios[[#This Row],[RUN]],BBDD[],37,FALSE)</f>
        <v>22</v>
      </c>
      <c r="AR162" s="2" t="str">
        <f>VLOOKUP(T_Voluntarios[[#This Row],[RUN]],BBDD[],29,FALSE)</f>
        <v>Administrador Gastronomico</v>
      </c>
      <c r="AS162" s="2" t="str">
        <f>VLOOKUP(T_Voluntarios[[#This Row],[RUN]],BBDD[],30,FALSE)</f>
        <v>15 años</v>
      </c>
      <c r="AT162" s="2" t="str">
        <f>VLOOKUP(T_Voluntarios[[#This Row],[RUN]],BBDD[],31,FALSE)</f>
        <v>1 año y 2 mesea</v>
      </c>
      <c r="AU162" s="2" t="str">
        <f>VLOOKUP(T_Voluntarios[[#This Row],[RUN]],BBDD[],32,FALSE)</f>
        <v>Soltero(a)</v>
      </c>
      <c r="AV162" s="2" t="str">
        <f>VLOOKUP(T_Voluntarios[[#This Row],[RUN]],BBDD[],33,FALSE)</f>
        <v>Ninguna</v>
      </c>
      <c r="AW162" s="2" t="str">
        <f>VLOOKUP(T_Voluntarios[[#This Row],[RUN]],BBDD[],34,FALSE)</f>
        <v>Nacho</v>
      </c>
      <c r="AX162" s="13" t="s">
        <v>733</v>
      </c>
      <c r="AY162" s="76">
        <f>VLOOKUP(T_Voluntarios[[#This Row],[RUN]],BBDD[],2,FALSE)</f>
        <v>45799.519266743824</v>
      </c>
      <c r="AZ162" s="13" t="s">
        <v>3403</v>
      </c>
    </row>
    <row r="163" spans="1:52" x14ac:dyDescent="0.3">
      <c r="A163" s="2" t="s">
        <v>544</v>
      </c>
      <c r="B163" s="2" t="str">
        <f>VLOOKUP(T_Voluntarios[[#This Row],[RUN]],BBDD[],3,FALSE)</f>
        <v>b.jullieth.meza@gmail.com</v>
      </c>
      <c r="C163" s="2" t="str">
        <f>VLOOKUP(T_Voluntarios[[#This Row],[RUN]],BBDD[],4,FALSE)</f>
        <v>Barbara Jullieth Meza Benavides</v>
      </c>
      <c r="D163" s="16">
        <f>VLOOKUP(T_Voluntarios[[#This Row],[RUN]],BBDD[],5,FALSE)</f>
        <v>36226</v>
      </c>
      <c r="E163" s="2" t="str">
        <f>VLOOKUP(T_Voluntarios[[#This Row],[RUN]],BBDD[],6,FALSE)</f>
        <v>Calle 7 #3789 San Marcos 2000</v>
      </c>
      <c r="F163" s="2" t="str">
        <f>VLOOKUP(T_Voluntarios[[#This Row],[RUN]],BBDD[],7,FALSE)</f>
        <v>Talcahuano</v>
      </c>
      <c r="G163" s="2" t="str">
        <f>VLOOKUP(T_Voluntarios[[#This Row],[RUN]],BBDD[],8,FALSE)</f>
        <v>Celular</v>
      </c>
      <c r="H163" s="2" t="str">
        <f>IF(VLOOKUP(T_Voluntarios[[#This Row],[RUN]],BBDD[],9,FALSE)=0,"Falta",VLOOKUP(T_Voluntarios[[#This Row],[RUN]],BBDD[],9,FALSE))</f>
        <v>+56981528180</v>
      </c>
      <c r="I163" s="2" t="str">
        <f>VLOOKUP(T_Voluntarios[[#This Row],[RUN]],BBDD[],10,FALSE)</f>
        <v>Formador(a)</v>
      </c>
      <c r="J163" s="2" t="str">
        <f>VLOOKUP(T_Voluntarios[[#This Row],[RUN]],BBDD[],11,FALSE)</f>
        <v>Halcones Negros</v>
      </c>
      <c r="K163" s="2" t="str">
        <f>VLOOKUP(T_Voluntarios[[#This Row],[RUN]],BBDD[],12,FALSE)</f>
        <v>Guias</v>
      </c>
      <c r="L163" s="2" t="str">
        <f>VLOOKUP(T_Voluntarios[[#This Row],[RUN]],BBDD[],15,FALSE)</f>
        <v>Talcahuano - Hualpén</v>
      </c>
      <c r="M163" s="2" t="str">
        <f>VLOOKUP(T_Voluntarios[[#This Row],[RUN]],BBDD[],20,FALSE)</f>
        <v>Alimentación Vegetariana</v>
      </c>
      <c r="N163" s="2" t="str">
        <f>VLOOKUP(T_Voluntarios[[#This Row],[RUN]],BBDD[],21,FALSE)</f>
        <v>Resistencia a la Insulina</v>
      </c>
      <c r="O163" s="2" t="str">
        <f>VLOOKUP(T_Voluntarios[[#This Row],[RUN]],BBDD[],22,FALSE)</f>
        <v>Ninguna</v>
      </c>
      <c r="P163" s="2" t="str">
        <f>VLOOKUP(T_Voluntarios[[#This Row],[RUN]],BBDD[],23,FALSE)</f>
        <v>Paola Benavides +56994375616</v>
      </c>
      <c r="Q163" s="2" t="str">
        <f>IF(VLOOKUP(T_Voluntarios[[#This Row],[RUN]],BBDD[],27,FALSE)=0,"",VLOOKUP(T_Voluntarios[[#This Row],[RUN]],BBDD[],27,FALSE))</f>
        <v/>
      </c>
      <c r="R163" s="2" t="str">
        <f>VLOOKUP(T_Voluntarios[[#This Row],[RUN]],BBDD[],36,FALSE)</f>
        <v>https://drive.google.com/open?id=13zASy7q5Gjcs_Leo5hUMnqn-Yn_7_vdk</v>
      </c>
      <c r="S163" s="2" t="str">
        <f>VLOOKUP(T_Voluntarios[[#This Row],[RUN]],BBDD[],16,FALSE)</f>
        <v>Medio</v>
      </c>
      <c r="T163" s="2" t="str">
        <f>VLOOKUP(T_Voluntarios[[#This Row],[RUN]],BBDD[],17,FALSE)</f>
        <v>10461</v>
      </c>
      <c r="U163" s="2" t="str">
        <f>VLOOKUP(T_Voluntarios[[#This Row],[RUN]],BBDD[],18,FALSE)</f>
        <v>Guias</v>
      </c>
      <c r="V163" s="2" t="str">
        <f>VLOOKUP(T_Voluntarios[[#This Row],[RUN]],BBDD[],19,FALSE)</f>
        <v>Ninguno</v>
      </c>
      <c r="W163" s="13" t="str">
        <f>IF(OR(T_Voluntarios[[#This Row],[ROL]]="Formador(a)"),"SI","NO")</f>
        <v>SI</v>
      </c>
      <c r="X163" s="13" t="str">
        <f>IF(ISERROR(VLOOKUP(T_Voluntarios[[#This Row],[RUN]],BBDD_Formadores[],15,FALSE)),"NO",VLOOKUP(T_Voluntarios[[#This Row],[RUN]],BBDD_Formadores[],15,FALSE))</f>
        <v>SI</v>
      </c>
      <c r="Y163" s="13" t="str">
        <f>IF(ISERROR(VLOOKUP(T_Voluntarios[[#This Row],[RUN]],BBDD_Formadores[],16,FALSE)),"NO",VLOOKUP(T_Voluntarios[[#This Row],[RUN]],BBDD_Formadores[],16,FALSE))</f>
        <v>Guias</v>
      </c>
      <c r="Z163" s="13" t="str">
        <f>IF(ISERROR(VLOOKUP(T_Voluntarios[[#This Row],[RUN]],BBDD_Formadores[],17,FALSE)),"NO",VLOOKUP(T_Voluntarios[[#This Row],[RUN]],BBDD_Formadores[],17,FALSE))</f>
        <v>Guias</v>
      </c>
      <c r="AA163" s="13" t="str">
        <f>IF(ISERROR(VLOOKUP(T_Voluntarios[[#This Row],[RUN]],BBDD_Formadores[],18,FALSE)),"NO",VLOOKUP(T_Voluntarios[[#This Row],[RUN]],BBDD_Formadores[],18,FALSE))</f>
        <v>NO</v>
      </c>
      <c r="AB163" s="13">
        <v>1</v>
      </c>
      <c r="AC163" s="13" t="s">
        <v>1</v>
      </c>
      <c r="AD163" s="13" t="s">
        <v>77</v>
      </c>
      <c r="AF163" s="2" t="str">
        <f>IF(VLOOKUP(T_Voluntarios[[#This Row],[RUN]],BBDD[],25,FALSE)=0,"",VLOOKUP(T_Voluntarios[[#This Row],[RUN]],BBDD[],25,FALSE))</f>
        <v>Kia</v>
      </c>
      <c r="AG163" s="2" t="str">
        <f>IF(VLOOKUP(T_Voluntarios[[#This Row],[RUN]],BBDD[],26,FALSE)=0,"",VLOOKUP(T_Voluntarios[[#This Row],[RUN]],BBDD[],26,FALSE))</f>
        <v>Morning</v>
      </c>
      <c r="AH163" s="2" t="str">
        <f>IF(VLOOKUP(T_Voluntarios[[#This Row],[RUN]],BBDD[],24,FALSE)=0,"",VLOOKUP(T_Voluntarios[[#This Row],[RUN]],BBDD[],24,FALSE))</f>
        <v>PCJD92</v>
      </c>
      <c r="AI163" s="13" t="str">
        <f>VLOOKUP(T_Voluntarios[[#This Row],[RUN]],BBDD[],28,FALSE)</f>
        <v>SI</v>
      </c>
      <c r="AJ163" s="13" t="str">
        <f>VLOOKUP(T_Voluntarios[[#This Row],[RUN]],BBDD[],28,FALSE)</f>
        <v>SI</v>
      </c>
      <c r="AK163" s="32">
        <f>IF(T_Voluntarios[[#This Row],[ROL]]="Participante",SUMIFS(T_Cuotas[[#All],[Total]],T_Cuotas[[#All],[RUN]],T_Voluntarios[[#This Row],[RUN]]),-1)</f>
        <v>-1</v>
      </c>
      <c r="AL163" s="13" t="s">
        <v>1</v>
      </c>
      <c r="AM163" s="13" t="s">
        <v>2029</v>
      </c>
      <c r="AP163" s="2" t="str">
        <f>MID(T_Voluntarios[[#This Row],[E_MAIL]],SEARCH("@",T_Voluntarios[[#This Row],[E_MAIL]],1),LEN(T_Voluntarios[[#This Row],[E_MAIL]]))</f>
        <v>@gmail.com</v>
      </c>
      <c r="AQ163" s="13" t="str">
        <f>VLOOKUP(T_Voluntarios[[#This Row],[RUN]],BBDD[],37,FALSE)</f>
        <v>26</v>
      </c>
      <c r="AR163" s="2" t="str">
        <f>VLOOKUP(T_Voluntarios[[#This Row],[RUN]],BBDD[],29,FALSE)</f>
        <v>profesora</v>
      </c>
      <c r="AS163" s="2" t="str">
        <f>VLOOKUP(T_Voluntarios[[#This Row],[RUN]],BBDD[],30,FALSE)</f>
        <v>8 años</v>
      </c>
      <c r="AT163" s="2" t="str">
        <f>VLOOKUP(T_Voluntarios[[#This Row],[RUN]],BBDD[],31,FALSE)</f>
        <v>7</v>
      </c>
      <c r="AU163" s="2" t="str">
        <f>VLOOKUP(T_Voluntarios[[#This Row],[RUN]],BBDD[],32,FALSE)</f>
        <v>Soltero(a)</v>
      </c>
      <c r="AV163" s="2" t="str">
        <f>VLOOKUP(T_Voluntarios[[#This Row],[RUN]],BBDD[],33,FALSE)</f>
        <v>Ninguna</v>
      </c>
      <c r="AW163" s="2" t="str">
        <f>VLOOKUP(T_Voluntarios[[#This Row],[RUN]],BBDD[],34,FALSE)</f>
        <v>Barbi</v>
      </c>
      <c r="AX163" s="13" t="s">
        <v>733</v>
      </c>
      <c r="AY163" s="76">
        <f>VLOOKUP(T_Voluntarios[[#This Row],[RUN]],BBDD[],2,FALSE)</f>
        <v>45799.573516743825</v>
      </c>
      <c r="AZ163" s="13" t="s">
        <v>2</v>
      </c>
    </row>
    <row r="164" spans="1:52" x14ac:dyDescent="0.3">
      <c r="A164" s="2" t="s">
        <v>2473</v>
      </c>
      <c r="B164" s="2" t="str">
        <f>VLOOKUP(T_Voluntarios[[#This Row],[RUN]],BBDD[],3,FALSE)</f>
        <v>liz.fernanda.6811@gmail.com</v>
      </c>
      <c r="C164" s="2" t="str">
        <f>VLOOKUP(T_Voluntarios[[#This Row],[RUN]],BBDD[],4,FALSE)</f>
        <v>Liz Fernanda Bolomey Reske</v>
      </c>
      <c r="D164" s="16">
        <f>VLOOKUP(T_Voluntarios[[#This Row],[RUN]],BBDD[],5,FALSE)</f>
        <v>35688</v>
      </c>
      <c r="E164" s="2" t="str">
        <f>VLOOKUP(T_Voluntarios[[#This Row],[RUN]],BBDD[],6,FALSE)</f>
        <v>Bombero Fuentes 45</v>
      </c>
      <c r="F164" s="2" t="str">
        <f>VLOOKUP(T_Voluntarios[[#This Row],[RUN]],BBDD[],7,FALSE)</f>
        <v>Concepción</v>
      </c>
      <c r="G164" s="2" t="str">
        <f>VLOOKUP(T_Voluntarios[[#This Row],[RUN]],BBDD[],8,FALSE)</f>
        <v>Celular</v>
      </c>
      <c r="H164" s="2" t="str">
        <f>IF(VLOOKUP(T_Voluntarios[[#This Row],[RUN]],BBDD[],9,FALSE)=0,"Falta",VLOOKUP(T_Voluntarios[[#This Row],[RUN]],BBDD[],9,FALSE))</f>
        <v>+56957939592</v>
      </c>
      <c r="I164" s="2" t="str">
        <f>VLOOKUP(T_Voluntarios[[#This Row],[RUN]],BBDD[],10,FALSE)</f>
        <v>Participante</v>
      </c>
      <c r="J164" s="2" t="str">
        <f>VLOOKUP(T_Voluntarios[[#This Row],[RUN]],BBDD[],11,FALSE)</f>
        <v>Santa Cecilia</v>
      </c>
      <c r="K164" s="2" t="str">
        <f>VLOOKUP(T_Voluntarios[[#This Row],[RUN]],BBDD[],12,FALSE)</f>
        <v>Caminantes</v>
      </c>
      <c r="L164" s="2" t="str">
        <f>VLOOKUP(T_Voluntarios[[#This Row],[RUN]],BBDD[],15,FALSE)</f>
        <v>Talcahuano - Hualpén</v>
      </c>
      <c r="M164" s="2" t="str">
        <f>VLOOKUP(T_Voluntarios[[#This Row],[RUN]],BBDD[],20,FALSE)</f>
        <v>Alimentación Tradicional</v>
      </c>
      <c r="N164" s="2" t="str">
        <f>VLOOKUP(T_Voluntarios[[#This Row],[RUN]],BBDD[],21,FALSE)</f>
        <v>Ninguna</v>
      </c>
      <c r="O164" s="2" t="str">
        <f>VLOOKUP(T_Voluntarios[[#This Row],[RUN]],BBDD[],22,FALSE)</f>
        <v>Ninguna</v>
      </c>
      <c r="P164" s="2" t="str">
        <f>VLOOKUP(T_Voluntarios[[#This Row],[RUN]],BBDD[],23,FALSE)</f>
        <v>Jacqueline Reske +56978779023</v>
      </c>
      <c r="Q164" s="2" t="str">
        <f>IF(VLOOKUP(T_Voluntarios[[#This Row],[RUN]],BBDD[],27,FALSE)=0,"",VLOOKUP(T_Voluntarios[[#This Row],[RUN]],BBDD[],27,FALSE))</f>
        <v/>
      </c>
      <c r="R164" s="2" t="str">
        <f>VLOOKUP(T_Voluntarios[[#This Row],[RUN]],BBDD[],36,FALSE)</f>
        <v>https://drive.google.com/open?id=1QIP_Kr1lDnGB0OsjRlmNAV5tv5aX3LkE</v>
      </c>
      <c r="S164" s="2" t="str">
        <f>VLOOKUP(T_Voluntarios[[#This Row],[RUN]],BBDD[],16,FALSE)</f>
        <v>Inicial</v>
      </c>
      <c r="T164" s="2" t="str">
        <f>VLOOKUP(T_Voluntarios[[#This Row],[RUN]],BBDD[],17,FALSE)</f>
        <v>Ninguno</v>
      </c>
      <c r="U164" s="2" t="str">
        <f>VLOOKUP(T_Voluntarios[[#This Row],[RUN]],BBDD[],18,FALSE)</f>
        <v>Ninguno</v>
      </c>
      <c r="V164" s="2" t="str">
        <f>VLOOKUP(T_Voluntarios[[#This Row],[RUN]],BBDD[],19,FALSE)</f>
        <v>Ninguno</v>
      </c>
      <c r="W164" s="13" t="str">
        <f>IF(OR(T_Voluntarios[[#This Row],[ROL]]="Formador(a)"),"SI","NO")</f>
        <v>NO</v>
      </c>
      <c r="X164" s="13" t="str">
        <f>IF(ISERROR(VLOOKUP(T_Voluntarios[[#This Row],[RUN]],BBDD_Formadores[],15,FALSE)),"NO",VLOOKUP(T_Voluntarios[[#This Row],[RUN]],BBDD_Formadores[],15,FALSE))</f>
        <v>NO</v>
      </c>
      <c r="Y164" s="13" t="str">
        <f>IF(ISERROR(VLOOKUP(T_Voluntarios[[#This Row],[RUN]],BBDD_Formadores[],16,FALSE)),"NO",VLOOKUP(T_Voluntarios[[#This Row],[RUN]],BBDD_Formadores[],16,FALSE))</f>
        <v>NO</v>
      </c>
      <c r="Z164" s="13" t="str">
        <f>IF(ISERROR(VLOOKUP(T_Voluntarios[[#This Row],[RUN]],BBDD_Formadores[],17,FALSE)),"NO",VLOOKUP(T_Voluntarios[[#This Row],[RUN]],BBDD_Formadores[],17,FALSE))</f>
        <v>NO</v>
      </c>
      <c r="AA164" s="13" t="str">
        <f>IF(ISERROR(VLOOKUP(T_Voluntarios[[#This Row],[RUN]],BBDD_Formadores[],18,FALSE)),"NO",VLOOKUP(T_Voluntarios[[#This Row],[RUN]],BBDD_Formadores[],18,FALSE))</f>
        <v>NO</v>
      </c>
      <c r="AB164" s="13">
        <v>1</v>
      </c>
      <c r="AC164" s="13" t="s">
        <v>1</v>
      </c>
      <c r="AD164" s="13" t="s">
        <v>77</v>
      </c>
      <c r="AF164" s="2" t="str">
        <f>IF(VLOOKUP(T_Voluntarios[[#This Row],[RUN]],BBDD[],25,FALSE)=0,"",VLOOKUP(T_Voluntarios[[#This Row],[RUN]],BBDD[],25,FALSE))</f>
        <v/>
      </c>
      <c r="AG164" s="2" t="str">
        <f>IF(VLOOKUP(T_Voluntarios[[#This Row],[RUN]],BBDD[],26,FALSE)=0,"",VLOOKUP(T_Voluntarios[[#This Row],[RUN]],BBDD[],26,FALSE))</f>
        <v/>
      </c>
      <c r="AH164" s="2" t="str">
        <f>IF(VLOOKUP(T_Voluntarios[[#This Row],[RUN]],BBDD[],24,FALSE)=0,"",VLOOKUP(T_Voluntarios[[#This Row],[RUN]],BBDD[],24,FALSE))</f>
        <v/>
      </c>
      <c r="AI164" s="13" t="str">
        <f>VLOOKUP(T_Voluntarios[[#This Row],[RUN]],BBDD[],28,FALSE)</f>
        <v>No</v>
      </c>
      <c r="AJ164" s="13" t="str">
        <f>VLOOKUP(T_Voluntarios[[#This Row],[RUN]],BBDD[],28,FALSE)</f>
        <v>No</v>
      </c>
      <c r="AK164" s="32">
        <f>IF(T_Voluntarios[[#This Row],[ROL]]="Participante",SUMIFS(T_Cuotas[[#All],[Total]],T_Cuotas[[#All],[RUN]],T_Voluntarios[[#This Row],[RUN]]),-1)</f>
        <v>50000</v>
      </c>
      <c r="AL164" s="13" t="s">
        <v>1</v>
      </c>
      <c r="AM164" s="13" t="s">
        <v>2029</v>
      </c>
      <c r="AP164" s="2" t="str">
        <f>MID(T_Voluntarios[[#This Row],[E_MAIL]],SEARCH("@",T_Voluntarios[[#This Row],[E_MAIL]],1),LEN(T_Voluntarios[[#This Row],[E_MAIL]]))</f>
        <v>@gmail.com</v>
      </c>
      <c r="AQ164" s="13" t="str">
        <f>VLOOKUP(T_Voluntarios[[#This Row],[RUN]],BBDD[],37,FALSE)</f>
        <v>27</v>
      </c>
      <c r="AR164" s="2" t="str">
        <f>VLOOKUP(T_Voluntarios[[#This Row],[RUN]],BBDD[],29,FALSE)</f>
        <v>Profesora de matemática</v>
      </c>
      <c r="AS164" s="2" t="str">
        <f>VLOOKUP(T_Voluntarios[[#This Row],[RUN]],BBDD[],30,FALSE)</f>
        <v>No fui beneficiaria</v>
      </c>
      <c r="AT164" s="2" t="str">
        <f>VLOOKUP(T_Voluntarios[[#This Row],[RUN]],BBDD[],31,FALSE)</f>
        <v>4 años</v>
      </c>
      <c r="AU164" s="2" t="str">
        <f>VLOOKUP(T_Voluntarios[[#This Row],[RUN]],BBDD[],32,FALSE)</f>
        <v>Soltero(a)</v>
      </c>
      <c r="AV164" s="2" t="str">
        <f>VLOOKUP(T_Voluntarios[[#This Row],[RUN]],BBDD[],33,FALSE)</f>
        <v>Ninguna</v>
      </c>
      <c r="AW164" s="2" t="str">
        <f>VLOOKUP(T_Voluntarios[[#This Row],[RUN]],BBDD[],34,FALSE)</f>
        <v>Liz</v>
      </c>
      <c r="AX164" s="13" t="s">
        <v>733</v>
      </c>
      <c r="AY164" s="76">
        <f>VLOOKUP(T_Voluntarios[[#This Row],[RUN]],BBDD[],2,FALSE)</f>
        <v>45799.585708950617</v>
      </c>
      <c r="AZ164" s="13" t="s">
        <v>3403</v>
      </c>
    </row>
    <row r="165" spans="1:52" x14ac:dyDescent="0.3">
      <c r="A165" s="2" t="s">
        <v>2483</v>
      </c>
      <c r="B165" s="2" t="str">
        <f>VLOOKUP(T_Voluntarios[[#This Row],[RUN]],BBDD[],3,FALSE)</f>
        <v>felipeinostrozaloaiza@gmail.com</v>
      </c>
      <c r="C165" s="2" t="str">
        <f>VLOOKUP(T_Voluntarios[[#This Row],[RUN]],BBDD[],4,FALSE)</f>
        <v>Felipe Adrian Inostroza Loaiza</v>
      </c>
      <c r="D165" s="16">
        <f>VLOOKUP(T_Voluntarios[[#This Row],[RUN]],BBDD[],5,FALSE)</f>
        <v>32461</v>
      </c>
      <c r="E165" s="2" t="str">
        <f>VLOOKUP(T_Voluntarios[[#This Row],[RUN]],BBDD[],6,FALSE)</f>
        <v>Los Condores 471</v>
      </c>
      <c r="F165" s="2" t="str">
        <f>VLOOKUP(T_Voluntarios[[#This Row],[RUN]],BBDD[],7,FALSE)</f>
        <v>Chillán</v>
      </c>
      <c r="G165" s="2" t="str">
        <f>VLOOKUP(T_Voluntarios[[#This Row],[RUN]],BBDD[],8,FALSE)</f>
        <v>Celular</v>
      </c>
      <c r="H165" s="2" t="str">
        <f>IF(VLOOKUP(T_Voluntarios[[#This Row],[RUN]],BBDD[],9,FALSE)=0,"Falta",VLOOKUP(T_Voluntarios[[#This Row],[RUN]],BBDD[],9,FALSE))</f>
        <v>+56966537314</v>
      </c>
      <c r="I165" s="2" t="str">
        <f>VLOOKUP(T_Voluntarios[[#This Row],[RUN]],BBDD[],10,FALSE)</f>
        <v>Participante</v>
      </c>
      <c r="J165" s="2" t="str">
        <f>VLOOKUP(T_Voluntarios[[#This Row],[RUN]],BBDD[],11,FALSE)</f>
        <v>San Vicente</v>
      </c>
      <c r="K165" s="2" t="str">
        <f>VLOOKUP(T_Voluntarios[[#This Row],[RUN]],BBDD[],12,FALSE)</f>
        <v>Lobatos</v>
      </c>
      <c r="L165" s="2" t="str">
        <f>VLOOKUP(T_Voluntarios[[#This Row],[RUN]],BBDD[],15,FALSE)</f>
        <v>Zona Ñuble</v>
      </c>
      <c r="M165" s="2" t="str">
        <f>VLOOKUP(T_Voluntarios[[#This Row],[RUN]],BBDD[],20,FALSE)</f>
        <v>Alimentación Tradicional</v>
      </c>
      <c r="N165" s="2" t="str">
        <f>VLOOKUP(T_Voluntarios[[#This Row],[RUN]],BBDD[],21,FALSE)</f>
        <v>Ninguna</v>
      </c>
      <c r="O165" s="2" t="str">
        <f>VLOOKUP(T_Voluntarios[[#This Row],[RUN]],BBDD[],22,FALSE)</f>
        <v>Ninguna</v>
      </c>
      <c r="P165" s="2" t="str">
        <f>VLOOKUP(T_Voluntarios[[#This Row],[RUN]],BBDD[],23,FALSE)</f>
        <v>Miriam Loaiza +56 9 6738 0301</v>
      </c>
      <c r="Q165" s="2" t="str">
        <f>IF(VLOOKUP(T_Voluntarios[[#This Row],[RUN]],BBDD[],27,FALSE)=0,"",VLOOKUP(T_Voluntarios[[#This Row],[RUN]],BBDD[],27,FALSE))</f>
        <v/>
      </c>
      <c r="R165" s="2" t="str">
        <f>VLOOKUP(T_Voluntarios[[#This Row],[RUN]],BBDD[],36,FALSE)</f>
        <v>https://drive.google.com/open?id=1x6Em_-gFTbAgTL0KYdu8Xf58N4PtAY4d</v>
      </c>
      <c r="S165" s="2" t="str">
        <f>VLOOKUP(T_Voluntarios[[#This Row],[RUN]],BBDD[],16,FALSE)</f>
        <v>Inicial</v>
      </c>
      <c r="T165" s="2" t="str">
        <f>VLOOKUP(T_Voluntarios[[#This Row],[RUN]],BBDD[],17,FALSE)</f>
        <v>Ninguno</v>
      </c>
      <c r="U165" s="2" t="str">
        <f>VLOOKUP(T_Voluntarios[[#This Row],[RUN]],BBDD[],18,FALSE)</f>
        <v>Ninguno</v>
      </c>
      <c r="V165" s="2" t="str">
        <f>VLOOKUP(T_Voluntarios[[#This Row],[RUN]],BBDD[],19,FALSE)</f>
        <v>Ninguno</v>
      </c>
      <c r="W165" s="13" t="str">
        <f>IF(OR(T_Voluntarios[[#This Row],[ROL]]="Formador(a)"),"SI","NO")</f>
        <v>NO</v>
      </c>
      <c r="X165" s="13" t="str">
        <f>IF(ISERROR(VLOOKUP(T_Voluntarios[[#This Row],[RUN]],BBDD_Formadores[],15,FALSE)),"NO",VLOOKUP(T_Voluntarios[[#This Row],[RUN]],BBDD_Formadores[],15,FALSE))</f>
        <v>NO</v>
      </c>
      <c r="Y165" s="13" t="str">
        <f>IF(ISERROR(VLOOKUP(T_Voluntarios[[#This Row],[RUN]],BBDD_Formadores[],16,FALSE)),"NO",VLOOKUP(T_Voluntarios[[#This Row],[RUN]],BBDD_Formadores[],16,FALSE))</f>
        <v>NO</v>
      </c>
      <c r="Z165" s="13" t="str">
        <f>IF(ISERROR(VLOOKUP(T_Voluntarios[[#This Row],[RUN]],BBDD_Formadores[],17,FALSE)),"NO",VLOOKUP(T_Voluntarios[[#This Row],[RUN]],BBDD_Formadores[],17,FALSE))</f>
        <v>NO</v>
      </c>
      <c r="AA165" s="13" t="str">
        <f>IF(ISERROR(VLOOKUP(T_Voluntarios[[#This Row],[RUN]],BBDD_Formadores[],18,FALSE)),"NO",VLOOKUP(T_Voluntarios[[#This Row],[RUN]],BBDD_Formadores[],18,FALSE))</f>
        <v>NO</v>
      </c>
      <c r="AB165" s="13">
        <v>1</v>
      </c>
      <c r="AC165" s="13" t="s">
        <v>1</v>
      </c>
      <c r="AD165" s="13" t="s">
        <v>77</v>
      </c>
      <c r="AF165" s="2" t="str">
        <f>IF(VLOOKUP(T_Voluntarios[[#This Row],[RUN]],BBDD[],25,FALSE)=0,"",VLOOKUP(T_Voluntarios[[#This Row],[RUN]],BBDD[],25,FALSE))</f>
        <v>Suzuki</v>
      </c>
      <c r="AG165" s="2" t="str">
        <f>IF(VLOOKUP(T_Voluntarios[[#This Row],[RUN]],BBDD[],26,FALSE)=0,"",VLOOKUP(T_Voluntarios[[#This Row],[RUN]],BBDD[],26,FALSE))</f>
        <v>Alto</v>
      </c>
      <c r="AH165" s="2" t="str">
        <f>IF(VLOOKUP(T_Voluntarios[[#This Row],[RUN]],BBDD[],24,FALSE)=0,"",VLOOKUP(T_Voluntarios[[#This Row],[RUN]],BBDD[],24,FALSE))</f>
        <v>CRJC</v>
      </c>
      <c r="AI165" s="13" t="str">
        <f>VLOOKUP(T_Voluntarios[[#This Row],[RUN]],BBDD[],28,FALSE)</f>
        <v>SI</v>
      </c>
      <c r="AJ165" s="13" t="str">
        <f>VLOOKUP(T_Voluntarios[[#This Row],[RUN]],BBDD[],28,FALSE)</f>
        <v>SI</v>
      </c>
      <c r="AK165" s="32">
        <f>IF(T_Voluntarios[[#This Row],[ROL]]="Participante",SUMIFS(T_Cuotas[[#All],[Total]],T_Cuotas[[#All],[RUN]],T_Voluntarios[[#This Row],[RUN]]),-1)</f>
        <v>50000</v>
      </c>
      <c r="AL165" s="13" t="s">
        <v>1</v>
      </c>
      <c r="AM165" s="13" t="s">
        <v>2029</v>
      </c>
      <c r="AP165" s="2" t="str">
        <f>MID(T_Voluntarios[[#This Row],[E_MAIL]],SEARCH("@",T_Voluntarios[[#This Row],[E_MAIL]],1),LEN(T_Voluntarios[[#This Row],[E_MAIL]]))</f>
        <v>@gmail.com</v>
      </c>
      <c r="AQ165" s="13" t="str">
        <f>VLOOKUP(T_Voluntarios[[#This Row],[RUN]],BBDD[],37,FALSE)</f>
        <v>36</v>
      </c>
      <c r="AR165" s="2" t="str">
        <f>VLOOKUP(T_Voluntarios[[#This Row],[RUN]],BBDD[],29,FALSE)</f>
        <v>Ingeniero informático</v>
      </c>
      <c r="AS165" s="2" t="str">
        <f>VLOOKUP(T_Voluntarios[[#This Row],[RUN]],BBDD[],30,FALSE)</f>
        <v>10 años</v>
      </c>
      <c r="AT165" s="2" t="str">
        <f>VLOOKUP(T_Voluntarios[[#This Row],[RUN]],BBDD[],31,FALSE)</f>
        <v>1 año</v>
      </c>
      <c r="AU165" s="2" t="str">
        <f>VLOOKUP(T_Voluntarios[[#This Row],[RUN]],BBDD[],32,FALSE)</f>
        <v>Soltero(a)</v>
      </c>
      <c r="AV165" s="2" t="str">
        <f>VLOOKUP(T_Voluntarios[[#This Row],[RUN]],BBDD[],33,FALSE)</f>
        <v>Ninguna</v>
      </c>
      <c r="AW165" s="2" t="str">
        <f>VLOOKUP(T_Voluntarios[[#This Row],[RUN]],BBDD[],34,FALSE)</f>
        <v>Felipe</v>
      </c>
      <c r="AX165" s="13" t="s">
        <v>733</v>
      </c>
      <c r="AY165" s="76">
        <f>VLOOKUP(T_Voluntarios[[#This Row],[RUN]],BBDD[],2,FALSE)</f>
        <v>45799.589220794755</v>
      </c>
      <c r="AZ165" s="13" t="s">
        <v>3402</v>
      </c>
    </row>
    <row r="166" spans="1:52" ht="14.4" x14ac:dyDescent="0.3">
      <c r="A166" s="2" t="s">
        <v>2494</v>
      </c>
      <c r="B166" s="2" t="str">
        <f>VLOOKUP(T_Voluntarios[[#This Row],[RUN]],BBDD[],3,FALSE)</f>
        <v>m.hunter.u05@gmail.com</v>
      </c>
      <c r="C166" s="2" t="str">
        <f>VLOOKUP(T_Voluntarios[[#This Row],[RUN]],BBDD[],4,FALSE)</f>
        <v>Matías Antonio Hunter Urrutia</v>
      </c>
      <c r="D166" s="16">
        <f>VLOOKUP(T_Voluntarios[[#This Row],[RUN]],BBDD[],5,FALSE)</f>
        <v>38419</v>
      </c>
      <c r="E166" s="2" t="str">
        <f>VLOOKUP(T_Voluntarios[[#This Row],[RUN]],BBDD[],6,FALSE)</f>
        <v>H Vallejos 1497</v>
      </c>
      <c r="F166" s="2" t="str">
        <f>VLOOKUP(T_Voluntarios[[#This Row],[RUN]],BBDD[],7,FALSE)</f>
        <v>San Pedro De La Paz</v>
      </c>
      <c r="G166" s="2" t="str">
        <f>VLOOKUP(T_Voluntarios[[#This Row],[RUN]],BBDD[],8,FALSE)</f>
        <v>Celular</v>
      </c>
      <c r="H166" s="2" t="str">
        <f>IF(VLOOKUP(T_Voluntarios[[#This Row],[RUN]],BBDD[],9,FALSE)=0,"Falta",VLOOKUP(T_Voluntarios[[#This Row],[RUN]],BBDD[],9,FALSE))</f>
        <v>+56949173132</v>
      </c>
      <c r="I166" s="2" t="str">
        <f>VLOOKUP(T_Voluntarios[[#This Row],[RUN]],BBDD[],10,FALSE)</f>
        <v>Participante</v>
      </c>
      <c r="J166" s="2" t="str">
        <f>VLOOKUP(T_Voluntarios[[#This Row],[RUN]],BBDD[],11,FALSE)</f>
        <v>Rucapeñihue</v>
      </c>
      <c r="K166" s="2" t="str">
        <f>VLOOKUP(T_Voluntarios[[#This Row],[RUN]],BBDD[],12,FALSE)</f>
        <v>Scouts</v>
      </c>
      <c r="L166" s="2" t="str">
        <f>VLOOKUP(T_Voluntarios[[#This Row],[RUN]],BBDD[],15,FALSE)</f>
        <v>Concepción</v>
      </c>
      <c r="M166" s="2" t="str">
        <f>VLOOKUP(T_Voluntarios[[#This Row],[RUN]],BBDD[],20,FALSE)</f>
        <v>Alimentación Tradicional</v>
      </c>
      <c r="N166" s="2" t="str">
        <f>VLOOKUP(T_Voluntarios[[#This Row],[RUN]],BBDD[],21,FALSE)</f>
        <v>Pasto, polvo</v>
      </c>
      <c r="O166" s="2" t="str">
        <f>VLOOKUP(T_Voluntarios[[#This Row],[RUN]],BBDD[],22,FALSE)</f>
        <v>Asma</v>
      </c>
      <c r="P166" s="2" t="str">
        <f>VLOOKUP(T_Voluntarios[[#This Row],[RUN]],BBDD[],23,FALSE)</f>
        <v>Daniela Urrutia +56990782716</v>
      </c>
      <c r="Q166" s="2" t="str">
        <f>IF(VLOOKUP(T_Voluntarios[[#This Row],[RUN]],BBDD[],27,FALSE)=0,"",VLOOKUP(T_Voluntarios[[#This Row],[RUN]],BBDD[],27,FALSE))</f>
        <v/>
      </c>
      <c r="R166" s="2" t="str">
        <f>VLOOKUP(T_Voluntarios[[#This Row],[RUN]],BBDD[],36,FALSE)</f>
        <v>https://drive.google.com/open?id=1YKKooNu-FPxaiT1mI5Qoy1cWacgo0JZz</v>
      </c>
      <c r="S166" s="2" t="str">
        <f>VLOOKUP(T_Voluntarios[[#This Row],[RUN]],BBDD[],16,FALSE)</f>
        <v>Inicial</v>
      </c>
      <c r="T166" s="2" t="str">
        <f>VLOOKUP(T_Voluntarios[[#This Row],[RUN]],BBDD[],17,FALSE)</f>
        <v>Ninguno</v>
      </c>
      <c r="U166" s="2" t="str">
        <f>VLOOKUP(T_Voluntarios[[#This Row],[RUN]],BBDD[],18,FALSE)</f>
        <v>Ninguno</v>
      </c>
      <c r="V166" s="2" t="str">
        <f>VLOOKUP(T_Voluntarios[[#This Row],[RUN]],BBDD[],19,FALSE)</f>
        <v>Ninguno</v>
      </c>
      <c r="W166" s="13" t="str">
        <f>IF(OR(T_Voluntarios[[#This Row],[ROL]]="Formador(a)"),"SI","NO")</f>
        <v>NO</v>
      </c>
      <c r="X166" s="13" t="str">
        <f>IF(ISERROR(VLOOKUP(T_Voluntarios[[#This Row],[RUN]],BBDD_Formadores[],15,FALSE)),"NO",VLOOKUP(T_Voluntarios[[#This Row],[RUN]],BBDD_Formadores[],15,FALSE))</f>
        <v>NO</v>
      </c>
      <c r="Y166" s="13" t="str">
        <f>IF(ISERROR(VLOOKUP(T_Voluntarios[[#This Row],[RUN]],BBDD_Formadores[],16,FALSE)),"NO",VLOOKUP(T_Voluntarios[[#This Row],[RUN]],BBDD_Formadores[],16,FALSE))</f>
        <v>NO</v>
      </c>
      <c r="Z166" s="13" t="str">
        <f>IF(ISERROR(VLOOKUP(T_Voluntarios[[#This Row],[RUN]],BBDD_Formadores[],17,FALSE)),"NO",VLOOKUP(T_Voluntarios[[#This Row],[RUN]],BBDD_Formadores[],17,FALSE))</f>
        <v>NO</v>
      </c>
      <c r="AA166" s="13" t="str">
        <f>IF(ISERROR(VLOOKUP(T_Voluntarios[[#This Row],[RUN]],BBDD_Formadores[],18,FALSE)),"NO",VLOOKUP(T_Voluntarios[[#This Row],[RUN]],BBDD_Formadores[],18,FALSE))</f>
        <v>NO</v>
      </c>
      <c r="AB166" s="13">
        <v>1</v>
      </c>
      <c r="AC166" s="13" t="s">
        <v>1597</v>
      </c>
      <c r="AD166" s="13" t="s">
        <v>78</v>
      </c>
      <c r="AF166" s="2" t="str">
        <f>IF(VLOOKUP(T_Voluntarios[[#This Row],[RUN]],BBDD[],25,FALSE)=0,"",VLOOKUP(T_Voluntarios[[#This Row],[RUN]],BBDD[],25,FALSE))</f>
        <v/>
      </c>
      <c r="AG166" s="2" t="str">
        <f>IF(VLOOKUP(T_Voluntarios[[#This Row],[RUN]],BBDD[],26,FALSE)=0,"",VLOOKUP(T_Voluntarios[[#This Row],[RUN]],BBDD[],26,FALSE))</f>
        <v/>
      </c>
      <c r="AH166" s="2" t="str">
        <f>IF(VLOOKUP(T_Voluntarios[[#This Row],[RUN]],BBDD[],24,FALSE)=0,"",VLOOKUP(T_Voluntarios[[#This Row],[RUN]],BBDD[],24,FALSE))</f>
        <v/>
      </c>
      <c r="AI166" s="13" t="str">
        <f>VLOOKUP(T_Voluntarios[[#This Row],[RUN]],BBDD[],28,FALSE)</f>
        <v>No</v>
      </c>
      <c r="AJ166" s="13" t="str">
        <f>VLOOKUP(T_Voluntarios[[#This Row],[RUN]],BBDD[],28,FALSE)</f>
        <v>No</v>
      </c>
      <c r="AK166" s="32">
        <f>IF(T_Voluntarios[[#This Row],[ROL]]="Participante",SUMIFS(T_Cuotas[[#All],[Total]],T_Cuotas[[#All],[RUN]],T_Voluntarios[[#This Row],[RUN]]),-1)</f>
        <v>0</v>
      </c>
      <c r="AL166" s="1" t="s">
        <v>78</v>
      </c>
      <c r="AM166" s="13" t="s">
        <v>733</v>
      </c>
      <c r="AP166" s="2" t="str">
        <f>MID(T_Voluntarios[[#This Row],[E_MAIL]],SEARCH("@",T_Voluntarios[[#This Row],[E_MAIL]],1),LEN(T_Voluntarios[[#This Row],[E_MAIL]]))</f>
        <v>@gmail.com</v>
      </c>
      <c r="AQ166" s="13" t="str">
        <f>VLOOKUP(T_Voluntarios[[#This Row],[RUN]],BBDD[],37,FALSE)</f>
        <v>20</v>
      </c>
      <c r="AR166" s="2" t="str">
        <f>VLOOKUP(T_Voluntarios[[#This Row],[RUN]],BBDD[],29,FALSE)</f>
        <v>Estudiante</v>
      </c>
      <c r="AS166" s="2" t="str">
        <f>VLOOKUP(T_Voluntarios[[#This Row],[RUN]],BBDD[],30,FALSE)</f>
        <v>11 años</v>
      </c>
      <c r="AT166" s="2" t="str">
        <f>VLOOKUP(T_Voluntarios[[#This Row],[RUN]],BBDD[],31,FALSE)</f>
        <v>1 semestre</v>
      </c>
      <c r="AU166" s="2" t="str">
        <f>VLOOKUP(T_Voluntarios[[#This Row],[RUN]],BBDD[],32,FALSE)</f>
        <v>Soltero(a)</v>
      </c>
      <c r="AV166" s="2" t="str">
        <f>VLOOKUP(T_Voluntarios[[#This Row],[RUN]],BBDD[],33,FALSE)</f>
        <v>Ninguna</v>
      </c>
      <c r="AW166" s="2" t="str">
        <f>VLOOKUP(T_Voluntarios[[#This Row],[RUN]],BBDD[],34,FALSE)</f>
        <v>MatiHU</v>
      </c>
      <c r="AX166" s="13" t="s">
        <v>733</v>
      </c>
      <c r="AY166" s="76">
        <f>VLOOKUP(T_Voluntarios[[#This Row],[RUN]],BBDD[],2,FALSE)</f>
        <v>45799.614886921299</v>
      </c>
      <c r="AZ166" s="13" t="s">
        <v>2</v>
      </c>
    </row>
    <row r="167" spans="1:52" x14ac:dyDescent="0.3">
      <c r="A167" s="2" t="s">
        <v>2504</v>
      </c>
      <c r="B167" s="2" t="str">
        <f>VLOOKUP(T_Voluntarios[[#This Row],[RUN]],BBDD[],3,FALSE)</f>
        <v>mgdavinson@gmail.com</v>
      </c>
      <c r="C167" s="2" t="str">
        <f>VLOOKUP(T_Voluntarios[[#This Row],[RUN]],BBDD[],4,FALSE)</f>
        <v>Miguel Alfonso Gutierrez Davinson</v>
      </c>
      <c r="D167" s="16">
        <f>VLOOKUP(T_Voluntarios[[#This Row],[RUN]],BBDD[],5,FALSE)</f>
        <v>38605</v>
      </c>
      <c r="E167" s="2" t="str">
        <f>VLOOKUP(T_Voluntarios[[#This Row],[RUN]],BBDD[],6,FALSE)</f>
        <v>diagonal bio bio #180 Candelaria</v>
      </c>
      <c r="F167" s="2" t="str">
        <f>VLOOKUP(T_Voluntarios[[#This Row],[RUN]],BBDD[],7,FALSE)</f>
        <v>San Pedro De La Paz</v>
      </c>
      <c r="G167" s="2" t="str">
        <f>VLOOKUP(T_Voluntarios[[#This Row],[RUN]],BBDD[],8,FALSE)</f>
        <v>Celular</v>
      </c>
      <c r="H167" s="2" t="str">
        <f>IF(VLOOKUP(T_Voluntarios[[#This Row],[RUN]],BBDD[],9,FALSE)=0,"Falta",VLOOKUP(T_Voluntarios[[#This Row],[RUN]],BBDD[],9,FALSE))</f>
        <v>+56935807934</v>
      </c>
      <c r="I167" s="2" t="str">
        <f>VLOOKUP(T_Voluntarios[[#This Row],[RUN]],BBDD[],10,FALSE)</f>
        <v>Participante</v>
      </c>
      <c r="J167" s="2" t="str">
        <f>VLOOKUP(T_Voluntarios[[#This Row],[RUN]],BBDD[],11,FALSE)</f>
        <v>Monte Kenya</v>
      </c>
      <c r="K167" s="2" t="str">
        <f>VLOOKUP(T_Voluntarios[[#This Row],[RUN]],BBDD[],12,FALSE)</f>
        <v>Pioneros</v>
      </c>
      <c r="L167" s="2" t="str">
        <f>VLOOKUP(T_Voluntarios[[#This Row],[RUN]],BBDD[],15,FALSE)</f>
        <v>Nahuelbuta</v>
      </c>
      <c r="M167" s="2" t="str">
        <f>VLOOKUP(T_Voluntarios[[#This Row],[RUN]],BBDD[],20,FALSE)</f>
        <v>Alimentación Tradicional</v>
      </c>
      <c r="N167" s="2" t="str">
        <f>VLOOKUP(T_Voluntarios[[#This Row],[RUN]],BBDD[],21,FALSE)</f>
        <v>alergia a los mariscos</v>
      </c>
      <c r="O167" s="2" t="str">
        <f>VLOOKUP(T_Voluntarios[[#This Row],[RUN]],BBDD[],22,FALSE)</f>
        <v>Ninguna</v>
      </c>
      <c r="P167" s="2" t="str">
        <f>VLOOKUP(T_Voluntarios[[#This Row],[RUN]],BBDD[],23,FALSE)</f>
        <v>Elba Rosa Manriquez Lema, +56941025036</v>
      </c>
      <c r="Q167" s="2" t="str">
        <f>IF(VLOOKUP(T_Voluntarios[[#This Row],[RUN]],BBDD[],27,FALSE)=0,"",VLOOKUP(T_Voluntarios[[#This Row],[RUN]],BBDD[],27,FALSE))</f>
        <v/>
      </c>
      <c r="R167" s="2" t="str">
        <f>VLOOKUP(T_Voluntarios[[#This Row],[RUN]],BBDD[],36,FALSE)</f>
        <v>https://drive.google.com/open?id=1gOU7d0MeFfq2JfhwugbSpA8b69ftKvai</v>
      </c>
      <c r="S167" s="2" t="str">
        <f>VLOOKUP(T_Voluntarios[[#This Row],[RUN]],BBDD[],16,FALSE)</f>
        <v>Inicial</v>
      </c>
      <c r="T167" s="2" t="str">
        <f>VLOOKUP(T_Voluntarios[[#This Row],[RUN]],BBDD[],17,FALSE)</f>
        <v>Ninguno</v>
      </c>
      <c r="U167" s="2" t="str">
        <f>VLOOKUP(T_Voluntarios[[#This Row],[RUN]],BBDD[],18,FALSE)</f>
        <v>Ninguno</v>
      </c>
      <c r="V167" s="2" t="str">
        <f>VLOOKUP(T_Voluntarios[[#This Row],[RUN]],BBDD[],19,FALSE)</f>
        <v>Ninguno</v>
      </c>
      <c r="W167" s="13" t="str">
        <f>IF(OR(T_Voluntarios[[#This Row],[ROL]]="Formador(a)"),"SI","NO")</f>
        <v>NO</v>
      </c>
      <c r="X167" s="13" t="str">
        <f>IF(ISERROR(VLOOKUP(T_Voluntarios[[#This Row],[RUN]],BBDD_Formadores[],15,FALSE)),"NO",VLOOKUP(T_Voluntarios[[#This Row],[RUN]],BBDD_Formadores[],15,FALSE))</f>
        <v>NO</v>
      </c>
      <c r="Y167" s="13" t="str">
        <f>IF(ISERROR(VLOOKUP(T_Voluntarios[[#This Row],[RUN]],BBDD_Formadores[],16,FALSE)),"NO",VLOOKUP(T_Voluntarios[[#This Row],[RUN]],BBDD_Formadores[],16,FALSE))</f>
        <v>NO</v>
      </c>
      <c r="Z167" s="13" t="str">
        <f>IF(ISERROR(VLOOKUP(T_Voluntarios[[#This Row],[RUN]],BBDD_Formadores[],17,FALSE)),"NO",VLOOKUP(T_Voluntarios[[#This Row],[RUN]],BBDD_Formadores[],17,FALSE))</f>
        <v>NO</v>
      </c>
      <c r="AA167" s="13" t="str">
        <f>IF(ISERROR(VLOOKUP(T_Voluntarios[[#This Row],[RUN]],BBDD_Formadores[],18,FALSE)),"NO",VLOOKUP(T_Voluntarios[[#This Row],[RUN]],BBDD_Formadores[],18,FALSE))</f>
        <v>NO</v>
      </c>
      <c r="AB167" s="13">
        <v>1</v>
      </c>
      <c r="AC167" s="13" t="s">
        <v>1</v>
      </c>
      <c r="AD167" s="13" t="s">
        <v>77</v>
      </c>
      <c r="AF167" s="2" t="str">
        <f>IF(VLOOKUP(T_Voluntarios[[#This Row],[RUN]],BBDD[],25,FALSE)=0,"",VLOOKUP(T_Voluntarios[[#This Row],[RUN]],BBDD[],25,FALSE))</f>
        <v/>
      </c>
      <c r="AG167" s="2" t="str">
        <f>IF(VLOOKUP(T_Voluntarios[[#This Row],[RUN]],BBDD[],26,FALSE)=0,"",VLOOKUP(T_Voluntarios[[#This Row],[RUN]],BBDD[],26,FALSE))</f>
        <v/>
      </c>
      <c r="AH167" s="2" t="str">
        <f>IF(VLOOKUP(T_Voluntarios[[#This Row],[RUN]],BBDD[],24,FALSE)=0,"",VLOOKUP(T_Voluntarios[[#This Row],[RUN]],BBDD[],24,FALSE))</f>
        <v/>
      </c>
      <c r="AI167" s="13" t="str">
        <f>VLOOKUP(T_Voluntarios[[#This Row],[RUN]],BBDD[],28,FALSE)</f>
        <v>No</v>
      </c>
      <c r="AJ167" s="13" t="str">
        <f>VLOOKUP(T_Voluntarios[[#This Row],[RUN]],BBDD[],28,FALSE)</f>
        <v>No</v>
      </c>
      <c r="AK167" s="32">
        <f>IF(T_Voluntarios[[#This Row],[ROL]]="Participante",SUMIFS(T_Cuotas[[#All],[Total]],T_Cuotas[[#All],[RUN]],T_Voluntarios[[#This Row],[RUN]]),-1)</f>
        <v>50000</v>
      </c>
      <c r="AL167" s="13" t="s">
        <v>2</v>
      </c>
      <c r="AM167" s="13" t="s">
        <v>2029</v>
      </c>
      <c r="AN167" s="2" t="s">
        <v>3244</v>
      </c>
      <c r="AP167" s="2" t="str">
        <f>MID(T_Voluntarios[[#This Row],[E_MAIL]],SEARCH("@",T_Voluntarios[[#This Row],[E_MAIL]],1),LEN(T_Voluntarios[[#This Row],[E_MAIL]]))</f>
        <v>@gmail.com</v>
      </c>
      <c r="AQ167" s="13" t="str">
        <f>VLOOKUP(T_Voluntarios[[#This Row],[RUN]],BBDD[],37,FALSE)</f>
        <v>19</v>
      </c>
      <c r="AR167" s="2" t="str">
        <f>VLOOKUP(T_Voluntarios[[#This Row],[RUN]],BBDD[],29,FALSE)</f>
        <v>Estudiante de Psicología</v>
      </c>
      <c r="AS167" s="2" t="str">
        <f>VLOOKUP(T_Voluntarios[[#This Row],[RUN]],BBDD[],30,FALSE)</f>
        <v>1 año</v>
      </c>
      <c r="AT167" s="2" t="str">
        <f>VLOOKUP(T_Voluntarios[[#This Row],[RUN]],BBDD[],31,FALSE)</f>
        <v>6 meses</v>
      </c>
      <c r="AU167" s="2" t="str">
        <f>VLOOKUP(T_Voluntarios[[#This Row],[RUN]],BBDD[],32,FALSE)</f>
        <v>Soltero(a)</v>
      </c>
      <c r="AV167" s="2" t="str">
        <f>VLOOKUP(T_Voluntarios[[#This Row],[RUN]],BBDD[],33,FALSE)</f>
        <v>Ninguna</v>
      </c>
      <c r="AW167" s="2" t="str">
        <f>VLOOKUP(T_Voluntarios[[#This Row],[RUN]],BBDD[],34,FALSE)</f>
        <v>Remi</v>
      </c>
      <c r="AX167" s="13" t="s">
        <v>733</v>
      </c>
      <c r="AY167" s="76">
        <f>VLOOKUP(T_Voluntarios[[#This Row],[RUN]],BBDD[],2,FALSE)</f>
        <v>45799.634140200615</v>
      </c>
      <c r="AZ167" s="13" t="s">
        <v>3403</v>
      </c>
    </row>
    <row r="168" spans="1:52" x14ac:dyDescent="0.3">
      <c r="A168" s="2" t="s">
        <v>2513</v>
      </c>
      <c r="B168" s="2" t="str">
        <f>VLOOKUP(T_Voluntarios[[#This Row],[RUN]],BBDD[],3,FALSE)</f>
        <v>franciscaalveara@gmail.com</v>
      </c>
      <c r="C168" s="2" t="str">
        <f>VLOOKUP(T_Voluntarios[[#This Row],[RUN]],BBDD[],4,FALSE)</f>
        <v>Francisca Ivelice Alvear Aguilar</v>
      </c>
      <c r="D168" s="16">
        <f>VLOOKUP(T_Voluntarios[[#This Row],[RUN]],BBDD[],5,FALSE)</f>
        <v>35367</v>
      </c>
      <c r="E168" s="2" t="str">
        <f>VLOOKUP(T_Voluntarios[[#This Row],[RUN]],BBDD[],6,FALSE)</f>
        <v>Lago llanquihue 172</v>
      </c>
      <c r="F168" s="2" t="str">
        <f>VLOOKUP(T_Voluntarios[[#This Row],[RUN]],BBDD[],7,FALSE)</f>
        <v>Talcahuano</v>
      </c>
      <c r="G168" s="2" t="str">
        <f>VLOOKUP(T_Voluntarios[[#This Row],[RUN]],BBDD[],8,FALSE)</f>
        <v>Celular</v>
      </c>
      <c r="H168" s="2" t="str">
        <f>IF(VLOOKUP(T_Voluntarios[[#This Row],[RUN]],BBDD[],9,FALSE)=0,"Falta",VLOOKUP(T_Voluntarios[[#This Row],[RUN]],BBDD[],9,FALSE))</f>
        <v>+56977546707</v>
      </c>
      <c r="I168" s="2" t="str">
        <f>VLOOKUP(T_Voluntarios[[#This Row],[RUN]],BBDD[],10,FALSE)</f>
        <v>Participante</v>
      </c>
      <c r="J168" s="2" t="str">
        <f>VLOOKUP(T_Voluntarios[[#This Row],[RUN]],BBDD[],11,FALSE)</f>
        <v>Sagrados Corazones</v>
      </c>
      <c r="K168" s="2" t="str">
        <f>VLOOKUP(T_Voluntarios[[#This Row],[RUN]],BBDD[],12,FALSE)</f>
        <v>Scouts</v>
      </c>
      <c r="L168" s="2" t="str">
        <f>VLOOKUP(T_Voluntarios[[#This Row],[RUN]],BBDD[],15,FALSE)</f>
        <v>Concepción</v>
      </c>
      <c r="M168" s="2" t="str">
        <f>VLOOKUP(T_Voluntarios[[#This Row],[RUN]],BBDD[],20,FALSE)</f>
        <v>Alimentación Tradicional</v>
      </c>
      <c r="N168" s="2" t="str">
        <f>VLOOKUP(T_Voluntarios[[#This Row],[RUN]],BBDD[],21,FALSE)</f>
        <v>Ninguna</v>
      </c>
      <c r="O168" s="2" t="str">
        <f>VLOOKUP(T_Voluntarios[[#This Row],[RUN]],BBDD[],22,FALSE)</f>
        <v>Ninguna</v>
      </c>
      <c r="P168" s="2" t="str">
        <f>VLOOKUP(T_Voluntarios[[#This Row],[RUN]],BBDD[],23,FALSE)</f>
        <v>Celia Aguilar +56956984763</v>
      </c>
      <c r="Q168" s="2" t="str">
        <f>IF(VLOOKUP(T_Voluntarios[[#This Row],[RUN]],BBDD[],27,FALSE)=0,"",VLOOKUP(T_Voluntarios[[#This Row],[RUN]],BBDD[],27,FALSE))</f>
        <v/>
      </c>
      <c r="R168" s="2" t="str">
        <f>VLOOKUP(T_Voluntarios[[#This Row],[RUN]],BBDD[],36,FALSE)</f>
        <v>https://drive.google.com/open?id=1Ezryy94Ad7fDIcywqCVlAtkE57bwFXgB</v>
      </c>
      <c r="S168" s="2" t="str">
        <f>VLOOKUP(T_Voluntarios[[#This Row],[RUN]],BBDD[],16,FALSE)</f>
        <v>Inicial</v>
      </c>
      <c r="T168" s="2" t="str">
        <f>VLOOKUP(T_Voluntarios[[#This Row],[RUN]],BBDD[],17,FALSE)</f>
        <v>Ninguno</v>
      </c>
      <c r="U168" s="2" t="str">
        <f>VLOOKUP(T_Voluntarios[[#This Row],[RUN]],BBDD[],18,FALSE)</f>
        <v>Ninguno</v>
      </c>
      <c r="V168" s="2" t="str">
        <f>VLOOKUP(T_Voluntarios[[#This Row],[RUN]],BBDD[],19,FALSE)</f>
        <v>Ninguno</v>
      </c>
      <c r="W168" s="13" t="str">
        <f>IF(OR(T_Voluntarios[[#This Row],[ROL]]="Formador(a)"),"SI","NO")</f>
        <v>NO</v>
      </c>
      <c r="X168" s="13" t="str">
        <f>IF(ISERROR(VLOOKUP(T_Voluntarios[[#This Row],[RUN]],BBDD_Formadores[],15,FALSE)),"NO",VLOOKUP(T_Voluntarios[[#This Row],[RUN]],BBDD_Formadores[],15,FALSE))</f>
        <v>NO</v>
      </c>
      <c r="Y168" s="13" t="str">
        <f>IF(ISERROR(VLOOKUP(T_Voluntarios[[#This Row],[RUN]],BBDD_Formadores[],16,FALSE)),"NO",VLOOKUP(T_Voluntarios[[#This Row],[RUN]],BBDD_Formadores[],16,FALSE))</f>
        <v>NO</v>
      </c>
      <c r="Z168" s="13" t="str">
        <f>IF(ISERROR(VLOOKUP(T_Voluntarios[[#This Row],[RUN]],BBDD_Formadores[],17,FALSE)),"NO",VLOOKUP(T_Voluntarios[[#This Row],[RUN]],BBDD_Formadores[],17,FALSE))</f>
        <v>NO</v>
      </c>
      <c r="AA168" s="13" t="str">
        <f>IF(ISERROR(VLOOKUP(T_Voluntarios[[#This Row],[RUN]],BBDD_Formadores[],18,FALSE)),"NO",VLOOKUP(T_Voluntarios[[#This Row],[RUN]],BBDD_Formadores[],18,FALSE))</f>
        <v>NO</v>
      </c>
      <c r="AB168" s="13">
        <v>1</v>
      </c>
      <c r="AC168" s="13" t="s">
        <v>1</v>
      </c>
      <c r="AD168" s="13" t="s">
        <v>77</v>
      </c>
      <c r="AF168" s="2" t="str">
        <f>IF(VLOOKUP(T_Voluntarios[[#This Row],[RUN]],BBDD[],25,FALSE)=0,"",VLOOKUP(T_Voluntarios[[#This Row],[RUN]],BBDD[],25,FALSE))</f>
        <v/>
      </c>
      <c r="AG168" s="2" t="str">
        <f>IF(VLOOKUP(T_Voluntarios[[#This Row],[RUN]],BBDD[],26,FALSE)=0,"",VLOOKUP(T_Voluntarios[[#This Row],[RUN]],BBDD[],26,FALSE))</f>
        <v/>
      </c>
      <c r="AH168" s="2" t="str">
        <f>IF(VLOOKUP(T_Voluntarios[[#This Row],[RUN]],BBDD[],24,FALSE)=0,"",VLOOKUP(T_Voluntarios[[#This Row],[RUN]],BBDD[],24,FALSE))</f>
        <v/>
      </c>
      <c r="AI168" s="13" t="str">
        <f>VLOOKUP(T_Voluntarios[[#This Row],[RUN]],BBDD[],28,FALSE)</f>
        <v>No</v>
      </c>
      <c r="AJ168" s="13" t="str">
        <f>VLOOKUP(T_Voluntarios[[#This Row],[RUN]],BBDD[],28,FALSE)</f>
        <v>No</v>
      </c>
      <c r="AK168" s="32">
        <f>IF(T_Voluntarios[[#This Row],[ROL]]="Participante",SUMIFS(T_Cuotas[[#All],[Total]],T_Cuotas[[#All],[RUN]],T_Voluntarios[[#This Row],[RUN]]),-1)</f>
        <v>50000</v>
      </c>
      <c r="AL168" s="13" t="s">
        <v>1</v>
      </c>
      <c r="AM168" s="13" t="s">
        <v>2029</v>
      </c>
      <c r="AP168" s="2" t="str">
        <f>MID(T_Voluntarios[[#This Row],[E_MAIL]],SEARCH("@",T_Voluntarios[[#This Row],[E_MAIL]],1),LEN(T_Voluntarios[[#This Row],[E_MAIL]]))</f>
        <v>@gmail.com</v>
      </c>
      <c r="AQ168" s="13" t="str">
        <f>VLOOKUP(T_Voluntarios[[#This Row],[RUN]],BBDD[],37,FALSE)</f>
        <v>28</v>
      </c>
      <c r="AR168" s="2" t="str">
        <f>VLOOKUP(T_Voluntarios[[#This Row],[RUN]],BBDD[],29,FALSE)</f>
        <v>Ingeniera Ambiental</v>
      </c>
      <c r="AS168" s="2" t="str">
        <f>VLOOKUP(T_Voluntarios[[#This Row],[RUN]],BBDD[],30,FALSE)</f>
        <v>10 años</v>
      </c>
      <c r="AT168" s="2" t="str">
        <f>VLOOKUP(T_Voluntarios[[#This Row],[RUN]],BBDD[],31,FALSE)</f>
        <v>0</v>
      </c>
      <c r="AU168" s="2" t="str">
        <f>VLOOKUP(T_Voluntarios[[#This Row],[RUN]],BBDD[],32,FALSE)</f>
        <v>Soltero(a)</v>
      </c>
      <c r="AV168" s="2" t="str">
        <f>VLOOKUP(T_Voluntarios[[#This Row],[RUN]],BBDD[],33,FALSE)</f>
        <v>Ninguna</v>
      </c>
      <c r="AW168" s="2" t="str">
        <f>VLOOKUP(T_Voluntarios[[#This Row],[RUN]],BBDD[],34,FALSE)</f>
        <v>Fran</v>
      </c>
      <c r="AX168" s="13" t="s">
        <v>733</v>
      </c>
      <c r="AY168" s="76">
        <f>VLOOKUP(T_Voluntarios[[#This Row],[RUN]],BBDD[],2,FALSE)</f>
        <v>45799.778471489197</v>
      </c>
      <c r="AZ168" s="13" t="s">
        <v>3403</v>
      </c>
    </row>
    <row r="169" spans="1:52" x14ac:dyDescent="0.3">
      <c r="A169" s="2" t="s">
        <v>2522</v>
      </c>
      <c r="B169" s="2" t="str">
        <f>VLOOKUP(T_Voluntarios[[#This Row],[RUN]],BBDD[],3,FALSE)</f>
        <v>ibarraherrera28@gmail.com</v>
      </c>
      <c r="C169" s="2" t="str">
        <f>VLOOKUP(T_Voluntarios[[#This Row],[RUN]],BBDD[],4,FALSE)</f>
        <v>Ignacio Vicente Iñaki Ibarra Herrera</v>
      </c>
      <c r="D169" s="16">
        <f>VLOOKUP(T_Voluntarios[[#This Row],[RUN]],BBDD[],5,FALSE)</f>
        <v>37496</v>
      </c>
      <c r="E169" s="2" t="str">
        <f>VLOOKUP(T_Voluntarios[[#This Row],[RUN]],BBDD[],6,FALSE)</f>
        <v>Siete norte N15 poblacion esmeralda</v>
      </c>
      <c r="F169" s="2" t="str">
        <f>VLOOKUP(T_Voluntarios[[#This Row],[RUN]],BBDD[],7,FALSE)</f>
        <v>Talcahuano</v>
      </c>
      <c r="G169" s="2" t="str">
        <f>VLOOKUP(T_Voluntarios[[#This Row],[RUN]],BBDD[],8,FALSE)</f>
        <v>Celular</v>
      </c>
      <c r="H169" s="2" t="str">
        <f>IF(VLOOKUP(T_Voluntarios[[#This Row],[RUN]],BBDD[],9,FALSE)=0,"Falta",VLOOKUP(T_Voluntarios[[#This Row],[RUN]],BBDD[],9,FALSE))</f>
        <v>+56941686052</v>
      </c>
      <c r="I169" s="2" t="str">
        <f>VLOOKUP(T_Voluntarios[[#This Row],[RUN]],BBDD[],10,FALSE)</f>
        <v>Participante</v>
      </c>
      <c r="J169" s="2" t="str">
        <f>VLOOKUP(T_Voluntarios[[#This Row],[RUN]],BBDD[],11,FALSE)</f>
        <v>La Asunción</v>
      </c>
      <c r="K169" s="2" t="str">
        <f>VLOOKUP(T_Voluntarios[[#This Row],[RUN]],BBDD[],12,FALSE)</f>
        <v>Guias</v>
      </c>
      <c r="L169" s="2" t="str">
        <f>VLOOKUP(T_Voluntarios[[#This Row],[RUN]],BBDD[],15,FALSE)</f>
        <v>Talcahuano - Hualpén</v>
      </c>
      <c r="M169" s="2" t="str">
        <f>VLOOKUP(T_Voluntarios[[#This Row],[RUN]],BBDD[],20,FALSE)</f>
        <v>Alimentación Tradicional</v>
      </c>
      <c r="N169" s="2" t="str">
        <f>VLOOKUP(T_Voluntarios[[#This Row],[RUN]],BBDD[],21,FALSE)</f>
        <v>Ninguna</v>
      </c>
      <c r="O169" s="2" t="str">
        <f>VLOOKUP(T_Voluntarios[[#This Row],[RUN]],BBDD[],22,FALSE)</f>
        <v>Ninguna</v>
      </c>
      <c r="P169" s="2" t="str">
        <f>VLOOKUP(T_Voluntarios[[#This Row],[RUN]],BBDD[],23,FALSE)</f>
        <v>Lorraine Herrera+56986029827</v>
      </c>
      <c r="Q169" s="2" t="str">
        <f>IF(VLOOKUP(T_Voluntarios[[#This Row],[RUN]],BBDD[],27,FALSE)=0,"",VLOOKUP(T_Voluntarios[[#This Row],[RUN]],BBDD[],27,FALSE))</f>
        <v/>
      </c>
      <c r="R169" s="2" t="str">
        <f>VLOOKUP(T_Voluntarios[[#This Row],[RUN]],BBDD[],36,FALSE)</f>
        <v>https://drive.google.com/open?id=1rlfhEs5aBdSN0c2H6ariwWJ3UyMTFAyy</v>
      </c>
      <c r="S169" s="2" t="str">
        <f>VLOOKUP(T_Voluntarios[[#This Row],[RUN]],BBDD[],16,FALSE)</f>
        <v>Inicial</v>
      </c>
      <c r="T169" s="2" t="str">
        <f>VLOOKUP(T_Voluntarios[[#This Row],[RUN]],BBDD[],17,FALSE)</f>
        <v>Ninguno</v>
      </c>
      <c r="U169" s="2" t="str">
        <f>VLOOKUP(T_Voluntarios[[#This Row],[RUN]],BBDD[],18,FALSE)</f>
        <v>Ninguno</v>
      </c>
      <c r="V169" s="2" t="str">
        <f>VLOOKUP(T_Voluntarios[[#This Row],[RUN]],BBDD[],19,FALSE)</f>
        <v>Ninguno</v>
      </c>
      <c r="W169" s="13" t="str">
        <f>IF(OR(T_Voluntarios[[#This Row],[ROL]]="Formador(a)"),"SI","NO")</f>
        <v>NO</v>
      </c>
      <c r="X169" s="13" t="str">
        <f>IF(ISERROR(VLOOKUP(T_Voluntarios[[#This Row],[RUN]],BBDD_Formadores[],15,FALSE)),"NO",VLOOKUP(T_Voluntarios[[#This Row],[RUN]],BBDD_Formadores[],15,FALSE))</f>
        <v>NO</v>
      </c>
      <c r="Y169" s="13" t="str">
        <f>IF(ISERROR(VLOOKUP(T_Voluntarios[[#This Row],[RUN]],BBDD_Formadores[],16,FALSE)),"NO",VLOOKUP(T_Voluntarios[[#This Row],[RUN]],BBDD_Formadores[],16,FALSE))</f>
        <v>NO</v>
      </c>
      <c r="Z169" s="13" t="str">
        <f>IF(ISERROR(VLOOKUP(T_Voluntarios[[#This Row],[RUN]],BBDD_Formadores[],17,FALSE)),"NO",VLOOKUP(T_Voluntarios[[#This Row],[RUN]],BBDD_Formadores[],17,FALSE))</f>
        <v>NO</v>
      </c>
      <c r="AA169" s="13" t="str">
        <f>IF(ISERROR(VLOOKUP(T_Voluntarios[[#This Row],[RUN]],BBDD_Formadores[],18,FALSE)),"NO",VLOOKUP(T_Voluntarios[[#This Row],[RUN]],BBDD_Formadores[],18,FALSE))</f>
        <v>NO</v>
      </c>
      <c r="AB169" s="13">
        <v>1</v>
      </c>
      <c r="AC169" s="13" t="s">
        <v>1</v>
      </c>
      <c r="AD169" s="13" t="s">
        <v>77</v>
      </c>
      <c r="AF169" s="2" t="str">
        <f>IF(VLOOKUP(T_Voluntarios[[#This Row],[RUN]],BBDD[],25,FALSE)=0,"",VLOOKUP(T_Voluntarios[[#This Row],[RUN]],BBDD[],25,FALSE))</f>
        <v/>
      </c>
      <c r="AG169" s="2" t="str">
        <f>IF(VLOOKUP(T_Voluntarios[[#This Row],[RUN]],BBDD[],26,FALSE)=0,"",VLOOKUP(T_Voluntarios[[#This Row],[RUN]],BBDD[],26,FALSE))</f>
        <v/>
      </c>
      <c r="AH169" s="2" t="str">
        <f>IF(VLOOKUP(T_Voluntarios[[#This Row],[RUN]],BBDD[],24,FALSE)=0,"",VLOOKUP(T_Voluntarios[[#This Row],[RUN]],BBDD[],24,FALSE))</f>
        <v/>
      </c>
      <c r="AI169" s="13" t="str">
        <f>VLOOKUP(T_Voluntarios[[#This Row],[RUN]],BBDD[],28,FALSE)</f>
        <v>SI</v>
      </c>
      <c r="AJ169" s="13" t="str">
        <f>VLOOKUP(T_Voluntarios[[#This Row],[RUN]],BBDD[],28,FALSE)</f>
        <v>SI</v>
      </c>
      <c r="AK169" s="32">
        <f>IF(T_Voluntarios[[#This Row],[ROL]]="Participante",SUMIFS(T_Cuotas[[#All],[Total]],T_Cuotas[[#All],[RUN]],T_Voluntarios[[#This Row],[RUN]]),-1)</f>
        <v>50000</v>
      </c>
      <c r="AL169" s="13" t="s">
        <v>1</v>
      </c>
      <c r="AM169" s="13" t="s">
        <v>2029</v>
      </c>
      <c r="AP169" s="2" t="str">
        <f>MID(T_Voluntarios[[#This Row],[E_MAIL]],SEARCH("@",T_Voluntarios[[#This Row],[E_MAIL]],1),LEN(T_Voluntarios[[#This Row],[E_MAIL]]))</f>
        <v>@gmail.com</v>
      </c>
      <c r="AQ169" s="13" t="str">
        <f>VLOOKUP(T_Voluntarios[[#This Row],[RUN]],BBDD[],37,FALSE)</f>
        <v>22</v>
      </c>
      <c r="AR169" s="2" t="str">
        <f>VLOOKUP(T_Voluntarios[[#This Row],[RUN]],BBDD[],29,FALSE)</f>
        <v>Chef</v>
      </c>
      <c r="AS169" s="2" t="str">
        <f>VLOOKUP(T_Voluntarios[[#This Row],[RUN]],BBDD[],30,FALSE)</f>
        <v>11 años</v>
      </c>
      <c r="AT169" s="2" t="str">
        <f>VLOOKUP(T_Voluntarios[[#This Row],[RUN]],BBDD[],31,FALSE)</f>
        <v>2 años</v>
      </c>
      <c r="AU169" s="2" t="str">
        <f>VLOOKUP(T_Voluntarios[[#This Row],[RUN]],BBDD[],32,FALSE)</f>
        <v>Soltero(a)</v>
      </c>
      <c r="AV169" s="2" t="str">
        <f>VLOOKUP(T_Voluntarios[[#This Row],[RUN]],BBDD[],33,FALSE)</f>
        <v>Ninguna</v>
      </c>
      <c r="AW169" s="2" t="str">
        <f>VLOOKUP(T_Voluntarios[[#This Row],[RUN]],BBDD[],34,FALSE)</f>
        <v>Nacho</v>
      </c>
      <c r="AX169" s="13" t="s">
        <v>733</v>
      </c>
      <c r="AY169" s="76">
        <f>VLOOKUP(T_Voluntarios[[#This Row],[RUN]],BBDD[],2,FALSE)</f>
        <v>45799.796768209875</v>
      </c>
      <c r="AZ169" s="13" t="s">
        <v>3403</v>
      </c>
    </row>
    <row r="170" spans="1:52" x14ac:dyDescent="0.3">
      <c r="A170" s="2" t="s">
        <v>2720</v>
      </c>
      <c r="B170" s="2" t="str">
        <f>VLOOKUP(T_Voluntarios[[#This Row],[RUN]],BBDD[],3,FALSE)</f>
        <v>fmoragaescobar@gmail.com</v>
      </c>
      <c r="C170" s="2" t="str">
        <f>VLOOKUP(T_Voluntarios[[#This Row],[RUN]],BBDD[],4,FALSE)</f>
        <v>Fernanda Valeria Moraga Escobar</v>
      </c>
      <c r="D170" s="16">
        <f>VLOOKUP(T_Voluntarios[[#This Row],[RUN]],BBDD[],5,FALSE)</f>
        <v>36976</v>
      </c>
      <c r="E170" s="2" t="str">
        <f>VLOOKUP(T_Voluntarios[[#This Row],[RUN]],BBDD[],6,FALSE)</f>
        <v>Collao 1485 Casa 23</v>
      </c>
      <c r="F170" s="2" t="str">
        <f>VLOOKUP(T_Voluntarios[[#This Row],[RUN]],BBDD[],7,FALSE)</f>
        <v>Concepción</v>
      </c>
      <c r="G170" s="2" t="str">
        <f>VLOOKUP(T_Voluntarios[[#This Row],[RUN]],BBDD[],8,FALSE)</f>
        <v>Celular</v>
      </c>
      <c r="H170" s="2" t="str">
        <f>IF(VLOOKUP(T_Voluntarios[[#This Row],[RUN]],BBDD[],9,FALSE)=0,"Falta",VLOOKUP(T_Voluntarios[[#This Row],[RUN]],BBDD[],9,FALSE))</f>
        <v>+56978217655</v>
      </c>
      <c r="I170" s="2" t="str">
        <f>VLOOKUP(T_Voluntarios[[#This Row],[RUN]],BBDD[],10,FALSE)</f>
        <v>Participante</v>
      </c>
      <c r="J170" s="2" t="str">
        <f>VLOOKUP(T_Voluntarios[[#This Row],[RUN]],BBDD[],11,FALSE)</f>
        <v>Sagrados Corazones</v>
      </c>
      <c r="K170" s="2" t="str">
        <f>VLOOKUP(T_Voluntarios[[#This Row],[RUN]],BBDD[],12,FALSE)</f>
        <v>Pioneros</v>
      </c>
      <c r="L170" s="2" t="str">
        <f>VLOOKUP(T_Voluntarios[[#This Row],[RUN]],BBDD[],15,FALSE)</f>
        <v>Concepción</v>
      </c>
      <c r="M170" s="2" t="str">
        <f>VLOOKUP(T_Voluntarios[[#This Row],[RUN]],BBDD[],20,FALSE)</f>
        <v>Alimentación Vegetariana</v>
      </c>
      <c r="N170" s="2" t="str">
        <f>VLOOKUP(T_Voluntarios[[#This Row],[RUN]],BBDD[],21,FALSE)</f>
        <v>Ninguna</v>
      </c>
      <c r="O170" s="2" t="str">
        <f>VLOOKUP(T_Voluntarios[[#This Row],[RUN]],BBDD[],22,FALSE)</f>
        <v>Ninguna</v>
      </c>
      <c r="P170" s="2" t="str">
        <f>VLOOKUP(T_Voluntarios[[#This Row],[RUN]],BBDD[],23,FALSE)</f>
        <v>Margarita Escobar  +56998476743</v>
      </c>
      <c r="Q170" s="2" t="str">
        <f>IF(VLOOKUP(T_Voluntarios[[#This Row],[RUN]],BBDD[],27,FALSE)=0,"",VLOOKUP(T_Voluntarios[[#This Row],[RUN]],BBDD[],27,FALSE))</f>
        <v/>
      </c>
      <c r="R170" s="2" t="str">
        <f>VLOOKUP(T_Voluntarios[[#This Row],[RUN]],BBDD[],36,FALSE)</f>
        <v>https://drive.google.com/open?id=1a_7LAqdcwxLWRFcWT6qaQypPkSouJkD6</v>
      </c>
      <c r="S170" s="2" t="str">
        <f>VLOOKUP(T_Voluntarios[[#This Row],[RUN]],BBDD[],16,FALSE)</f>
        <v>Inicial</v>
      </c>
      <c r="T170" s="2" t="str">
        <f>VLOOKUP(T_Voluntarios[[#This Row],[RUN]],BBDD[],17,FALSE)</f>
        <v>Ninguno</v>
      </c>
      <c r="U170" s="2" t="str">
        <f>VLOOKUP(T_Voluntarios[[#This Row],[RUN]],BBDD[],18,FALSE)</f>
        <v>Ninguno</v>
      </c>
      <c r="V170" s="2" t="str">
        <f>VLOOKUP(T_Voluntarios[[#This Row],[RUN]],BBDD[],19,FALSE)</f>
        <v>Ninguno</v>
      </c>
      <c r="W170" s="13" t="str">
        <f>IF(OR(T_Voluntarios[[#This Row],[ROL]]="Formador(a)"),"SI","NO")</f>
        <v>NO</v>
      </c>
      <c r="X170" s="13" t="str">
        <f>IF(ISERROR(VLOOKUP(T_Voluntarios[[#This Row],[RUN]],BBDD_Formadores[],15,FALSE)),"NO",VLOOKUP(T_Voluntarios[[#This Row],[RUN]],BBDD_Formadores[],15,FALSE))</f>
        <v>NO</v>
      </c>
      <c r="Y170" s="13" t="str">
        <f>IF(ISERROR(VLOOKUP(T_Voluntarios[[#This Row],[RUN]],BBDD_Formadores[],16,FALSE)),"NO",VLOOKUP(T_Voluntarios[[#This Row],[RUN]],BBDD_Formadores[],16,FALSE))</f>
        <v>NO</v>
      </c>
      <c r="Z170" s="13" t="str">
        <f>IF(ISERROR(VLOOKUP(T_Voluntarios[[#This Row],[RUN]],BBDD_Formadores[],17,FALSE)),"NO",VLOOKUP(T_Voluntarios[[#This Row],[RUN]],BBDD_Formadores[],17,FALSE))</f>
        <v>NO</v>
      </c>
      <c r="AA170" s="13" t="str">
        <f>IF(ISERROR(VLOOKUP(T_Voluntarios[[#This Row],[RUN]],BBDD_Formadores[],18,FALSE)),"NO",VLOOKUP(T_Voluntarios[[#This Row],[RUN]],BBDD_Formadores[],18,FALSE))</f>
        <v>NO</v>
      </c>
      <c r="AB170" s="13">
        <v>1</v>
      </c>
      <c r="AC170" s="13" t="s">
        <v>1</v>
      </c>
      <c r="AD170" s="13" t="s">
        <v>77</v>
      </c>
      <c r="AF170" s="2" t="str">
        <f>IF(VLOOKUP(T_Voluntarios[[#This Row],[RUN]],BBDD[],25,FALSE)=0,"",VLOOKUP(T_Voluntarios[[#This Row],[RUN]],BBDD[],25,FALSE))</f>
        <v>Ford</v>
      </c>
      <c r="AG170" s="2" t="str">
        <f>IF(VLOOKUP(T_Voluntarios[[#This Row],[RUN]],BBDD[],26,FALSE)=0,"",VLOOKUP(T_Voluntarios[[#This Row],[RUN]],BBDD[],26,FALSE))</f>
        <v>Ford Ranger</v>
      </c>
      <c r="AH170" s="2" t="str">
        <f>IF(VLOOKUP(T_Voluntarios[[#This Row],[RUN]],BBDD[],24,FALSE)=0,"",VLOOKUP(T_Voluntarios[[#This Row],[RUN]],BBDD[],24,FALSE))</f>
        <v>KLTH34</v>
      </c>
      <c r="AI170" s="13" t="str">
        <f>VLOOKUP(T_Voluntarios[[#This Row],[RUN]],BBDD[],28,FALSE)</f>
        <v>SI</v>
      </c>
      <c r="AJ170" s="13" t="str">
        <f>VLOOKUP(T_Voluntarios[[#This Row],[RUN]],BBDD[],28,FALSE)</f>
        <v>SI</v>
      </c>
      <c r="AK170" s="32">
        <f>IF(T_Voluntarios[[#This Row],[ROL]]="Participante",SUMIFS(T_Cuotas[[#All],[Total]],T_Cuotas[[#All],[RUN]],T_Voluntarios[[#This Row],[RUN]]),-1)</f>
        <v>50000</v>
      </c>
      <c r="AL170" s="13" t="s">
        <v>1</v>
      </c>
      <c r="AM170" s="13" t="s">
        <v>2029</v>
      </c>
      <c r="AP170" s="2" t="str">
        <f>MID(T_Voluntarios[[#This Row],[E_MAIL]],SEARCH("@",T_Voluntarios[[#This Row],[E_MAIL]],1),LEN(T_Voluntarios[[#This Row],[E_MAIL]]))</f>
        <v>@gmail.com</v>
      </c>
      <c r="AQ170" s="13" t="str">
        <f>VLOOKUP(T_Voluntarios[[#This Row],[RUN]],BBDD[],37,FALSE)</f>
        <v>24</v>
      </c>
      <c r="AR170" s="2" t="str">
        <f>VLOOKUP(T_Voluntarios[[#This Row],[RUN]],BBDD[],29,FALSE)</f>
        <v>Estudiante universitario</v>
      </c>
      <c r="AS170" s="2" t="str">
        <f>VLOOKUP(T_Voluntarios[[#This Row],[RUN]],BBDD[],30,FALSE)</f>
        <v>10 años</v>
      </c>
      <c r="AT170" s="2" t="str">
        <f>VLOOKUP(T_Voluntarios[[#This Row],[RUN]],BBDD[],31,FALSE)</f>
        <v>5 años</v>
      </c>
      <c r="AU170" s="2" t="str">
        <f>VLOOKUP(T_Voluntarios[[#This Row],[RUN]],BBDD[],32,FALSE)</f>
        <v>Soltero(a)</v>
      </c>
      <c r="AV170" s="2" t="str">
        <f>VLOOKUP(T_Voluntarios[[#This Row],[RUN]],BBDD[],33,FALSE)</f>
        <v>Catolica</v>
      </c>
      <c r="AW170" s="2" t="str">
        <f>VLOOKUP(T_Voluntarios[[#This Row],[RUN]],BBDD[],34,FALSE)</f>
        <v>Rulis</v>
      </c>
      <c r="AX170" s="13" t="s">
        <v>733</v>
      </c>
      <c r="AY170" s="76">
        <f>VLOOKUP(T_Voluntarios[[#This Row],[RUN]],BBDD[],2,FALSE)</f>
        <v>45799.813854436725</v>
      </c>
      <c r="AZ170" s="13" t="s">
        <v>3403</v>
      </c>
    </row>
    <row r="171" spans="1:52" x14ac:dyDescent="0.3">
      <c r="A171" s="2" t="s">
        <v>2540</v>
      </c>
      <c r="B171" s="2" t="str">
        <f>VLOOKUP(T_Voluntarios[[#This Row],[RUN]],BBDD[],3,FALSE)</f>
        <v>tobar3daniel@gmail.com</v>
      </c>
      <c r="C171" s="2" t="str">
        <f>VLOOKUP(T_Voluntarios[[#This Row],[RUN]],BBDD[],4,FALSE)</f>
        <v>Daniel Octavio Tobar Henríquez</v>
      </c>
      <c r="D171" s="16">
        <f>VLOOKUP(T_Voluntarios[[#This Row],[RUN]],BBDD[],5,FALSE)</f>
        <v>37642</v>
      </c>
      <c r="E171" s="2" t="str">
        <f>VLOOKUP(T_Voluntarios[[#This Row],[RUN]],BBDD[],6,FALSE)</f>
        <v>Valladolid 9381</v>
      </c>
      <c r="F171" s="2" t="str">
        <f>VLOOKUP(T_Voluntarios[[#This Row],[RUN]],BBDD[],7,FALSE)</f>
        <v>Hualpén</v>
      </c>
      <c r="G171" s="2" t="str">
        <f>VLOOKUP(T_Voluntarios[[#This Row],[RUN]],BBDD[],8,FALSE)</f>
        <v>Celular</v>
      </c>
      <c r="H171" s="2" t="str">
        <f>IF(VLOOKUP(T_Voluntarios[[#This Row],[RUN]],BBDD[],9,FALSE)=0,"Falta",VLOOKUP(T_Voluntarios[[#This Row],[RUN]],BBDD[],9,FALSE))</f>
        <v>+56964515907</v>
      </c>
      <c r="I171" s="2" t="str">
        <f>VLOOKUP(T_Voluntarios[[#This Row],[RUN]],BBDD[],10,FALSE)</f>
        <v>Participante</v>
      </c>
      <c r="J171" s="2" t="str">
        <f>VLOOKUP(T_Voluntarios[[#This Row],[RUN]],BBDD[],11,FALSE)</f>
        <v>Sagrados Corazones</v>
      </c>
      <c r="K171" s="2" t="str">
        <f>VLOOKUP(T_Voluntarios[[#This Row],[RUN]],BBDD[],12,FALSE)</f>
        <v>Golondrinas</v>
      </c>
      <c r="L171" s="2" t="str">
        <f>VLOOKUP(T_Voluntarios[[#This Row],[RUN]],BBDD[],15,FALSE)</f>
        <v>Concepción</v>
      </c>
      <c r="M171" s="2" t="str">
        <f>VLOOKUP(T_Voluntarios[[#This Row],[RUN]],BBDD[],20,FALSE)</f>
        <v>Alimentación Tradicional</v>
      </c>
      <c r="N171" s="2" t="str">
        <f>VLOOKUP(T_Voluntarios[[#This Row],[RUN]],BBDD[],21,FALSE)</f>
        <v>Ninguna</v>
      </c>
      <c r="O171" s="2" t="str">
        <f>VLOOKUP(T_Voluntarios[[#This Row],[RUN]],BBDD[],22,FALSE)</f>
        <v>Ninguna</v>
      </c>
      <c r="P171" s="2" t="str">
        <f>VLOOKUP(T_Voluntarios[[#This Row],[RUN]],BBDD[],23,FALSE)</f>
        <v>Betty Henríquez +56942433135</v>
      </c>
      <c r="Q171" s="2" t="str">
        <f>IF(VLOOKUP(T_Voluntarios[[#This Row],[RUN]],BBDD[],27,FALSE)=0,"",VLOOKUP(T_Voluntarios[[#This Row],[RUN]],BBDD[],27,FALSE))</f>
        <v/>
      </c>
      <c r="R171" s="2" t="str">
        <f>VLOOKUP(T_Voluntarios[[#This Row],[RUN]],BBDD[],36,FALSE)</f>
        <v>https://drive.google.com/open?id=1HBQ6EmSU8J2YPt0GNBWF-vyNLxf7tGy0</v>
      </c>
      <c r="S171" s="2" t="str">
        <f>VLOOKUP(T_Voluntarios[[#This Row],[RUN]],BBDD[],16,FALSE)</f>
        <v>Inicial</v>
      </c>
      <c r="T171" s="2" t="str">
        <f>VLOOKUP(T_Voluntarios[[#This Row],[RUN]],BBDD[],17,FALSE)</f>
        <v>Ninguno</v>
      </c>
      <c r="U171" s="2" t="str">
        <f>VLOOKUP(T_Voluntarios[[#This Row],[RUN]],BBDD[],18,FALSE)</f>
        <v>Ninguno</v>
      </c>
      <c r="V171" s="2" t="str">
        <f>VLOOKUP(T_Voluntarios[[#This Row],[RUN]],BBDD[],19,FALSE)</f>
        <v>Ninguno</v>
      </c>
      <c r="W171" s="13" t="str">
        <f>IF(OR(T_Voluntarios[[#This Row],[ROL]]="Formador(a)"),"SI","NO")</f>
        <v>NO</v>
      </c>
      <c r="X171" s="13" t="str">
        <f>IF(ISERROR(VLOOKUP(T_Voluntarios[[#This Row],[RUN]],BBDD_Formadores[],15,FALSE)),"NO",VLOOKUP(T_Voluntarios[[#This Row],[RUN]],BBDD_Formadores[],15,FALSE))</f>
        <v>NO</v>
      </c>
      <c r="Y171" s="13" t="str">
        <f>IF(ISERROR(VLOOKUP(T_Voluntarios[[#This Row],[RUN]],BBDD_Formadores[],16,FALSE)),"NO",VLOOKUP(T_Voluntarios[[#This Row],[RUN]],BBDD_Formadores[],16,FALSE))</f>
        <v>NO</v>
      </c>
      <c r="Z171" s="13" t="str">
        <f>IF(ISERROR(VLOOKUP(T_Voluntarios[[#This Row],[RUN]],BBDD_Formadores[],17,FALSE)),"NO",VLOOKUP(T_Voluntarios[[#This Row],[RUN]],BBDD_Formadores[],17,FALSE))</f>
        <v>NO</v>
      </c>
      <c r="AA171" s="13" t="str">
        <f>IF(ISERROR(VLOOKUP(T_Voluntarios[[#This Row],[RUN]],BBDD_Formadores[],18,FALSE)),"NO",VLOOKUP(T_Voluntarios[[#This Row],[RUN]],BBDD_Formadores[],18,FALSE))</f>
        <v>NO</v>
      </c>
      <c r="AB171" s="13">
        <v>1</v>
      </c>
      <c r="AC171" s="13" t="s">
        <v>1</v>
      </c>
      <c r="AD171" s="13" t="s">
        <v>77</v>
      </c>
      <c r="AF171" s="2" t="str">
        <f>IF(VLOOKUP(T_Voluntarios[[#This Row],[RUN]],BBDD[],25,FALSE)=0,"",VLOOKUP(T_Voluntarios[[#This Row],[RUN]],BBDD[],25,FALSE))</f>
        <v/>
      </c>
      <c r="AG171" s="2" t="str">
        <f>IF(VLOOKUP(T_Voluntarios[[#This Row],[RUN]],BBDD[],26,FALSE)=0,"",VLOOKUP(T_Voluntarios[[#This Row],[RUN]],BBDD[],26,FALSE))</f>
        <v/>
      </c>
      <c r="AH171" s="2" t="str">
        <f>IF(VLOOKUP(T_Voluntarios[[#This Row],[RUN]],BBDD[],24,FALSE)=0,"",VLOOKUP(T_Voluntarios[[#This Row],[RUN]],BBDD[],24,FALSE))</f>
        <v/>
      </c>
      <c r="AI171" s="13" t="str">
        <f>VLOOKUP(T_Voluntarios[[#This Row],[RUN]],BBDD[],28,FALSE)</f>
        <v>SI</v>
      </c>
      <c r="AJ171" s="13" t="str">
        <f>VLOOKUP(T_Voluntarios[[#This Row],[RUN]],BBDD[],28,FALSE)</f>
        <v>SI</v>
      </c>
      <c r="AK171" s="32">
        <f>IF(T_Voluntarios[[#This Row],[ROL]]="Participante",SUMIFS(T_Cuotas[[#All],[Total]],T_Cuotas[[#All],[RUN]],T_Voluntarios[[#This Row],[RUN]]),-1)</f>
        <v>50000</v>
      </c>
      <c r="AL171" s="13" t="s">
        <v>1</v>
      </c>
      <c r="AM171" s="13" t="s">
        <v>2029</v>
      </c>
      <c r="AP171" s="2" t="str">
        <f>MID(T_Voluntarios[[#This Row],[E_MAIL]],SEARCH("@",T_Voluntarios[[#This Row],[E_MAIL]],1),LEN(T_Voluntarios[[#This Row],[E_MAIL]]))</f>
        <v>@gmail.com</v>
      </c>
      <c r="AQ171" s="13" t="str">
        <f>VLOOKUP(T_Voluntarios[[#This Row],[RUN]],BBDD[],37,FALSE)</f>
        <v>22</v>
      </c>
      <c r="AR171" s="2" t="str">
        <f>VLOOKUP(T_Voluntarios[[#This Row],[RUN]],BBDD[],29,FALSE)</f>
        <v>Desempleado</v>
      </c>
      <c r="AS171" s="2" t="str">
        <f>VLOOKUP(T_Voluntarios[[#This Row],[RUN]],BBDD[],30,FALSE)</f>
        <v>10 años como beneficiario</v>
      </c>
      <c r="AT171" s="2" t="str">
        <f>VLOOKUP(T_Voluntarios[[#This Row],[RUN]],BBDD[],31,FALSE)</f>
        <v>2 años</v>
      </c>
      <c r="AU171" s="2" t="str">
        <f>VLOOKUP(T_Voluntarios[[#This Row],[RUN]],BBDD[],32,FALSE)</f>
        <v>Soltero(a)</v>
      </c>
      <c r="AV171" s="2" t="str">
        <f>VLOOKUP(T_Voluntarios[[#This Row],[RUN]],BBDD[],33,FALSE)</f>
        <v>Ninguna</v>
      </c>
      <c r="AW171" s="2" t="str">
        <f>VLOOKUP(T_Voluntarios[[#This Row],[RUN]],BBDD[],34,FALSE)</f>
        <v>Tobar</v>
      </c>
      <c r="AX171" s="13" t="s">
        <v>733</v>
      </c>
      <c r="AY171" s="76">
        <f>VLOOKUP(T_Voluntarios[[#This Row],[RUN]],BBDD[],2,FALSE)</f>
        <v>45799.838273186731</v>
      </c>
      <c r="AZ171" s="13" t="s">
        <v>3403</v>
      </c>
    </row>
    <row r="172" spans="1:52" x14ac:dyDescent="0.3">
      <c r="A172" s="2" t="s">
        <v>2618</v>
      </c>
      <c r="B172" s="2" t="str">
        <f>VLOOKUP(T_Voluntarios[[#This Row],[RUN]],BBDD[],3,FALSE)</f>
        <v>fran.aguima@gmail.com</v>
      </c>
      <c r="C172" s="2" t="str">
        <f>VLOOKUP(T_Voluntarios[[#This Row],[RUN]],BBDD[],4,FALSE)</f>
        <v>Francisca Antonia Aguilera Maldonado</v>
      </c>
      <c r="D172" s="16">
        <f>VLOOKUP(T_Voluntarios[[#This Row],[RUN]],BBDD[],5,FALSE)</f>
        <v>36808</v>
      </c>
      <c r="E172" s="2" t="str">
        <f>VLOOKUP(T_Voluntarios[[#This Row],[RUN]],BBDD[],6,FALSE)</f>
        <v>las violetas 1652</v>
      </c>
      <c r="F172" s="2" t="str">
        <f>VLOOKUP(T_Voluntarios[[#This Row],[RUN]],BBDD[],7,FALSE)</f>
        <v>San Pedro De La Paz</v>
      </c>
      <c r="G172" s="2" t="str">
        <f>VLOOKUP(T_Voluntarios[[#This Row],[RUN]],BBDD[],8,FALSE)</f>
        <v>Celular</v>
      </c>
      <c r="H172" s="2" t="str">
        <f>IF(VLOOKUP(T_Voluntarios[[#This Row],[RUN]],BBDD[],9,FALSE)=0,"Falta",VLOOKUP(T_Voluntarios[[#This Row],[RUN]],BBDD[],9,FALSE))</f>
        <v>+56976704907</v>
      </c>
      <c r="I172" s="2" t="str">
        <f>VLOOKUP(T_Voluntarios[[#This Row],[RUN]],BBDD[],10,FALSE)</f>
        <v>Participante</v>
      </c>
      <c r="J172" s="2" t="str">
        <f>VLOOKUP(T_Voluntarios[[#This Row],[RUN]],BBDD[],11,FALSE)</f>
        <v>Sagrados Corazones</v>
      </c>
      <c r="K172" s="2" t="str">
        <f>VLOOKUP(T_Voluntarios[[#This Row],[RUN]],BBDD[],12,FALSE)</f>
        <v>Pioneros</v>
      </c>
      <c r="L172" s="2" t="str">
        <f>VLOOKUP(T_Voluntarios[[#This Row],[RUN]],BBDD[],15,FALSE)</f>
        <v>Concepción</v>
      </c>
      <c r="M172" s="2" t="str">
        <f>VLOOKUP(T_Voluntarios[[#This Row],[RUN]],BBDD[],20,FALSE)</f>
        <v>Alimentación Vegetariana</v>
      </c>
      <c r="N172" s="2" t="str">
        <f>VLOOKUP(T_Voluntarios[[#This Row],[RUN]],BBDD[],21,FALSE)</f>
        <v>Ninguna</v>
      </c>
      <c r="O172" s="2" t="str">
        <f>VLOOKUP(T_Voluntarios[[#This Row],[RUN]],BBDD[],22,FALSE)</f>
        <v>Ninguna</v>
      </c>
      <c r="P172" s="2" t="str">
        <f>VLOOKUP(T_Voluntarios[[#This Row],[RUN]],BBDD[],23,FALSE)</f>
        <v>Rose Marie Maldonado +56939619555</v>
      </c>
      <c r="Q172" s="2" t="str">
        <f>IF(VLOOKUP(T_Voluntarios[[#This Row],[RUN]],BBDD[],27,FALSE)=0,"",VLOOKUP(T_Voluntarios[[#This Row],[RUN]],BBDD[],27,FALSE))</f>
        <v/>
      </c>
      <c r="R172" s="2" t="str">
        <f>VLOOKUP(T_Voluntarios[[#This Row],[RUN]],BBDD[],36,FALSE)</f>
        <v>https://drive.google.com/open?id=1zS7eJEnRvvP-lSpt1pAcpXhsbXd_lucd</v>
      </c>
      <c r="S172" s="2" t="str">
        <f>VLOOKUP(T_Voluntarios[[#This Row],[RUN]],BBDD[],16,FALSE)</f>
        <v>Inicial</v>
      </c>
      <c r="T172" s="2" t="str">
        <f>VLOOKUP(T_Voluntarios[[#This Row],[RUN]],BBDD[],17,FALSE)</f>
        <v>Ninguno</v>
      </c>
      <c r="U172" s="2" t="str">
        <f>VLOOKUP(T_Voluntarios[[#This Row],[RUN]],BBDD[],18,FALSE)</f>
        <v>Guias</v>
      </c>
      <c r="V172" s="2" t="str">
        <f>VLOOKUP(T_Voluntarios[[#This Row],[RUN]],BBDD[],19,FALSE)</f>
        <v>Ninguno</v>
      </c>
      <c r="W172" s="13" t="str">
        <f>IF(OR(T_Voluntarios[[#This Row],[ROL]]="Formador(a)"),"SI","NO")</f>
        <v>NO</v>
      </c>
      <c r="X172" s="13" t="str">
        <f>IF(ISERROR(VLOOKUP(T_Voluntarios[[#This Row],[RUN]],BBDD_Formadores[],15,FALSE)),"NO",VLOOKUP(T_Voluntarios[[#This Row],[RUN]],BBDD_Formadores[],15,FALSE))</f>
        <v>NO</v>
      </c>
      <c r="Y172" s="13" t="str">
        <f>IF(ISERROR(VLOOKUP(T_Voluntarios[[#This Row],[RUN]],BBDD_Formadores[],16,FALSE)),"NO",VLOOKUP(T_Voluntarios[[#This Row],[RUN]],BBDD_Formadores[],16,FALSE))</f>
        <v>NO</v>
      </c>
      <c r="Z172" s="13" t="str">
        <f>IF(ISERROR(VLOOKUP(T_Voluntarios[[#This Row],[RUN]],BBDD_Formadores[],17,FALSE)),"NO",VLOOKUP(T_Voluntarios[[#This Row],[RUN]],BBDD_Formadores[],17,FALSE))</f>
        <v>NO</v>
      </c>
      <c r="AA172" s="13" t="str">
        <f>IF(ISERROR(VLOOKUP(T_Voluntarios[[#This Row],[RUN]],BBDD_Formadores[],18,FALSE)),"NO",VLOOKUP(T_Voluntarios[[#This Row],[RUN]],BBDD_Formadores[],18,FALSE))</f>
        <v>NO</v>
      </c>
      <c r="AB172" s="13">
        <v>1</v>
      </c>
      <c r="AC172" s="13" t="s">
        <v>1</v>
      </c>
      <c r="AD172" s="13" t="s">
        <v>77</v>
      </c>
      <c r="AF172" s="2" t="str">
        <f>IF(VLOOKUP(T_Voluntarios[[#This Row],[RUN]],BBDD[],25,FALSE)=0,"",VLOOKUP(T_Voluntarios[[#This Row],[RUN]],BBDD[],25,FALSE))</f>
        <v/>
      </c>
      <c r="AG172" s="2" t="str">
        <f>IF(VLOOKUP(T_Voluntarios[[#This Row],[RUN]],BBDD[],26,FALSE)=0,"",VLOOKUP(T_Voluntarios[[#This Row],[RUN]],BBDD[],26,FALSE))</f>
        <v/>
      </c>
      <c r="AH172" s="2" t="str">
        <f>IF(VLOOKUP(T_Voluntarios[[#This Row],[RUN]],BBDD[],24,FALSE)=0,"",VLOOKUP(T_Voluntarios[[#This Row],[RUN]],BBDD[],24,FALSE))</f>
        <v/>
      </c>
      <c r="AI172" s="13" t="str">
        <f>VLOOKUP(T_Voluntarios[[#This Row],[RUN]],BBDD[],28,FALSE)</f>
        <v>SI</v>
      </c>
      <c r="AJ172" s="13" t="str">
        <f>VLOOKUP(T_Voluntarios[[#This Row],[RUN]],BBDD[],28,FALSE)</f>
        <v>SI</v>
      </c>
      <c r="AK172" s="32">
        <f>IF(T_Voluntarios[[#This Row],[ROL]]="Participante",SUMIFS(T_Cuotas[[#All],[Total]],T_Cuotas[[#All],[RUN]],T_Voluntarios[[#This Row],[RUN]]),-1)</f>
        <v>50000</v>
      </c>
      <c r="AL172" s="13" t="s">
        <v>1</v>
      </c>
      <c r="AM172" s="13" t="s">
        <v>2029</v>
      </c>
      <c r="AP172" s="2" t="str">
        <f>MID(T_Voluntarios[[#This Row],[E_MAIL]],SEARCH("@",T_Voluntarios[[#This Row],[E_MAIL]],1),LEN(T_Voluntarios[[#This Row],[E_MAIL]]))</f>
        <v>@gmail.com</v>
      </c>
      <c r="AQ172" s="13" t="str">
        <f>VLOOKUP(T_Voluntarios[[#This Row],[RUN]],BBDD[],37,FALSE)</f>
        <v>24</v>
      </c>
      <c r="AR172" s="2" t="str">
        <f>VLOOKUP(T_Voluntarios[[#This Row],[RUN]],BBDD[],29,FALSE)</f>
        <v>Estudiante</v>
      </c>
      <c r="AS172" s="2" t="str">
        <f>VLOOKUP(T_Voluntarios[[#This Row],[RUN]],BBDD[],30,FALSE)</f>
        <v>10 años</v>
      </c>
      <c r="AT172" s="2" t="str">
        <f>VLOOKUP(T_Voluntarios[[#This Row],[RUN]],BBDD[],31,FALSE)</f>
        <v>los sabados</v>
      </c>
      <c r="AU172" s="2" t="str">
        <f>VLOOKUP(T_Voluntarios[[#This Row],[RUN]],BBDD[],32,FALSE)</f>
        <v>Soltero(a)</v>
      </c>
      <c r="AV172" s="2" t="str">
        <f>VLOOKUP(T_Voluntarios[[#This Row],[RUN]],BBDD[],33,FALSE)</f>
        <v>Ninguna</v>
      </c>
      <c r="AW172" s="2" t="str">
        <f>VLOOKUP(T_Voluntarios[[#This Row],[RUN]],BBDD[],34,FALSE)</f>
        <v>Fran</v>
      </c>
      <c r="AX172" s="13" t="s">
        <v>733</v>
      </c>
      <c r="AY172" s="76">
        <f>VLOOKUP(T_Voluntarios[[#This Row],[RUN]],BBDD[],2,FALSE)</f>
        <v>45799.84542307099</v>
      </c>
      <c r="AZ172" s="13" t="s">
        <v>3403</v>
      </c>
    </row>
    <row r="173" spans="1:52" x14ac:dyDescent="0.3">
      <c r="A173" s="2" t="s">
        <v>2691</v>
      </c>
      <c r="B173" s="2" t="str">
        <f>VLOOKUP(T_Voluntarios[[#This Row],[RUN]],BBDD[],3,FALSE)</f>
        <v>ffuentes@guiasyscoutschile.cl</v>
      </c>
      <c r="C173" s="2" t="str">
        <f>VLOOKUP(T_Voluntarios[[#This Row],[RUN]],BBDD[],4,FALSE)</f>
        <v>Fernando Antonio Fuentes Riveros</v>
      </c>
      <c r="D173" s="16">
        <f>VLOOKUP(T_Voluntarios[[#This Row],[RUN]],BBDD[],5,FALSE)</f>
        <v>28933</v>
      </c>
      <c r="E173" s="2" t="str">
        <f>VLOOKUP(T_Voluntarios[[#This Row],[RUN]],BBDD[],6,FALSE)</f>
        <v>Los Hualles s/n , Chancoyan, Valdivia</v>
      </c>
      <c r="F173" s="2" t="str">
        <f>VLOOKUP(T_Voluntarios[[#This Row],[RUN]],BBDD[],7,FALSE)</f>
        <v>Valdivia</v>
      </c>
      <c r="G173" s="2" t="str">
        <f>VLOOKUP(T_Voluntarios[[#This Row],[RUN]],BBDD[],8,FALSE)</f>
        <v>Celular</v>
      </c>
      <c r="H173" s="2" t="str">
        <f>IF(VLOOKUP(T_Voluntarios[[#This Row],[RUN]],BBDD[],9,FALSE)=0,"Falta",VLOOKUP(T_Voluntarios[[#This Row],[RUN]],BBDD[],9,FALSE))</f>
        <v>+56978096807</v>
      </c>
      <c r="I173" s="2" t="str">
        <f>VLOOKUP(T_Voluntarios[[#This Row],[RUN]],BBDD[],10,FALSE)</f>
        <v>Formador(a)</v>
      </c>
      <c r="J173" s="2" t="str">
        <f>VLOOKUP(T_Voluntarios[[#This Row],[RUN]],BBDD[],11,FALSE)</f>
        <v>Dr. Clemente Holzapfel</v>
      </c>
      <c r="K173" s="2" t="str">
        <f>VLOOKUP(T_Voluntarios[[#This Row],[RUN]],BBDD[],12,FALSE)</f>
        <v>Caminantes</v>
      </c>
      <c r="L173" s="2" t="str">
        <f>VLOOKUP(T_Voluntarios[[#This Row],[RUN]],BBDD[],15,FALSE)</f>
        <v>Los Rios</v>
      </c>
      <c r="M173" s="2" t="str">
        <f>VLOOKUP(T_Voluntarios[[#This Row],[RUN]],BBDD[],20,FALSE)</f>
        <v>Alimentación Tradicional</v>
      </c>
      <c r="N173" s="2" t="str">
        <f>VLOOKUP(T_Voluntarios[[#This Row],[RUN]],BBDD[],21,FALSE)</f>
        <v>Ninguna</v>
      </c>
      <c r="O173" s="2" t="str">
        <f>VLOOKUP(T_Voluntarios[[#This Row],[RUN]],BBDD[],22,FALSE)</f>
        <v>Ninguna</v>
      </c>
      <c r="P173" s="2" t="str">
        <f>VLOOKUP(T_Voluntarios[[#This Row],[RUN]],BBDD[],23,FALSE)</f>
        <v>Fabiola Letelier+56963413456</v>
      </c>
      <c r="Q173" s="2" t="str">
        <f>IF(VLOOKUP(T_Voluntarios[[#This Row],[RUN]],BBDD[],27,FALSE)=0,"",VLOOKUP(T_Voluntarios[[#This Row],[RUN]],BBDD[],27,FALSE))</f>
        <v/>
      </c>
      <c r="R173" s="2" t="str">
        <f>VLOOKUP(T_Voluntarios[[#This Row],[RUN]],BBDD[],36,FALSE)</f>
        <v>https://drive.google.com/open?id=1-vM3FFeW8ihCeY3l0T8zuNJhb02-rJIF</v>
      </c>
      <c r="S173" s="2" t="str">
        <f>VLOOKUP(T_Voluntarios[[#This Row],[RUN]],BBDD[],16,FALSE)</f>
        <v>Avanzado</v>
      </c>
      <c r="T173" s="2" t="str">
        <f>VLOOKUP(T_Voluntarios[[#This Row],[RUN]],BBDD[],17,FALSE)</f>
        <v>9528</v>
      </c>
      <c r="U173" s="2" t="str">
        <f>VLOOKUP(T_Voluntarios[[#This Row],[RUN]],BBDD[],18,FALSE)</f>
        <v>Guias, Caminantes</v>
      </c>
      <c r="V173" s="2" t="str">
        <f>VLOOKUP(T_Voluntarios[[#This Row],[RUN]],BBDD[],19,FALSE)</f>
        <v>Caminantes</v>
      </c>
      <c r="W173" s="13" t="str">
        <f>IF(OR(T_Voluntarios[[#This Row],[ROL]]="Formador(a)"),"SI","NO")</f>
        <v>SI</v>
      </c>
      <c r="X173" s="13" t="str">
        <f>IF(ISERROR(VLOOKUP(T_Voluntarios[[#This Row],[RUN]],BBDD_Formadores[],15,FALSE)),"NO",VLOOKUP(T_Voluntarios[[#This Row],[RUN]],BBDD_Formadores[],15,FALSE))</f>
        <v>NO</v>
      </c>
      <c r="Y173" s="13" t="str">
        <f>IF(ISERROR(VLOOKUP(T_Voluntarios[[#This Row],[RUN]],BBDD_Formadores[],16,FALSE)),"NO",VLOOKUP(T_Voluntarios[[#This Row],[RUN]],BBDD_Formadores[],16,FALSE))</f>
        <v>NO</v>
      </c>
      <c r="Z173" s="13" t="str">
        <f>IF(ISERROR(VLOOKUP(T_Voluntarios[[#This Row],[RUN]],BBDD_Formadores[],17,FALSE)),"NO",VLOOKUP(T_Voluntarios[[#This Row],[RUN]],BBDD_Formadores[],17,FALSE))</f>
        <v>NO</v>
      </c>
      <c r="AA173" s="13" t="str">
        <f>IF(ISERROR(VLOOKUP(T_Voluntarios[[#This Row],[RUN]],BBDD_Formadores[],18,FALSE)),"NO",VLOOKUP(T_Voluntarios[[#This Row],[RUN]],BBDD_Formadores[],18,FALSE))</f>
        <v>NO</v>
      </c>
      <c r="AB173" s="13">
        <v>1</v>
      </c>
      <c r="AC173" s="13" t="s">
        <v>1</v>
      </c>
      <c r="AD173" s="13" t="s">
        <v>77</v>
      </c>
      <c r="AF173" s="2" t="str">
        <f>IF(VLOOKUP(T_Voluntarios[[#This Row],[RUN]],BBDD[],25,FALSE)=0,"",VLOOKUP(T_Voluntarios[[#This Row],[RUN]],BBDD[],25,FALSE))</f>
        <v>changan</v>
      </c>
      <c r="AG173" s="2" t="str">
        <f>IF(VLOOKUP(T_Voluntarios[[#This Row],[RUN]],BBDD[],26,FALSE)=0,"",VLOOKUP(T_Voluntarios[[#This Row],[RUN]],BBDD[],26,FALSE))</f>
        <v>Hunter</v>
      </c>
      <c r="AH173" s="2" t="str">
        <f>IF(VLOOKUP(T_Voluntarios[[#This Row],[RUN]],BBDD[],24,FALSE)=0,"",VLOOKUP(T_Voluntarios[[#This Row],[RUN]],BBDD[],24,FALSE))</f>
        <v>PYLW89</v>
      </c>
      <c r="AI173" s="13" t="str">
        <f>VLOOKUP(T_Voluntarios[[#This Row],[RUN]],BBDD[],28,FALSE)</f>
        <v>SI</v>
      </c>
      <c r="AJ173" s="13" t="str">
        <f>VLOOKUP(T_Voluntarios[[#This Row],[RUN]],BBDD[],28,FALSE)</f>
        <v>SI</v>
      </c>
      <c r="AK173" s="32">
        <f>IF(T_Voluntarios[[#This Row],[ROL]]="Participante",SUMIFS(T_Cuotas[[#All],[Total]],T_Cuotas[[#All],[RUN]],T_Voluntarios[[#This Row],[RUN]]),-1)</f>
        <v>-1</v>
      </c>
      <c r="AL173" s="13" t="s">
        <v>1</v>
      </c>
      <c r="AM173" s="13" t="s">
        <v>2029</v>
      </c>
      <c r="AP173" s="2" t="str">
        <f>MID(T_Voluntarios[[#This Row],[E_MAIL]],SEARCH("@",T_Voluntarios[[#This Row],[E_MAIL]],1),LEN(T_Voluntarios[[#This Row],[E_MAIL]]))</f>
        <v>@guiasyscoutschile.cl</v>
      </c>
      <c r="AQ173" s="13" t="str">
        <f>VLOOKUP(T_Voluntarios[[#This Row],[RUN]],BBDD[],37,FALSE)</f>
        <v>46</v>
      </c>
      <c r="AR173" s="2" t="str">
        <f>VLOOKUP(T_Voluntarios[[#This Row],[RUN]],BBDD[],29,FALSE)</f>
        <v>ingeniero en Maderas</v>
      </c>
      <c r="AS173" s="2" t="str">
        <f>VLOOKUP(T_Voluntarios[[#This Row],[RUN]],BBDD[],30,FALSE)</f>
        <v>12</v>
      </c>
      <c r="AT173" s="2" t="str">
        <f>VLOOKUP(T_Voluntarios[[#This Row],[RUN]],BBDD[],31,FALSE)</f>
        <v>25</v>
      </c>
      <c r="AU173" s="2" t="str">
        <f>VLOOKUP(T_Voluntarios[[#This Row],[RUN]],BBDD[],32,FALSE)</f>
        <v>Conviviente Civil</v>
      </c>
      <c r="AV173" s="2" t="str">
        <f>VLOOKUP(T_Voluntarios[[#This Row],[RUN]],BBDD[],33,FALSE)</f>
        <v>Ninguna</v>
      </c>
      <c r="AW173" s="2" t="str">
        <f>VLOOKUP(T_Voluntarios[[#This Row],[RUN]],BBDD[],34,FALSE)</f>
        <v>Feña</v>
      </c>
      <c r="AX173" s="13" t="s">
        <v>733</v>
      </c>
      <c r="AY173" s="76">
        <f>VLOOKUP(T_Voluntarios[[#This Row],[RUN]],BBDD[],2,FALSE)</f>
        <v>45799.907124074074</v>
      </c>
      <c r="AZ173" s="13" t="s">
        <v>2</v>
      </c>
    </row>
    <row r="174" spans="1:52" x14ac:dyDescent="0.3">
      <c r="A174" s="2" t="s">
        <v>2591</v>
      </c>
      <c r="B174" s="2" t="str">
        <f>VLOOKUP(T_Voluntarios[[#This Row],[RUN]],BBDD[],3,FALSE)</f>
        <v>coca32729@gmail.com</v>
      </c>
      <c r="C174" s="2" t="str">
        <f>VLOOKUP(T_Voluntarios[[#This Row],[RUN]],BBDD[],4,FALSE)</f>
        <v>Macarena Vanessa Lavanderos Alarcon</v>
      </c>
      <c r="D174" s="16">
        <f>VLOOKUP(T_Voluntarios[[#This Row],[RUN]],BBDD[],5,FALSE)</f>
        <v>25651</v>
      </c>
      <c r="E174" s="2" t="str">
        <f>VLOOKUP(T_Voluntarios[[#This Row],[RUN]],BBDD[],6,FALSE)</f>
        <v>Manuel Bayon 3429</v>
      </c>
      <c r="F174" s="2" t="str">
        <f>VLOOKUP(T_Voluntarios[[#This Row],[RUN]],BBDD[],7,FALSE)</f>
        <v>Talcahuano</v>
      </c>
      <c r="G174" s="2" t="str">
        <f>VLOOKUP(T_Voluntarios[[#This Row],[RUN]],BBDD[],8,FALSE)</f>
        <v>Celular</v>
      </c>
      <c r="H174" s="2" t="str">
        <f>IF(VLOOKUP(T_Voluntarios[[#This Row],[RUN]],BBDD[],9,FALSE)=0,"Falta",VLOOKUP(T_Voluntarios[[#This Row],[RUN]],BBDD[],9,FALSE))</f>
        <v>+56998425807</v>
      </c>
      <c r="I174" s="2" t="str">
        <f>VLOOKUP(T_Voluntarios[[#This Row],[RUN]],BBDD[],10,FALSE)</f>
        <v>Participante</v>
      </c>
      <c r="J174" s="2" t="str">
        <f>VLOOKUP(T_Voluntarios[[#This Row],[RUN]],BBDD[],11,FALSE)</f>
        <v>Espíritu Santo</v>
      </c>
      <c r="K174" s="2" t="str">
        <f>VLOOKUP(T_Voluntarios[[#This Row],[RUN]],BBDD[],12,FALSE)</f>
        <v>Golondrinas</v>
      </c>
      <c r="L174" s="2" t="str">
        <f>VLOOKUP(T_Voluntarios[[#This Row],[RUN]],BBDD[],15,FALSE)</f>
        <v>Talcahuano - Hualpén</v>
      </c>
      <c r="M174" s="2" t="str">
        <f>VLOOKUP(T_Voluntarios[[#This Row],[RUN]],BBDD[],20,FALSE)</f>
        <v>Alimentación Tradicional</v>
      </c>
      <c r="N174" s="2" t="str">
        <f>VLOOKUP(T_Voluntarios[[#This Row],[RUN]],BBDD[],21,FALSE)</f>
        <v>Ninguna</v>
      </c>
      <c r="O174" s="2" t="str">
        <f>VLOOKUP(T_Voluntarios[[#This Row],[RUN]],BBDD[],22,FALSE)</f>
        <v>Ninguna</v>
      </c>
      <c r="P174" s="2" t="str">
        <f>VLOOKUP(T_Voluntarios[[#This Row],[RUN]],BBDD[],23,FALSE)</f>
        <v>Bernardo Ruiz +56976952713</v>
      </c>
      <c r="Q174" s="2" t="str">
        <f>IF(VLOOKUP(T_Voluntarios[[#This Row],[RUN]],BBDD[],27,FALSE)=0,"",VLOOKUP(T_Voluntarios[[#This Row],[RUN]],BBDD[],27,FALSE))</f>
        <v>No</v>
      </c>
      <c r="R174" s="2" t="str">
        <f>VLOOKUP(T_Voluntarios[[#This Row],[RUN]],BBDD[],36,FALSE)</f>
        <v>https://drive.google.com/open?id=1UNtFgwMaP9O3Qxsr3QU26lc5Nqrc3xEc</v>
      </c>
      <c r="S174" s="2" t="str">
        <f>VLOOKUP(T_Voluntarios[[#This Row],[RUN]],BBDD[],16,FALSE)</f>
        <v>Inicial</v>
      </c>
      <c r="T174" s="2" t="str">
        <f>VLOOKUP(T_Voluntarios[[#This Row],[RUN]],BBDD[],17,FALSE)</f>
        <v>Ninguno</v>
      </c>
      <c r="U174" s="2" t="str">
        <f>VLOOKUP(T_Voluntarios[[#This Row],[RUN]],BBDD[],18,FALSE)</f>
        <v>Ninguno</v>
      </c>
      <c r="V174" s="2" t="str">
        <f>VLOOKUP(T_Voluntarios[[#This Row],[RUN]],BBDD[],19,FALSE)</f>
        <v>Ninguno</v>
      </c>
      <c r="W174" s="13" t="str">
        <f>IF(OR(T_Voluntarios[[#This Row],[ROL]]="Formador(a)"),"SI","NO")</f>
        <v>NO</v>
      </c>
      <c r="X174" s="13" t="str">
        <f>IF(ISERROR(VLOOKUP(T_Voluntarios[[#This Row],[RUN]],BBDD_Formadores[],15,FALSE)),"NO",VLOOKUP(T_Voluntarios[[#This Row],[RUN]],BBDD_Formadores[],15,FALSE))</f>
        <v>NO</v>
      </c>
      <c r="Y174" s="13" t="str">
        <f>IF(ISERROR(VLOOKUP(T_Voluntarios[[#This Row],[RUN]],BBDD_Formadores[],16,FALSE)),"NO",VLOOKUP(T_Voluntarios[[#This Row],[RUN]],BBDD_Formadores[],16,FALSE))</f>
        <v>NO</v>
      </c>
      <c r="Z174" s="13" t="str">
        <f>IF(ISERROR(VLOOKUP(T_Voluntarios[[#This Row],[RUN]],BBDD_Formadores[],17,FALSE)),"NO",VLOOKUP(T_Voluntarios[[#This Row],[RUN]],BBDD_Formadores[],17,FALSE))</f>
        <v>NO</v>
      </c>
      <c r="AA174" s="13" t="str">
        <f>IF(ISERROR(VLOOKUP(T_Voluntarios[[#This Row],[RUN]],BBDD_Formadores[],18,FALSE)),"NO",VLOOKUP(T_Voluntarios[[#This Row],[RUN]],BBDD_Formadores[],18,FALSE))</f>
        <v>NO</v>
      </c>
      <c r="AB174" s="13">
        <v>1</v>
      </c>
      <c r="AC174" s="13" t="s">
        <v>1</v>
      </c>
      <c r="AD174" s="13" t="s">
        <v>77</v>
      </c>
      <c r="AF174" s="2" t="str">
        <f>IF(VLOOKUP(T_Voluntarios[[#This Row],[RUN]],BBDD[],25,FALSE)=0,"",VLOOKUP(T_Voluntarios[[#This Row],[RUN]],BBDD[],25,FALSE))</f>
        <v>Chery</v>
      </c>
      <c r="AG174" s="2" t="str">
        <f>IF(VLOOKUP(T_Voluntarios[[#This Row],[RUN]],BBDD[],26,FALSE)=0,"",VLOOKUP(T_Voluntarios[[#This Row],[RUN]],BBDD[],26,FALSE))</f>
        <v>Tiggo</v>
      </c>
      <c r="AH174" s="2" t="str">
        <f>IF(VLOOKUP(T_Voluntarios[[#This Row],[RUN]],BBDD[],24,FALSE)=0,"",VLOOKUP(T_Voluntarios[[#This Row],[RUN]],BBDD[],24,FALSE))</f>
        <v>GTXR33</v>
      </c>
      <c r="AI174" s="13" t="str">
        <f>VLOOKUP(T_Voluntarios[[#This Row],[RUN]],BBDD[],28,FALSE)</f>
        <v>SI</v>
      </c>
      <c r="AJ174" s="13" t="str">
        <f>VLOOKUP(T_Voluntarios[[#This Row],[RUN]],BBDD[],28,FALSE)</f>
        <v>SI</v>
      </c>
      <c r="AK174" s="32">
        <f>IF(T_Voluntarios[[#This Row],[ROL]]="Participante",SUMIFS(T_Cuotas[[#All],[Total]],T_Cuotas[[#All],[RUN]],T_Voluntarios[[#This Row],[RUN]]),-1)</f>
        <v>50000</v>
      </c>
      <c r="AL174" s="13" t="s">
        <v>1</v>
      </c>
      <c r="AM174" s="13" t="s">
        <v>2029</v>
      </c>
      <c r="AP174" s="2" t="str">
        <f>MID(T_Voluntarios[[#This Row],[E_MAIL]],SEARCH("@",T_Voluntarios[[#This Row],[E_MAIL]],1),LEN(T_Voluntarios[[#This Row],[E_MAIL]]))</f>
        <v>@gmail.com</v>
      </c>
      <c r="AQ174" s="13" t="str">
        <f>VLOOKUP(T_Voluntarios[[#This Row],[RUN]],BBDD[],37,FALSE)</f>
        <v>55</v>
      </c>
      <c r="AR174" s="2" t="str">
        <f>VLOOKUP(T_Voluntarios[[#This Row],[RUN]],BBDD[],29,FALSE)</f>
        <v>Sociologa</v>
      </c>
      <c r="AS174" s="2" t="str">
        <f>VLOOKUP(T_Voluntarios[[#This Row],[RUN]],BBDD[],30,FALSE)</f>
        <v>No</v>
      </c>
      <c r="AT174" s="2" t="str">
        <f>VLOOKUP(T_Voluntarios[[#This Row],[RUN]],BBDD[],31,FALSE)</f>
        <v>10 años en catequesis</v>
      </c>
      <c r="AU174" s="2" t="str">
        <f>VLOOKUP(T_Voluntarios[[#This Row],[RUN]],BBDD[],32,FALSE)</f>
        <v>Casado(a)</v>
      </c>
      <c r="AV174" s="2" t="str">
        <f>VLOOKUP(T_Voluntarios[[#This Row],[RUN]],BBDD[],33,FALSE)</f>
        <v>Catolica</v>
      </c>
      <c r="AW174" s="2" t="str">
        <f>VLOOKUP(T_Voluntarios[[#This Row],[RUN]],BBDD[],34,FALSE)</f>
        <v>Coca</v>
      </c>
      <c r="AX174" s="13" t="s">
        <v>733</v>
      </c>
      <c r="AY174" s="76">
        <f>VLOOKUP(T_Voluntarios[[#This Row],[RUN]],BBDD[],2,FALSE)</f>
        <v>45799.939343827158</v>
      </c>
      <c r="AZ174" s="13" t="s">
        <v>3403</v>
      </c>
    </row>
    <row r="175" spans="1:52" x14ac:dyDescent="0.3">
      <c r="A175" s="2" t="s">
        <v>2707</v>
      </c>
      <c r="B175" s="2" t="str">
        <f>VLOOKUP(T_Voluntarios[[#This Row],[RUN]],BBDD[],3,FALSE)</f>
        <v>francisca.reyesgomez@gmail.com</v>
      </c>
      <c r="C175" s="2" t="str">
        <f>VLOOKUP(T_Voluntarios[[#This Row],[RUN]],BBDD[],4,FALSE)</f>
        <v>Francisca Nicole Reyes Gómez</v>
      </c>
      <c r="D175" s="16">
        <f>VLOOKUP(T_Voluntarios[[#This Row],[RUN]],BBDD[],5,FALSE)</f>
        <v>33499</v>
      </c>
      <c r="E175" s="2" t="str">
        <f>VLOOKUP(T_Voluntarios[[#This Row],[RUN]],BBDD[],6,FALSE)</f>
        <v>Pasaje seis #236, Villa El nevado, Chillán</v>
      </c>
      <c r="F175" s="2" t="str">
        <f>VLOOKUP(T_Voluntarios[[#This Row],[RUN]],BBDD[],7,FALSE)</f>
        <v>Chillán</v>
      </c>
      <c r="G175" s="2" t="str">
        <f>VLOOKUP(T_Voluntarios[[#This Row],[RUN]],BBDD[],8,FALSE)</f>
        <v>Celular</v>
      </c>
      <c r="H175" s="2" t="str">
        <f>IF(VLOOKUP(T_Voluntarios[[#This Row],[RUN]],BBDD[],9,FALSE)=0,"Falta",VLOOKUP(T_Voluntarios[[#This Row],[RUN]],BBDD[],9,FALSE))</f>
        <v>+56999164403</v>
      </c>
      <c r="I175" s="2" t="str">
        <f>VLOOKUP(T_Voluntarios[[#This Row],[RUN]],BBDD[],10,FALSE)</f>
        <v>Participante</v>
      </c>
      <c r="J175" s="2" t="str">
        <f>VLOOKUP(T_Voluntarios[[#This Row],[RUN]],BBDD[],11,FALSE)</f>
        <v>Terranova</v>
      </c>
      <c r="K175" s="2" t="str">
        <f>VLOOKUP(T_Voluntarios[[#This Row],[RUN]],BBDD[],12,FALSE)</f>
        <v>Guias</v>
      </c>
      <c r="L175" s="2" t="str">
        <f>VLOOKUP(T_Voluntarios[[#This Row],[RUN]],BBDD[],15,FALSE)</f>
        <v>Zona Ñuble</v>
      </c>
      <c r="M175" s="2" t="str">
        <f>VLOOKUP(T_Voluntarios[[#This Row],[RUN]],BBDD[],20,FALSE)</f>
        <v>Alimentación Vegetariana</v>
      </c>
      <c r="N175" s="2" t="str">
        <f>VLOOKUP(T_Voluntarios[[#This Row],[RUN]],BBDD[],21,FALSE)</f>
        <v>ácaros, pastos</v>
      </c>
      <c r="O175" s="2" t="str">
        <f>VLOOKUP(T_Voluntarios[[#This Row],[RUN]],BBDD[],22,FALSE)</f>
        <v>Ninguna</v>
      </c>
      <c r="P175" s="2" t="str">
        <f>VLOOKUP(T_Voluntarios[[#This Row],[RUN]],BBDD[],23,FALSE)</f>
        <v>Paola Gómez +56 9 9774 8987</v>
      </c>
      <c r="Q175" s="2" t="str">
        <f>IF(VLOOKUP(T_Voluntarios[[#This Row],[RUN]],BBDD[],27,FALSE)=0,"",VLOOKUP(T_Voluntarios[[#This Row],[RUN]],BBDD[],27,FALSE))</f>
        <v/>
      </c>
      <c r="R175" s="2" t="str">
        <f>VLOOKUP(T_Voluntarios[[#This Row],[RUN]],BBDD[],36,FALSE)</f>
        <v>https://drive.google.com/open?id=1vPbUy8UdM4pDCCiav3KFunB0MS-2Uvj3</v>
      </c>
      <c r="S175" s="2" t="str">
        <f>VLOOKUP(T_Voluntarios[[#This Row],[RUN]],BBDD[],16,FALSE)</f>
        <v>Medio</v>
      </c>
      <c r="T175" s="2" t="str">
        <f>VLOOKUP(T_Voluntarios[[#This Row],[RUN]],BBDD[],17,FALSE)</f>
        <v>7541</v>
      </c>
      <c r="U175" s="2" t="str">
        <f>VLOOKUP(T_Voluntarios[[#This Row],[RUN]],BBDD[],18,FALSE)</f>
        <v>Guias</v>
      </c>
      <c r="V175" s="2" t="str">
        <f>VLOOKUP(T_Voluntarios[[#This Row],[RUN]],BBDD[],19,FALSE)</f>
        <v>Ninguno</v>
      </c>
      <c r="W175" s="13" t="str">
        <f>IF(OR(T_Voluntarios[[#This Row],[ROL]]="Formador(a)"),"SI","NO")</f>
        <v>NO</v>
      </c>
      <c r="X175" s="13" t="str">
        <f>IF(ISERROR(VLOOKUP(T_Voluntarios[[#This Row],[RUN]],BBDD_Formadores[],15,FALSE)),"NO",VLOOKUP(T_Voluntarios[[#This Row],[RUN]],BBDD_Formadores[],15,FALSE))</f>
        <v>NO</v>
      </c>
      <c r="Y175" s="13" t="str">
        <f>IF(ISERROR(VLOOKUP(T_Voluntarios[[#This Row],[RUN]],BBDD_Formadores[],16,FALSE)),"NO",VLOOKUP(T_Voluntarios[[#This Row],[RUN]],BBDD_Formadores[],16,FALSE))</f>
        <v>NO</v>
      </c>
      <c r="Z175" s="13" t="str">
        <f>IF(ISERROR(VLOOKUP(T_Voluntarios[[#This Row],[RUN]],BBDD_Formadores[],17,FALSE)),"NO",VLOOKUP(T_Voluntarios[[#This Row],[RUN]],BBDD_Formadores[],17,FALSE))</f>
        <v>NO</v>
      </c>
      <c r="AA175" s="13" t="str">
        <f>IF(ISERROR(VLOOKUP(T_Voluntarios[[#This Row],[RUN]],BBDD_Formadores[],18,FALSE)),"NO",VLOOKUP(T_Voluntarios[[#This Row],[RUN]],BBDD_Formadores[],18,FALSE))</f>
        <v>NO</v>
      </c>
      <c r="AB175" s="13">
        <v>1</v>
      </c>
      <c r="AC175" s="13" t="s">
        <v>1</v>
      </c>
      <c r="AD175" s="13" t="s">
        <v>77</v>
      </c>
      <c r="AF175" s="2" t="str">
        <f>IF(VLOOKUP(T_Voluntarios[[#This Row],[RUN]],BBDD[],25,FALSE)=0,"",VLOOKUP(T_Voluntarios[[#This Row],[RUN]],BBDD[],25,FALSE))</f>
        <v/>
      </c>
      <c r="AG175" s="2" t="str">
        <f>IF(VLOOKUP(T_Voluntarios[[#This Row],[RUN]],BBDD[],26,FALSE)=0,"",VLOOKUP(T_Voluntarios[[#This Row],[RUN]],BBDD[],26,FALSE))</f>
        <v/>
      </c>
      <c r="AH175" s="2" t="str">
        <f>IF(VLOOKUP(T_Voluntarios[[#This Row],[RUN]],BBDD[],24,FALSE)=0,"",VLOOKUP(T_Voluntarios[[#This Row],[RUN]],BBDD[],24,FALSE))</f>
        <v/>
      </c>
      <c r="AI175" s="13" t="str">
        <f>VLOOKUP(T_Voluntarios[[#This Row],[RUN]],BBDD[],28,FALSE)</f>
        <v>SI</v>
      </c>
      <c r="AJ175" s="13" t="str">
        <f>VLOOKUP(T_Voluntarios[[#This Row],[RUN]],BBDD[],28,FALSE)</f>
        <v>SI</v>
      </c>
      <c r="AK175" s="32">
        <f>IF(T_Voluntarios[[#This Row],[ROL]]="Participante",SUMIFS(T_Cuotas[[#All],[Total]],T_Cuotas[[#All],[RUN]],T_Voluntarios[[#This Row],[RUN]]),-1)</f>
        <v>50000</v>
      </c>
      <c r="AL175" s="13" t="s">
        <v>1</v>
      </c>
      <c r="AM175" s="13" t="s">
        <v>2029</v>
      </c>
      <c r="AP175" s="2" t="str">
        <f>MID(T_Voluntarios[[#This Row],[E_MAIL]],SEARCH("@",T_Voluntarios[[#This Row],[E_MAIL]],1),LEN(T_Voluntarios[[#This Row],[E_MAIL]]))</f>
        <v>@gmail.com</v>
      </c>
      <c r="AQ175" s="13" t="str">
        <f>VLOOKUP(T_Voluntarios[[#This Row],[RUN]],BBDD[],37,FALSE)</f>
        <v>33</v>
      </c>
      <c r="AR175" s="2" t="str">
        <f>VLOOKUP(T_Voluntarios[[#This Row],[RUN]],BBDD[],29,FALSE)</f>
        <v>Fonoaudióloga</v>
      </c>
      <c r="AS175" s="2" t="str">
        <f>VLOOKUP(T_Voluntarios[[#This Row],[RUN]],BBDD[],30,FALSE)</f>
        <v>5 años</v>
      </c>
      <c r="AT175" s="2" t="str">
        <f>VLOOKUP(T_Voluntarios[[#This Row],[RUN]],BBDD[],31,FALSE)</f>
        <v>13</v>
      </c>
      <c r="AU175" s="2" t="str">
        <f>VLOOKUP(T_Voluntarios[[#This Row],[RUN]],BBDD[],32,FALSE)</f>
        <v>Soltero(a)</v>
      </c>
      <c r="AV175" s="2" t="str">
        <f>VLOOKUP(T_Voluntarios[[#This Row],[RUN]],BBDD[],33,FALSE)</f>
        <v>Católica</v>
      </c>
      <c r="AW175" s="2" t="str">
        <f>VLOOKUP(T_Voluntarios[[#This Row],[RUN]],BBDD[],34,FALSE)</f>
        <v>Fran</v>
      </c>
      <c r="AX175" s="13" t="s">
        <v>733</v>
      </c>
      <c r="AY175" s="76">
        <f>VLOOKUP(T_Voluntarios[[#This Row],[RUN]],BBDD[],2,FALSE)</f>
        <v>45799.996108719133</v>
      </c>
      <c r="AZ175" s="13" t="s">
        <v>3402</v>
      </c>
    </row>
    <row r="176" spans="1:52" ht="14.4" x14ac:dyDescent="0.3">
      <c r="A176" s="2" t="s">
        <v>2551</v>
      </c>
      <c r="B176" s="2" t="str">
        <f>VLOOKUP(T_Voluntarios[[#This Row],[RUN]],BBDD[],3,FALSE)</f>
        <v>aylinfierrovera@gmail.com</v>
      </c>
      <c r="C176" s="2" t="str">
        <f>VLOOKUP(T_Voluntarios[[#This Row],[RUN]],BBDD[],4,FALSE)</f>
        <v>Aylin Isadora Fierro Vera</v>
      </c>
      <c r="D176" s="16">
        <f>VLOOKUP(T_Voluntarios[[#This Row],[RUN]],BBDD[],5,FALSE)</f>
        <v>37344</v>
      </c>
      <c r="E176" s="2" t="str">
        <f>VLOOKUP(T_Voluntarios[[#This Row],[RUN]],BBDD[],6,FALSE)</f>
        <v>Maipu 1339, depto 207</v>
      </c>
      <c r="F176" s="2" t="str">
        <f>VLOOKUP(T_Voluntarios[[#This Row],[RUN]],BBDD[],7,FALSE)</f>
        <v>Concepción</v>
      </c>
      <c r="G176" s="2" t="str">
        <f>VLOOKUP(T_Voluntarios[[#This Row],[RUN]],BBDD[],8,FALSE)</f>
        <v>Celular</v>
      </c>
      <c r="H176" s="2" t="str">
        <f>IF(VLOOKUP(T_Voluntarios[[#This Row],[RUN]],BBDD[],9,FALSE)=0,"Falta",VLOOKUP(T_Voluntarios[[#This Row],[RUN]],BBDD[],9,FALSE))</f>
        <v>+56986440986</v>
      </c>
      <c r="I176" s="2" t="str">
        <f>VLOOKUP(T_Voluntarios[[#This Row],[RUN]],BBDD[],10,FALSE)</f>
        <v>Participante</v>
      </c>
      <c r="J176" s="2" t="str">
        <f>VLOOKUP(T_Voluntarios[[#This Row],[RUN]],BBDD[],11,FALSE)</f>
        <v>San Francisco</v>
      </c>
      <c r="K176" s="2" t="str">
        <f>VLOOKUP(T_Voluntarios[[#This Row],[RUN]],BBDD[],12,FALSE)</f>
        <v>Pioneros</v>
      </c>
      <c r="L176" s="2" t="str">
        <f>VLOOKUP(T_Voluntarios[[#This Row],[RUN]],BBDD[],15,FALSE)</f>
        <v>Zona Ñuble</v>
      </c>
      <c r="M176" s="2" t="str">
        <f>VLOOKUP(T_Voluntarios[[#This Row],[RUN]],BBDD[],20,FALSE)</f>
        <v>Alimentación Tradicional</v>
      </c>
      <c r="N176" s="2" t="str">
        <f>VLOOKUP(T_Voluntarios[[#This Row],[RUN]],BBDD[],21,FALSE)</f>
        <v>Ninguna</v>
      </c>
      <c r="O176" s="2" t="str">
        <f>VLOOKUP(T_Voluntarios[[#This Row],[RUN]],BBDD[],22,FALSE)</f>
        <v>Ninguna</v>
      </c>
      <c r="P176" s="2" t="str">
        <f>VLOOKUP(T_Voluntarios[[#This Row],[RUN]],BBDD[],23,FALSE)</f>
        <v>Paola Vera +56976741332</v>
      </c>
      <c r="Q176" s="2" t="str">
        <f>IF(VLOOKUP(T_Voluntarios[[#This Row],[RUN]],BBDD[],27,FALSE)=0,"",VLOOKUP(T_Voluntarios[[#This Row],[RUN]],BBDD[],27,FALSE))</f>
        <v/>
      </c>
      <c r="R176" s="2" t="str">
        <f>VLOOKUP(T_Voluntarios[[#This Row],[RUN]],BBDD[],36,FALSE)</f>
        <v>https://drive.google.com/open?id=1oy5Xc4aqL3ZiMYpZtxs8EQyijIkz0tky</v>
      </c>
      <c r="S176" s="2" t="str">
        <f>VLOOKUP(T_Voluntarios[[#This Row],[RUN]],BBDD[],16,FALSE)</f>
        <v>Inicial</v>
      </c>
      <c r="T176" s="2" t="str">
        <f>VLOOKUP(T_Voluntarios[[#This Row],[RUN]],BBDD[],17,FALSE)</f>
        <v>Ninguno</v>
      </c>
      <c r="U176" s="2" t="str">
        <f>VLOOKUP(T_Voluntarios[[#This Row],[RUN]],BBDD[],18,FALSE)</f>
        <v>Ninguno</v>
      </c>
      <c r="V176" s="2" t="str">
        <f>VLOOKUP(T_Voluntarios[[#This Row],[RUN]],BBDD[],19,FALSE)</f>
        <v>Ninguno</v>
      </c>
      <c r="W176" s="13" t="str">
        <f>IF(OR(T_Voluntarios[[#This Row],[ROL]]="Formador(a)"),"SI","NO")</f>
        <v>NO</v>
      </c>
      <c r="X176" s="13" t="str">
        <f>IF(ISERROR(VLOOKUP(T_Voluntarios[[#This Row],[RUN]],BBDD_Formadores[],15,FALSE)),"NO",VLOOKUP(T_Voluntarios[[#This Row],[RUN]],BBDD_Formadores[],15,FALSE))</f>
        <v>NO</v>
      </c>
      <c r="Y176" s="13" t="str">
        <f>IF(ISERROR(VLOOKUP(T_Voluntarios[[#This Row],[RUN]],BBDD_Formadores[],16,FALSE)),"NO",VLOOKUP(T_Voluntarios[[#This Row],[RUN]],BBDD_Formadores[],16,FALSE))</f>
        <v>NO</v>
      </c>
      <c r="Z176" s="13" t="str">
        <f>IF(ISERROR(VLOOKUP(T_Voluntarios[[#This Row],[RUN]],BBDD_Formadores[],17,FALSE)),"NO",VLOOKUP(T_Voluntarios[[#This Row],[RUN]],BBDD_Formadores[],17,FALSE))</f>
        <v>NO</v>
      </c>
      <c r="AA176" s="13" t="str">
        <f>IF(ISERROR(VLOOKUP(T_Voluntarios[[#This Row],[RUN]],BBDD_Formadores[],18,FALSE)),"NO",VLOOKUP(T_Voluntarios[[#This Row],[RUN]],BBDD_Formadores[],18,FALSE))</f>
        <v>NO</v>
      </c>
      <c r="AB176" s="13">
        <v>1</v>
      </c>
      <c r="AC176" s="13" t="s">
        <v>1597</v>
      </c>
      <c r="AD176" s="13" t="s">
        <v>78</v>
      </c>
      <c r="AF176" s="2" t="str">
        <f>IF(VLOOKUP(T_Voluntarios[[#This Row],[RUN]],BBDD[],25,FALSE)=0,"",VLOOKUP(T_Voluntarios[[#This Row],[RUN]],BBDD[],25,FALSE))</f>
        <v/>
      </c>
      <c r="AG176" s="2" t="str">
        <f>IF(VLOOKUP(T_Voluntarios[[#This Row],[RUN]],BBDD[],26,FALSE)=0,"",VLOOKUP(T_Voluntarios[[#This Row],[RUN]],BBDD[],26,FALSE))</f>
        <v/>
      </c>
      <c r="AH176" s="2" t="str">
        <f>IF(VLOOKUP(T_Voluntarios[[#This Row],[RUN]],BBDD[],24,FALSE)=0,"",VLOOKUP(T_Voluntarios[[#This Row],[RUN]],BBDD[],24,FALSE))</f>
        <v/>
      </c>
      <c r="AI176" s="13" t="str">
        <f>VLOOKUP(T_Voluntarios[[#This Row],[RUN]],BBDD[],28,FALSE)</f>
        <v>No</v>
      </c>
      <c r="AJ176" s="13" t="str">
        <f>VLOOKUP(T_Voluntarios[[#This Row],[RUN]],BBDD[],28,FALSE)</f>
        <v>No</v>
      </c>
      <c r="AK176" s="32">
        <f>IF(T_Voluntarios[[#This Row],[ROL]]="Participante",SUMIFS(T_Cuotas[[#All],[Total]],T_Cuotas[[#All],[RUN]],T_Voluntarios[[#This Row],[RUN]]),-1)</f>
        <v>0</v>
      </c>
      <c r="AL176" s="1" t="s">
        <v>78</v>
      </c>
      <c r="AM176" s="13" t="s">
        <v>733</v>
      </c>
      <c r="AP176" s="2" t="str">
        <f>MID(T_Voluntarios[[#This Row],[E_MAIL]],SEARCH("@",T_Voluntarios[[#This Row],[E_MAIL]],1),LEN(T_Voluntarios[[#This Row],[E_MAIL]]))</f>
        <v>@gmail.com</v>
      </c>
      <c r="AQ176" s="13" t="str">
        <f>VLOOKUP(T_Voluntarios[[#This Row],[RUN]],BBDD[],37,FALSE)</f>
        <v>23</v>
      </c>
      <c r="AR176" s="2" t="str">
        <f>VLOOKUP(T_Voluntarios[[#This Row],[RUN]],BBDD[],29,FALSE)</f>
        <v>Estudiante de Ingeniería Civil</v>
      </c>
      <c r="AS176" s="2" t="str">
        <f>VLOOKUP(T_Voluntarios[[#This Row],[RUN]],BBDD[],30,FALSE)</f>
        <v>11 años</v>
      </c>
      <c r="AT176" s="2" t="str">
        <f>VLOOKUP(T_Voluntarios[[#This Row],[RUN]],BBDD[],31,FALSE)</f>
        <v>2 años</v>
      </c>
      <c r="AU176" s="2" t="str">
        <f>VLOOKUP(T_Voluntarios[[#This Row],[RUN]],BBDD[],32,FALSE)</f>
        <v>Soltero(a)</v>
      </c>
      <c r="AV176" s="2" t="str">
        <f>VLOOKUP(T_Voluntarios[[#This Row],[RUN]],BBDD[],33,FALSE)</f>
        <v>Ninguna</v>
      </c>
      <c r="AW176" s="2" t="str">
        <f>VLOOKUP(T_Voluntarios[[#This Row],[RUN]],BBDD[],34,FALSE)</f>
        <v>Aylin</v>
      </c>
      <c r="AX176" s="13" t="s">
        <v>733</v>
      </c>
      <c r="AY176" s="76">
        <f>VLOOKUP(T_Voluntarios[[#This Row],[RUN]],BBDD[],2,FALSE)</f>
        <v>45800.001452121913</v>
      </c>
      <c r="AZ176" s="13" t="s">
        <v>2</v>
      </c>
    </row>
    <row r="177" spans="1:52" x14ac:dyDescent="0.3">
      <c r="A177" s="2" t="s">
        <v>2627</v>
      </c>
      <c r="B177" s="2" t="str">
        <f>VLOOKUP(T_Voluntarios[[#This Row],[RUN]],BBDD[],3,FALSE)</f>
        <v>raulbv777@gmail.com</v>
      </c>
      <c r="C177" s="2" t="str">
        <f>VLOOKUP(T_Voluntarios[[#This Row],[RUN]],BBDD[],4,FALSE)</f>
        <v>Raul Andrés Benavides Videla</v>
      </c>
      <c r="D177" s="16">
        <f>VLOOKUP(T_Voluntarios[[#This Row],[RUN]],BBDD[],5,FALSE)</f>
        <v>31730</v>
      </c>
      <c r="E177" s="2" t="str">
        <f>VLOOKUP(T_Voluntarios[[#This Row],[RUN]],BBDD[],6,FALSE)</f>
        <v>Lago conguillio 1819</v>
      </c>
      <c r="F177" s="2" t="str">
        <f>VLOOKUP(T_Voluntarios[[#This Row],[RUN]],BBDD[],7,FALSE)</f>
        <v>Los Ángeles</v>
      </c>
      <c r="G177" s="2" t="str">
        <f>VLOOKUP(T_Voluntarios[[#This Row],[RUN]],BBDD[],8,FALSE)</f>
        <v>Celular</v>
      </c>
      <c r="H177" s="2" t="str">
        <f>IF(VLOOKUP(T_Voluntarios[[#This Row],[RUN]],BBDD[],9,FALSE)=0,"Falta",VLOOKUP(T_Voluntarios[[#This Row],[RUN]],BBDD[],9,FALSE))</f>
        <v>+56942198380</v>
      </c>
      <c r="I177" s="2" t="str">
        <f>VLOOKUP(T_Voluntarios[[#This Row],[RUN]],BBDD[],10,FALSE)</f>
        <v>Participante</v>
      </c>
      <c r="J177" s="2" t="str">
        <f>VLOOKUP(T_Voluntarios[[#This Row],[RUN]],BBDD[],11,FALSE)</f>
        <v>Buen Pastor</v>
      </c>
      <c r="K177" s="2" t="str">
        <f>VLOOKUP(T_Voluntarios[[#This Row],[RUN]],BBDD[],12,FALSE)</f>
        <v>Caminantes</v>
      </c>
      <c r="L177" s="2" t="str">
        <f>VLOOKUP(T_Voluntarios[[#This Row],[RUN]],BBDD[],15,FALSE)</f>
        <v>Biobío</v>
      </c>
      <c r="M177" s="2" t="str">
        <f>VLOOKUP(T_Voluntarios[[#This Row],[RUN]],BBDD[],20,FALSE)</f>
        <v>Alimentación Tradicional</v>
      </c>
      <c r="N177" s="2" t="str">
        <f>VLOOKUP(T_Voluntarios[[#This Row],[RUN]],BBDD[],21,FALSE)</f>
        <v>Síndrome de kartagener</v>
      </c>
      <c r="O177" s="2" t="str">
        <f>VLOOKUP(T_Voluntarios[[#This Row],[RUN]],BBDD[],22,FALSE)</f>
        <v>No lo sé</v>
      </c>
      <c r="P177" s="2" t="str">
        <f>VLOOKUP(T_Voluntarios[[#This Row],[RUN]],BBDD[],23,FALSE)</f>
        <v>Carolina Chávez romero 934389363</v>
      </c>
      <c r="Q177" s="2" t="str">
        <f>IF(VLOOKUP(T_Voluntarios[[#This Row],[RUN]],BBDD[],27,FALSE)=0,"",VLOOKUP(T_Voluntarios[[#This Row],[RUN]],BBDD[],27,FALSE))</f>
        <v>No</v>
      </c>
      <c r="R177" s="2" t="str">
        <f>VLOOKUP(T_Voluntarios[[#This Row],[RUN]],BBDD[],36,FALSE)</f>
        <v>https://drive.google.com/open?id=1BQ5z19N5Z7nel5I1rkRa6gUzyU9WwSc9</v>
      </c>
      <c r="S177" s="2" t="str">
        <f>VLOOKUP(T_Voluntarios[[#This Row],[RUN]],BBDD[],16,FALSE)</f>
        <v>Inicial</v>
      </c>
      <c r="T177" s="2" t="str">
        <f>VLOOKUP(T_Voluntarios[[#This Row],[RUN]],BBDD[],17,FALSE)</f>
        <v>Ninguno</v>
      </c>
      <c r="U177" s="2" t="str">
        <f>VLOOKUP(T_Voluntarios[[#This Row],[RUN]],BBDD[],18,FALSE)</f>
        <v>Caminantes</v>
      </c>
      <c r="V177" s="2" t="str">
        <f>VLOOKUP(T_Voluntarios[[#This Row],[RUN]],BBDD[],19,FALSE)</f>
        <v>Ninguno</v>
      </c>
      <c r="W177" s="13" t="str">
        <f>IF(OR(T_Voluntarios[[#This Row],[ROL]]="Formador(a)"),"SI","NO")</f>
        <v>NO</v>
      </c>
      <c r="X177" s="13" t="str">
        <f>IF(ISERROR(VLOOKUP(T_Voluntarios[[#This Row],[RUN]],BBDD_Formadores[],15,FALSE)),"NO",VLOOKUP(T_Voluntarios[[#This Row],[RUN]],BBDD_Formadores[],15,FALSE))</f>
        <v>NO</v>
      </c>
      <c r="Y177" s="13" t="str">
        <f>IF(ISERROR(VLOOKUP(T_Voluntarios[[#This Row],[RUN]],BBDD_Formadores[],16,FALSE)),"NO",VLOOKUP(T_Voluntarios[[#This Row],[RUN]],BBDD_Formadores[],16,FALSE))</f>
        <v>NO</v>
      </c>
      <c r="Z177" s="13" t="str">
        <f>IF(ISERROR(VLOOKUP(T_Voluntarios[[#This Row],[RUN]],BBDD_Formadores[],17,FALSE)),"NO",VLOOKUP(T_Voluntarios[[#This Row],[RUN]],BBDD_Formadores[],17,FALSE))</f>
        <v>NO</v>
      </c>
      <c r="AA177" s="13" t="str">
        <f>IF(ISERROR(VLOOKUP(T_Voluntarios[[#This Row],[RUN]],BBDD_Formadores[],18,FALSE)),"NO",VLOOKUP(T_Voluntarios[[#This Row],[RUN]],BBDD_Formadores[],18,FALSE))</f>
        <v>NO</v>
      </c>
      <c r="AB177" s="13">
        <v>1</v>
      </c>
      <c r="AC177" s="13" t="s">
        <v>1</v>
      </c>
      <c r="AD177" s="13" t="s">
        <v>77</v>
      </c>
      <c r="AF177" s="2" t="str">
        <f>IF(VLOOKUP(T_Voluntarios[[#This Row],[RUN]],BBDD[],25,FALSE)=0,"",VLOOKUP(T_Voluntarios[[#This Row],[RUN]],BBDD[],25,FALSE))</f>
        <v/>
      </c>
      <c r="AG177" s="2" t="str">
        <f>IF(VLOOKUP(T_Voluntarios[[#This Row],[RUN]],BBDD[],26,FALSE)=0,"",VLOOKUP(T_Voluntarios[[#This Row],[RUN]],BBDD[],26,FALSE))</f>
        <v/>
      </c>
      <c r="AH177" s="2" t="str">
        <f>IF(VLOOKUP(T_Voluntarios[[#This Row],[RUN]],BBDD[],24,FALSE)=0,"",VLOOKUP(T_Voluntarios[[#This Row],[RUN]],BBDD[],24,FALSE))</f>
        <v/>
      </c>
      <c r="AI177" s="13" t="str">
        <f>VLOOKUP(T_Voluntarios[[#This Row],[RUN]],BBDD[],28,FALSE)</f>
        <v>SI</v>
      </c>
      <c r="AJ177" s="13" t="str">
        <f>VLOOKUP(T_Voluntarios[[#This Row],[RUN]],BBDD[],28,FALSE)</f>
        <v>SI</v>
      </c>
      <c r="AK177" s="32">
        <f>IF(T_Voluntarios[[#This Row],[ROL]]="Participante",SUMIFS(T_Cuotas[[#All],[Total]],T_Cuotas[[#All],[RUN]],T_Voluntarios[[#This Row],[RUN]]),-1)</f>
        <v>50000</v>
      </c>
      <c r="AL177" s="13" t="s">
        <v>1</v>
      </c>
      <c r="AM177" s="13" t="s">
        <v>2029</v>
      </c>
      <c r="AP177" s="2" t="str">
        <f>MID(T_Voluntarios[[#This Row],[E_MAIL]],SEARCH("@",T_Voluntarios[[#This Row],[E_MAIL]],1),LEN(T_Voluntarios[[#This Row],[E_MAIL]]))</f>
        <v>@gmail.com</v>
      </c>
      <c r="AQ177" s="13" t="str">
        <f>VLOOKUP(T_Voluntarios[[#This Row],[RUN]],BBDD[],37,FALSE)</f>
        <v>38</v>
      </c>
      <c r="AR177" s="2" t="str">
        <f>VLOOKUP(T_Voluntarios[[#This Row],[RUN]],BBDD[],29,FALSE)</f>
        <v>Independiente</v>
      </c>
      <c r="AS177" s="2" t="str">
        <f>VLOOKUP(T_Voluntarios[[#This Row],[RUN]],BBDD[],30,FALSE)</f>
        <v>1 año</v>
      </c>
      <c r="AT177" s="2" t="str">
        <f>VLOOKUP(T_Voluntarios[[#This Row],[RUN]],BBDD[],31,FALSE)</f>
        <v>No</v>
      </c>
      <c r="AU177" s="2" t="str">
        <f>VLOOKUP(T_Voluntarios[[#This Row],[RUN]],BBDD[],32,FALSE)</f>
        <v>Casado(a)</v>
      </c>
      <c r="AV177" s="2" t="str">
        <f>VLOOKUP(T_Voluntarios[[#This Row],[RUN]],BBDD[],33,FALSE)</f>
        <v>Evangelico</v>
      </c>
      <c r="AW177" s="2" t="str">
        <f>VLOOKUP(T_Voluntarios[[#This Row],[RUN]],BBDD[],34,FALSE)</f>
        <v>Tío ponchito</v>
      </c>
      <c r="AX177" s="13" t="s">
        <v>733</v>
      </c>
      <c r="AY177" s="76">
        <f>VLOOKUP(T_Voluntarios[[#This Row],[RUN]],BBDD[],2,FALSE)</f>
        <v>45800.486312191359</v>
      </c>
      <c r="AZ177" s="13" t="s">
        <v>3403</v>
      </c>
    </row>
    <row r="178" spans="1:52" x14ac:dyDescent="0.3">
      <c r="A178" s="2" t="s">
        <v>2561</v>
      </c>
      <c r="B178" s="2" t="str">
        <f>VLOOKUP(T_Voluntarios[[#This Row],[RUN]],BBDD[],3,FALSE)</f>
        <v>valentina.arre2@gmail.com</v>
      </c>
      <c r="C178" s="2" t="str">
        <f>VLOOKUP(T_Voluntarios[[#This Row],[RUN]],BBDD[],4,FALSE)</f>
        <v>Valentina Andrea Arredondo Gutierrez</v>
      </c>
      <c r="D178" s="16">
        <f>VLOOKUP(T_Voluntarios[[#This Row],[RUN]],BBDD[],5,FALSE)</f>
        <v>36761</v>
      </c>
      <c r="E178" s="2" t="str">
        <f>VLOOKUP(T_Voluntarios[[#This Row],[RUN]],BBDD[],6,FALSE)</f>
        <v>San francisco de asis 1510, Chillán</v>
      </c>
      <c r="F178" s="2" t="str">
        <f>VLOOKUP(T_Voluntarios[[#This Row],[RUN]],BBDD[],7,FALSE)</f>
        <v>Chillán</v>
      </c>
      <c r="G178" s="2" t="str">
        <f>VLOOKUP(T_Voluntarios[[#This Row],[RUN]],BBDD[],8,FALSE)</f>
        <v>Celular</v>
      </c>
      <c r="H178" s="2" t="str">
        <f>IF(VLOOKUP(T_Voluntarios[[#This Row],[RUN]],BBDD[],9,FALSE)=0,"Falta",VLOOKUP(T_Voluntarios[[#This Row],[RUN]],BBDD[],9,FALSE))</f>
        <v>+56920298323</v>
      </c>
      <c r="I178" s="2" t="str">
        <f>VLOOKUP(T_Voluntarios[[#This Row],[RUN]],BBDD[],10,FALSE)</f>
        <v>Participante</v>
      </c>
      <c r="J178" s="2" t="str">
        <f>VLOOKUP(T_Voluntarios[[#This Row],[RUN]],BBDD[],11,FALSE)</f>
        <v>San Bartolomé</v>
      </c>
      <c r="K178" s="2" t="str">
        <f>VLOOKUP(T_Voluntarios[[#This Row],[RUN]],BBDD[],12,FALSE)</f>
        <v>Pioneros</v>
      </c>
      <c r="L178" s="2" t="str">
        <f>VLOOKUP(T_Voluntarios[[#This Row],[RUN]],BBDD[],15,FALSE)</f>
        <v>Zona Ñuble</v>
      </c>
      <c r="M178" s="2" t="str">
        <f>VLOOKUP(T_Voluntarios[[#This Row],[RUN]],BBDD[],20,FALSE)</f>
        <v>Alimentación Tradicional</v>
      </c>
      <c r="N178" s="2" t="str">
        <f>VLOOKUP(T_Voluntarios[[#This Row],[RUN]],BBDD[],21,FALSE)</f>
        <v>Ninguna</v>
      </c>
      <c r="O178" s="2" t="str">
        <f>VLOOKUP(T_Voluntarios[[#This Row],[RUN]],BBDD[],22,FALSE)</f>
        <v>No lo sé</v>
      </c>
      <c r="P178" s="2" t="str">
        <f>VLOOKUP(T_Voluntarios[[#This Row],[RUN]],BBDD[],23,FALSE)</f>
        <v>Ithol Gutierrez +56995105891</v>
      </c>
      <c r="Q178" s="2" t="str">
        <f>IF(VLOOKUP(T_Voluntarios[[#This Row],[RUN]],BBDD[],27,FALSE)=0,"",VLOOKUP(T_Voluntarios[[#This Row],[RUN]],BBDD[],27,FALSE))</f>
        <v/>
      </c>
      <c r="R178" s="2" t="str">
        <f>VLOOKUP(T_Voluntarios[[#This Row],[RUN]],BBDD[],36,FALSE)</f>
        <v>https://drive.google.com/open?id=1cRbk_1fCpaRKFL5V3CnHj2t5F9TTud3-</v>
      </c>
      <c r="S178" s="2" t="str">
        <f>VLOOKUP(T_Voluntarios[[#This Row],[RUN]],BBDD[],16,FALSE)</f>
        <v>Inicial</v>
      </c>
      <c r="T178" s="2" t="str">
        <f>VLOOKUP(T_Voluntarios[[#This Row],[RUN]],BBDD[],17,FALSE)</f>
        <v>Ninguno</v>
      </c>
      <c r="U178" s="2" t="str">
        <f>VLOOKUP(T_Voluntarios[[#This Row],[RUN]],BBDD[],18,FALSE)</f>
        <v>Ninguno</v>
      </c>
      <c r="V178" s="2" t="str">
        <f>VLOOKUP(T_Voluntarios[[#This Row],[RUN]],BBDD[],19,FALSE)</f>
        <v>Ninguno</v>
      </c>
      <c r="W178" s="13" t="str">
        <f>IF(OR(T_Voluntarios[[#This Row],[ROL]]="Formador(a)"),"SI","NO")</f>
        <v>NO</v>
      </c>
      <c r="X178" s="13" t="str">
        <f>IF(ISERROR(VLOOKUP(T_Voluntarios[[#This Row],[RUN]],BBDD_Formadores[],15,FALSE)),"NO",VLOOKUP(T_Voluntarios[[#This Row],[RUN]],BBDD_Formadores[],15,FALSE))</f>
        <v>NO</v>
      </c>
      <c r="Y178" s="13" t="str">
        <f>IF(ISERROR(VLOOKUP(T_Voluntarios[[#This Row],[RUN]],BBDD_Formadores[],16,FALSE)),"NO",VLOOKUP(T_Voluntarios[[#This Row],[RUN]],BBDD_Formadores[],16,FALSE))</f>
        <v>NO</v>
      </c>
      <c r="Z178" s="13" t="str">
        <f>IF(ISERROR(VLOOKUP(T_Voluntarios[[#This Row],[RUN]],BBDD_Formadores[],17,FALSE)),"NO",VLOOKUP(T_Voluntarios[[#This Row],[RUN]],BBDD_Formadores[],17,FALSE))</f>
        <v>NO</v>
      </c>
      <c r="AA178" s="13" t="str">
        <f>IF(ISERROR(VLOOKUP(T_Voluntarios[[#This Row],[RUN]],BBDD_Formadores[],18,FALSE)),"NO",VLOOKUP(T_Voluntarios[[#This Row],[RUN]],BBDD_Formadores[],18,FALSE))</f>
        <v>NO</v>
      </c>
      <c r="AB178" s="13">
        <v>1</v>
      </c>
      <c r="AC178" s="13" t="s">
        <v>1</v>
      </c>
      <c r="AD178" s="13" t="s">
        <v>77</v>
      </c>
      <c r="AF178" s="2" t="str">
        <f>IF(VLOOKUP(T_Voluntarios[[#This Row],[RUN]],BBDD[],25,FALSE)=0,"",VLOOKUP(T_Voluntarios[[#This Row],[RUN]],BBDD[],25,FALSE))</f>
        <v/>
      </c>
      <c r="AG178" s="2" t="str">
        <f>IF(VLOOKUP(T_Voluntarios[[#This Row],[RUN]],BBDD[],26,FALSE)=0,"",VLOOKUP(T_Voluntarios[[#This Row],[RUN]],BBDD[],26,FALSE))</f>
        <v/>
      </c>
      <c r="AH178" s="2" t="str">
        <f>IF(VLOOKUP(T_Voluntarios[[#This Row],[RUN]],BBDD[],24,FALSE)=0,"",VLOOKUP(T_Voluntarios[[#This Row],[RUN]],BBDD[],24,FALSE))</f>
        <v/>
      </c>
      <c r="AI178" s="13" t="str">
        <f>VLOOKUP(T_Voluntarios[[#This Row],[RUN]],BBDD[],28,FALSE)</f>
        <v>SI</v>
      </c>
      <c r="AJ178" s="13" t="str">
        <f>VLOOKUP(T_Voluntarios[[#This Row],[RUN]],BBDD[],28,FALSE)</f>
        <v>SI</v>
      </c>
      <c r="AK178" s="32">
        <f>IF(T_Voluntarios[[#This Row],[ROL]]="Participante",SUMIFS(T_Cuotas[[#All],[Total]],T_Cuotas[[#All],[RUN]],T_Voluntarios[[#This Row],[RUN]]),-1)</f>
        <v>50000</v>
      </c>
      <c r="AL178" s="13" t="s">
        <v>1</v>
      </c>
      <c r="AM178" s="13" t="s">
        <v>2029</v>
      </c>
      <c r="AP178" s="2" t="str">
        <f>MID(T_Voluntarios[[#This Row],[E_MAIL]],SEARCH("@",T_Voluntarios[[#This Row],[E_MAIL]],1),LEN(T_Voluntarios[[#This Row],[E_MAIL]]))</f>
        <v>@gmail.com</v>
      </c>
      <c r="AQ178" s="13" t="str">
        <f>VLOOKUP(T_Voluntarios[[#This Row],[RUN]],BBDD[],37,FALSE)</f>
        <v>24</v>
      </c>
      <c r="AR178" s="2" t="str">
        <f>VLOOKUP(T_Voluntarios[[#This Row],[RUN]],BBDD[],29,FALSE)</f>
        <v>Terapeuta Ocupacional</v>
      </c>
      <c r="AS178" s="2" t="str">
        <f>VLOOKUP(T_Voluntarios[[#This Row],[RUN]],BBDD[],30,FALSE)</f>
        <v>10 años</v>
      </c>
      <c r="AT178" s="2" t="str">
        <f>VLOOKUP(T_Voluntarios[[#This Row],[RUN]],BBDD[],31,FALSE)</f>
        <v>3 años</v>
      </c>
      <c r="AU178" s="2" t="str">
        <f>VLOOKUP(T_Voluntarios[[#This Row],[RUN]],BBDD[],32,FALSE)</f>
        <v>Soltero(a)</v>
      </c>
      <c r="AV178" s="2" t="str">
        <f>VLOOKUP(T_Voluntarios[[#This Row],[RUN]],BBDD[],33,FALSE)</f>
        <v>Ninguna</v>
      </c>
      <c r="AW178" s="2" t="str">
        <f>VLOOKUP(T_Voluntarios[[#This Row],[RUN]],BBDD[],34,FALSE)</f>
        <v>Vale</v>
      </c>
      <c r="AX178" s="13" t="s">
        <v>733</v>
      </c>
      <c r="AY178" s="76">
        <f>VLOOKUP(T_Voluntarios[[#This Row],[RUN]],BBDD[],2,FALSE)</f>
        <v>45800.533989853393</v>
      </c>
      <c r="AZ178" s="13" t="s">
        <v>3402</v>
      </c>
    </row>
    <row r="179" spans="1:52" x14ac:dyDescent="0.3">
      <c r="A179" s="2" t="s">
        <v>2569</v>
      </c>
      <c r="B179" s="2" t="str">
        <f>VLOOKUP(T_Voluntarios[[#This Row],[RUN]],BBDD[],3,FALSE)</f>
        <v>bruno.isaac.medel.parra@gmail.com</v>
      </c>
      <c r="C179" s="2" t="str">
        <f>VLOOKUP(T_Voluntarios[[#This Row],[RUN]],BBDD[],4,FALSE)</f>
        <v>Bruno Isaac Medel Parra</v>
      </c>
      <c r="D179" s="16">
        <f>VLOOKUP(T_Voluntarios[[#This Row],[RUN]],BBDD[],5,FALSE)</f>
        <v>37451</v>
      </c>
      <c r="E179" s="2" t="str">
        <f>VLOOKUP(T_Voluntarios[[#This Row],[RUN]],BBDD[],6,FALSE)</f>
        <v>Laguna lo Méndez 783</v>
      </c>
      <c r="F179" s="2" t="str">
        <f>VLOOKUP(T_Voluntarios[[#This Row],[RUN]],BBDD[],7,FALSE)</f>
        <v>Talcahuano</v>
      </c>
      <c r="G179" s="2" t="str">
        <f>VLOOKUP(T_Voluntarios[[#This Row],[RUN]],BBDD[],8,FALSE)</f>
        <v>Celular</v>
      </c>
      <c r="H179" s="2" t="str">
        <f>IF(VLOOKUP(T_Voluntarios[[#This Row],[RUN]],BBDD[],9,FALSE)=0,"Falta",VLOOKUP(T_Voluntarios[[#This Row],[RUN]],BBDD[],9,FALSE))</f>
        <v>+56934876772</v>
      </c>
      <c r="I179" s="2" t="str">
        <f>VLOOKUP(T_Voluntarios[[#This Row],[RUN]],BBDD[],10,FALSE)</f>
        <v>Participante</v>
      </c>
      <c r="J179" s="2" t="str">
        <f>VLOOKUP(T_Voluntarios[[#This Row],[RUN]],BBDD[],11,FALSE)</f>
        <v>Santa Cecilia</v>
      </c>
      <c r="K179" s="2" t="str">
        <f>VLOOKUP(T_Voluntarios[[#This Row],[RUN]],BBDD[],12,FALSE)</f>
        <v>Scouts</v>
      </c>
      <c r="L179" s="2" t="str">
        <f>VLOOKUP(T_Voluntarios[[#This Row],[RUN]],BBDD[],15,FALSE)</f>
        <v>Talcahuano - Hualpén</v>
      </c>
      <c r="M179" s="2" t="str">
        <f>VLOOKUP(T_Voluntarios[[#This Row],[RUN]],BBDD[],20,FALSE)</f>
        <v>Alimentación Tradicional</v>
      </c>
      <c r="N179" s="2" t="str">
        <f>VLOOKUP(T_Voluntarios[[#This Row],[RUN]],BBDD[],21,FALSE)</f>
        <v>Ninguna</v>
      </c>
      <c r="O179" s="2" t="str">
        <f>VLOOKUP(T_Voluntarios[[#This Row],[RUN]],BBDD[],22,FALSE)</f>
        <v>Ninguna</v>
      </c>
      <c r="P179" s="2" t="str">
        <f>VLOOKUP(T_Voluntarios[[#This Row],[RUN]],BBDD[],23,FALSE)</f>
        <v>Adriana Parra 9 7757 4497</v>
      </c>
      <c r="Q179" s="2" t="str">
        <f>IF(VLOOKUP(T_Voluntarios[[#This Row],[RUN]],BBDD[],27,FALSE)=0,"",VLOOKUP(T_Voluntarios[[#This Row],[RUN]],BBDD[],27,FALSE))</f>
        <v/>
      </c>
      <c r="R179" s="2" t="str">
        <f>VLOOKUP(T_Voluntarios[[#This Row],[RUN]],BBDD[],36,FALSE)</f>
        <v>https://drive.google.com/open?id=1MQEfsY5T8H7QqYrEuD8Pdgrb3U_iY2hs</v>
      </c>
      <c r="S179" s="2" t="str">
        <f>VLOOKUP(T_Voluntarios[[#This Row],[RUN]],BBDD[],16,FALSE)</f>
        <v>Ninguno</v>
      </c>
      <c r="T179" s="2" t="str">
        <f>VLOOKUP(T_Voluntarios[[#This Row],[RUN]],BBDD[],17,FALSE)</f>
        <v>Ninguno</v>
      </c>
      <c r="U179" s="2" t="str">
        <f>VLOOKUP(T_Voluntarios[[#This Row],[RUN]],BBDD[],18,FALSE)</f>
        <v>Ninguno</v>
      </c>
      <c r="V179" s="2" t="str">
        <f>VLOOKUP(T_Voluntarios[[#This Row],[RUN]],BBDD[],19,FALSE)</f>
        <v>Ninguno</v>
      </c>
      <c r="W179" s="13" t="str">
        <f>IF(OR(T_Voluntarios[[#This Row],[ROL]]="Formador(a)"),"SI","NO")</f>
        <v>NO</v>
      </c>
      <c r="X179" s="13" t="str">
        <f>IF(ISERROR(VLOOKUP(T_Voluntarios[[#This Row],[RUN]],BBDD_Formadores[],15,FALSE)),"NO",VLOOKUP(T_Voluntarios[[#This Row],[RUN]],BBDD_Formadores[],15,FALSE))</f>
        <v>NO</v>
      </c>
      <c r="Y179" s="13" t="str">
        <f>IF(ISERROR(VLOOKUP(T_Voluntarios[[#This Row],[RUN]],BBDD_Formadores[],16,FALSE)),"NO",VLOOKUP(T_Voluntarios[[#This Row],[RUN]],BBDD_Formadores[],16,FALSE))</f>
        <v>NO</v>
      </c>
      <c r="Z179" s="13" t="str">
        <f>IF(ISERROR(VLOOKUP(T_Voluntarios[[#This Row],[RUN]],BBDD_Formadores[],17,FALSE)),"NO",VLOOKUP(T_Voluntarios[[#This Row],[RUN]],BBDD_Formadores[],17,FALSE))</f>
        <v>NO</v>
      </c>
      <c r="AA179" s="13" t="str">
        <f>IF(ISERROR(VLOOKUP(T_Voluntarios[[#This Row],[RUN]],BBDD_Formadores[],18,FALSE)),"NO",VLOOKUP(T_Voluntarios[[#This Row],[RUN]],BBDD_Formadores[],18,FALSE))</f>
        <v>NO</v>
      </c>
      <c r="AB179" s="13">
        <v>1</v>
      </c>
      <c r="AC179" s="13" t="s">
        <v>1</v>
      </c>
      <c r="AD179" s="13" t="s">
        <v>77</v>
      </c>
      <c r="AF179" s="2" t="str">
        <f>IF(VLOOKUP(T_Voluntarios[[#This Row],[RUN]],BBDD[],25,FALSE)=0,"",VLOOKUP(T_Voluntarios[[#This Row],[RUN]],BBDD[],25,FALSE))</f>
        <v/>
      </c>
      <c r="AG179" s="2" t="str">
        <f>IF(VLOOKUP(T_Voluntarios[[#This Row],[RUN]],BBDD[],26,FALSE)=0,"",VLOOKUP(T_Voluntarios[[#This Row],[RUN]],BBDD[],26,FALSE))</f>
        <v/>
      </c>
      <c r="AH179" s="2" t="str">
        <f>IF(VLOOKUP(T_Voluntarios[[#This Row],[RUN]],BBDD[],24,FALSE)=0,"",VLOOKUP(T_Voluntarios[[#This Row],[RUN]],BBDD[],24,FALSE))</f>
        <v/>
      </c>
      <c r="AI179" s="13" t="str">
        <f>VLOOKUP(T_Voluntarios[[#This Row],[RUN]],BBDD[],28,FALSE)</f>
        <v>SI</v>
      </c>
      <c r="AJ179" s="13" t="str">
        <f>VLOOKUP(T_Voluntarios[[#This Row],[RUN]],BBDD[],28,FALSE)</f>
        <v>SI</v>
      </c>
      <c r="AK179" s="32">
        <f>IF(T_Voluntarios[[#This Row],[ROL]]="Participante",SUMIFS(T_Cuotas[[#All],[Total]],T_Cuotas[[#All],[RUN]],T_Voluntarios[[#This Row],[RUN]]),-1)</f>
        <v>50000</v>
      </c>
      <c r="AL179" s="13" t="s">
        <v>1</v>
      </c>
      <c r="AM179" s="13" t="s">
        <v>2029</v>
      </c>
      <c r="AP179" s="2" t="str">
        <f>MID(T_Voluntarios[[#This Row],[E_MAIL]],SEARCH("@",T_Voluntarios[[#This Row],[E_MAIL]],1),LEN(T_Voluntarios[[#This Row],[E_MAIL]]))</f>
        <v>@gmail.com</v>
      </c>
      <c r="AQ179" s="13" t="str">
        <f>VLOOKUP(T_Voluntarios[[#This Row],[RUN]],BBDD[],37,FALSE)</f>
        <v>22</v>
      </c>
      <c r="AR179" s="2" t="str">
        <f>VLOOKUP(T_Voluntarios[[#This Row],[RUN]],BBDD[],29,FALSE)</f>
        <v>Estudiante</v>
      </c>
      <c r="AS179" s="2" t="str">
        <f>VLOOKUP(T_Voluntarios[[#This Row],[RUN]],BBDD[],30,FALSE)</f>
        <v>No</v>
      </c>
      <c r="AT179" s="2" t="str">
        <f>VLOOKUP(T_Voluntarios[[#This Row],[RUN]],BBDD[],31,FALSE)</f>
        <v>3 meses</v>
      </c>
      <c r="AU179" s="2" t="str">
        <f>VLOOKUP(T_Voluntarios[[#This Row],[RUN]],BBDD[],32,FALSE)</f>
        <v>Soltero(a)</v>
      </c>
      <c r="AV179" s="2" t="str">
        <f>VLOOKUP(T_Voluntarios[[#This Row],[RUN]],BBDD[],33,FALSE)</f>
        <v>Ninguna</v>
      </c>
      <c r="AW179" s="2" t="str">
        <f>VLOOKUP(T_Voluntarios[[#This Row],[RUN]],BBDD[],34,FALSE)</f>
        <v>Bruno</v>
      </c>
      <c r="AX179" s="13" t="s">
        <v>733</v>
      </c>
      <c r="AY179" s="76">
        <f>VLOOKUP(T_Voluntarios[[#This Row],[RUN]],BBDD[],2,FALSE)</f>
        <v>45800.547374382717</v>
      </c>
      <c r="AZ179" s="13" t="s">
        <v>3403</v>
      </c>
    </row>
    <row r="180" spans="1:52" x14ac:dyDescent="0.3">
      <c r="A180" s="2" t="s">
        <v>2578</v>
      </c>
      <c r="B180" s="2" t="str">
        <f>VLOOKUP(T_Voluntarios[[#This Row],[RUN]],BBDD[],3,FALSE)</f>
        <v>a.penailillo10@gmail.com</v>
      </c>
      <c r="C180" s="2" t="str">
        <f>VLOOKUP(T_Voluntarios[[#This Row],[RUN]],BBDD[],4,FALSE)</f>
        <v>Álvaro Antonio Peñailillo Castillo</v>
      </c>
      <c r="D180" s="16">
        <f>VLOOKUP(T_Voluntarios[[#This Row],[RUN]],BBDD[],5,FALSE)</f>
        <v>35409</v>
      </c>
      <c r="E180" s="2" t="str">
        <f>VLOOKUP(T_Voluntarios[[#This Row],[RUN]],BBDD[],6,FALSE)</f>
        <v>Pedro Prado 8740, Villa Acero</v>
      </c>
      <c r="F180" s="2" t="str">
        <f>VLOOKUP(T_Voluntarios[[#This Row],[RUN]],BBDD[],7,FALSE)</f>
        <v>Hualpén</v>
      </c>
      <c r="G180" s="2" t="str">
        <f>VLOOKUP(T_Voluntarios[[#This Row],[RUN]],BBDD[],8,FALSE)</f>
        <v>Celular</v>
      </c>
      <c r="H180" s="2" t="str">
        <f>IF(VLOOKUP(T_Voluntarios[[#This Row],[RUN]],BBDD[],9,FALSE)=0,"Falta",VLOOKUP(T_Voluntarios[[#This Row],[RUN]],BBDD[],9,FALSE))</f>
        <v>+56971599609</v>
      </c>
      <c r="I180" s="2" t="str">
        <f>VLOOKUP(T_Voluntarios[[#This Row],[RUN]],BBDD[],10,FALSE)</f>
        <v>Participante</v>
      </c>
      <c r="J180" s="2" t="str">
        <f>VLOOKUP(T_Voluntarios[[#This Row],[RUN]],BBDD[],11,FALSE)</f>
        <v>Santa Cecilia</v>
      </c>
      <c r="K180" s="2" t="str">
        <f>VLOOKUP(T_Voluntarios[[#This Row],[RUN]],BBDD[],12,FALSE)</f>
        <v>Pioneros</v>
      </c>
      <c r="L180" s="2" t="str">
        <f>VLOOKUP(T_Voluntarios[[#This Row],[RUN]],BBDD[],15,FALSE)</f>
        <v>Talcahuano - Hualpén</v>
      </c>
      <c r="M180" s="2" t="str">
        <f>VLOOKUP(T_Voluntarios[[#This Row],[RUN]],BBDD[],20,FALSE)</f>
        <v>Alimentación Tradicional</v>
      </c>
      <c r="N180" s="2" t="str">
        <f>VLOOKUP(T_Voluntarios[[#This Row],[RUN]],BBDD[],21,FALSE)</f>
        <v>Ninguna</v>
      </c>
      <c r="O180" s="2" t="str">
        <f>VLOOKUP(T_Voluntarios[[#This Row],[RUN]],BBDD[],22,FALSE)</f>
        <v>Ninguna</v>
      </c>
      <c r="P180" s="2" t="str">
        <f>VLOOKUP(T_Voluntarios[[#This Row],[RUN]],BBDD[],23,FALSE)</f>
        <v>Erna Castillo, +56977676554</v>
      </c>
      <c r="Q180" s="2" t="str">
        <f>IF(VLOOKUP(T_Voluntarios[[#This Row],[RUN]],BBDD[],27,FALSE)=0,"",VLOOKUP(T_Voluntarios[[#This Row],[RUN]],BBDD[],27,FALSE))</f>
        <v/>
      </c>
      <c r="R180" s="2" t="str">
        <f>VLOOKUP(T_Voluntarios[[#This Row],[RUN]],BBDD[],36,FALSE)</f>
        <v>https://drive.google.com/open?id=1C-6sScRCYxZUm5UGmUTF-IyXkt4PVJwC</v>
      </c>
      <c r="S180" s="2" t="str">
        <f>VLOOKUP(T_Voluntarios[[#This Row],[RUN]],BBDD[],16,FALSE)</f>
        <v>Inicial</v>
      </c>
      <c r="T180" s="2" t="str">
        <f>VLOOKUP(T_Voluntarios[[#This Row],[RUN]],BBDD[],17,FALSE)</f>
        <v>Ninguno</v>
      </c>
      <c r="U180" s="2" t="str">
        <f>VLOOKUP(T_Voluntarios[[#This Row],[RUN]],BBDD[],18,FALSE)</f>
        <v>Ninguno</v>
      </c>
      <c r="V180" s="2" t="str">
        <f>VLOOKUP(T_Voluntarios[[#This Row],[RUN]],BBDD[],19,FALSE)</f>
        <v>Ninguno</v>
      </c>
      <c r="W180" s="13" t="str">
        <f>IF(OR(T_Voluntarios[[#This Row],[ROL]]="Formador(a)"),"SI","NO")</f>
        <v>NO</v>
      </c>
      <c r="X180" s="13" t="str">
        <f>IF(ISERROR(VLOOKUP(T_Voluntarios[[#This Row],[RUN]],BBDD_Formadores[],15,FALSE)),"NO",VLOOKUP(T_Voluntarios[[#This Row],[RUN]],BBDD_Formadores[],15,FALSE))</f>
        <v>NO</v>
      </c>
      <c r="Y180" s="13" t="str">
        <f>IF(ISERROR(VLOOKUP(T_Voluntarios[[#This Row],[RUN]],BBDD_Formadores[],16,FALSE)),"NO",VLOOKUP(T_Voluntarios[[#This Row],[RUN]],BBDD_Formadores[],16,FALSE))</f>
        <v>NO</v>
      </c>
      <c r="Z180" s="13" t="str">
        <f>IF(ISERROR(VLOOKUP(T_Voluntarios[[#This Row],[RUN]],BBDD_Formadores[],17,FALSE)),"NO",VLOOKUP(T_Voluntarios[[#This Row],[RUN]],BBDD_Formadores[],17,FALSE))</f>
        <v>NO</v>
      </c>
      <c r="AA180" s="13" t="str">
        <f>IF(ISERROR(VLOOKUP(T_Voluntarios[[#This Row],[RUN]],BBDD_Formadores[],18,FALSE)),"NO",VLOOKUP(T_Voluntarios[[#This Row],[RUN]],BBDD_Formadores[],18,FALSE))</f>
        <v>NO</v>
      </c>
      <c r="AB180" s="13">
        <v>1</v>
      </c>
      <c r="AC180" s="13" t="s">
        <v>1</v>
      </c>
      <c r="AD180" s="13" t="s">
        <v>77</v>
      </c>
      <c r="AF180" s="2" t="str">
        <f>IF(VLOOKUP(T_Voluntarios[[#This Row],[RUN]],BBDD[],25,FALSE)=0,"",VLOOKUP(T_Voluntarios[[#This Row],[RUN]],BBDD[],25,FALSE))</f>
        <v>Ford</v>
      </c>
      <c r="AG180" s="2" t="str">
        <f>IF(VLOOKUP(T_Voluntarios[[#This Row],[RUN]],BBDD[],26,FALSE)=0,"",VLOOKUP(T_Voluntarios[[#This Row],[RUN]],BBDD[],26,FALSE))</f>
        <v>Escape</v>
      </c>
      <c r="AH180" s="2" t="str">
        <f>IF(VLOOKUP(T_Voluntarios[[#This Row],[RUN]],BBDD[],24,FALSE)=0,"",VLOOKUP(T_Voluntarios[[#This Row],[RUN]],BBDD[],24,FALSE))</f>
        <v>DTYK60</v>
      </c>
      <c r="AI180" s="13" t="str">
        <f>VLOOKUP(T_Voluntarios[[#This Row],[RUN]],BBDD[],28,FALSE)</f>
        <v>No</v>
      </c>
      <c r="AJ180" s="13" t="str">
        <f>VLOOKUP(T_Voluntarios[[#This Row],[RUN]],BBDD[],28,FALSE)</f>
        <v>No</v>
      </c>
      <c r="AK180" s="32">
        <f>IF(T_Voluntarios[[#This Row],[ROL]]="Participante",SUMIFS(T_Cuotas[[#All],[Total]],T_Cuotas[[#All],[RUN]],T_Voluntarios[[#This Row],[RUN]]),-1)</f>
        <v>50000</v>
      </c>
      <c r="AL180" s="13" t="s">
        <v>1</v>
      </c>
      <c r="AM180" s="13" t="s">
        <v>2029</v>
      </c>
      <c r="AP180" s="2" t="str">
        <f>MID(T_Voluntarios[[#This Row],[E_MAIL]],SEARCH("@",T_Voluntarios[[#This Row],[E_MAIL]],1),LEN(T_Voluntarios[[#This Row],[E_MAIL]]))</f>
        <v>@gmail.com</v>
      </c>
      <c r="AQ180" s="13" t="str">
        <f>VLOOKUP(T_Voluntarios[[#This Row],[RUN]],BBDD[],37,FALSE)</f>
        <v>28</v>
      </c>
      <c r="AR180" s="2" t="str">
        <f>VLOOKUP(T_Voluntarios[[#This Row],[RUN]],BBDD[],29,FALSE)</f>
        <v>Profesor de Matemática</v>
      </c>
      <c r="AS180" s="2" t="str">
        <f>VLOOKUP(T_Voluntarios[[#This Row],[RUN]],BBDD[],30,FALSE)</f>
        <v>0 años.</v>
      </c>
      <c r="AT180" s="2" t="str">
        <f>VLOOKUP(T_Voluntarios[[#This Row],[RUN]],BBDD[],31,FALSE)</f>
        <v>10 años.</v>
      </c>
      <c r="AU180" s="2" t="str">
        <f>VLOOKUP(T_Voluntarios[[#This Row],[RUN]],BBDD[],32,FALSE)</f>
        <v>Soltero(a)</v>
      </c>
      <c r="AV180" s="2" t="str">
        <f>VLOOKUP(T_Voluntarios[[#This Row],[RUN]],BBDD[],33,FALSE)</f>
        <v>Católica</v>
      </c>
      <c r="AW180" s="2" t="str">
        <f>VLOOKUP(T_Voluntarios[[#This Row],[RUN]],BBDD[],34,FALSE)</f>
        <v>Penta</v>
      </c>
      <c r="AX180" s="13" t="s">
        <v>733</v>
      </c>
      <c r="AY180" s="76">
        <f>VLOOKUP(T_Voluntarios[[#This Row],[RUN]],BBDD[],2,FALSE)</f>
        <v>45800.55601705247</v>
      </c>
      <c r="AZ180" s="13" t="s">
        <v>3403</v>
      </c>
    </row>
    <row r="181" spans="1:52" x14ac:dyDescent="0.3">
      <c r="A181" s="2" t="s">
        <v>2730</v>
      </c>
      <c r="B181" s="2" t="str">
        <f>VLOOKUP(T_Voluntarios[[#This Row],[RUN]],BBDD[],3,FALSE)</f>
        <v>paulaacastillotorres@gmail.com</v>
      </c>
      <c r="C181" s="2" t="str">
        <f>VLOOKUP(T_Voluntarios[[#This Row],[RUN]],BBDD[],4,FALSE)</f>
        <v>Paula Andrea Castillo Torres</v>
      </c>
      <c r="D181" s="16">
        <f>VLOOKUP(T_Voluntarios[[#This Row],[RUN]],BBDD[],5,FALSE)</f>
        <v>32003</v>
      </c>
      <c r="E181" s="2" t="str">
        <f>VLOOKUP(T_Voluntarios[[#This Row],[RUN]],BBDD[],6,FALSE)</f>
        <v>Los cóndores 471, Altos del Este</v>
      </c>
      <c r="F181" s="2" t="str">
        <f>VLOOKUP(T_Voluntarios[[#This Row],[RUN]],BBDD[],7,FALSE)</f>
        <v>Chillán</v>
      </c>
      <c r="G181" s="2" t="str">
        <f>VLOOKUP(T_Voluntarios[[#This Row],[RUN]],BBDD[],8,FALSE)</f>
        <v>Celular</v>
      </c>
      <c r="H181" s="2" t="str">
        <f>IF(VLOOKUP(T_Voluntarios[[#This Row],[RUN]],BBDD[],9,FALSE)=0,"Falta",VLOOKUP(T_Voluntarios[[#This Row],[RUN]],BBDD[],9,FALSE))</f>
        <v>+56951394372</v>
      </c>
      <c r="I181" s="2" t="str">
        <f>VLOOKUP(T_Voluntarios[[#This Row],[RUN]],BBDD[],10,FALSE)</f>
        <v>Participante</v>
      </c>
      <c r="J181" s="2" t="str">
        <f>VLOOKUP(T_Voluntarios[[#This Row],[RUN]],BBDD[],11,FALSE)</f>
        <v>San Vicente</v>
      </c>
      <c r="K181" s="2" t="str">
        <f>VLOOKUP(T_Voluntarios[[#This Row],[RUN]],BBDD[],12,FALSE)</f>
        <v>Caminantes</v>
      </c>
      <c r="L181" s="2" t="str">
        <f>VLOOKUP(T_Voluntarios[[#This Row],[RUN]],BBDD[],15,FALSE)</f>
        <v>Zona Ñuble</v>
      </c>
      <c r="M181" s="2" t="str">
        <f>VLOOKUP(T_Voluntarios[[#This Row],[RUN]],BBDD[],20,FALSE)</f>
        <v>Alimentación Tradicional</v>
      </c>
      <c r="N181" s="2" t="str">
        <f>VLOOKUP(T_Voluntarios[[#This Row],[RUN]],BBDD[],21,FALSE)</f>
        <v>Ninguna</v>
      </c>
      <c r="O181" s="2" t="str">
        <f>VLOOKUP(T_Voluntarios[[#This Row],[RUN]],BBDD[],22,FALSE)</f>
        <v>Ninguna</v>
      </c>
      <c r="P181" s="2" t="str">
        <f>VLOOKUP(T_Voluntarios[[#This Row],[RUN]],BBDD[],23,FALSE)</f>
        <v>Felipe Inostroza num 966537314</v>
      </c>
      <c r="Q181" s="2" t="str">
        <f>IF(VLOOKUP(T_Voluntarios[[#This Row],[RUN]],BBDD[],27,FALSE)=0,"",VLOOKUP(T_Voluntarios[[#This Row],[RUN]],BBDD[],27,FALSE))</f>
        <v/>
      </c>
      <c r="R181" s="2" t="str">
        <f>VLOOKUP(T_Voluntarios[[#This Row],[RUN]],BBDD[],36,FALSE)</f>
        <v>https://drive.google.com/open?id=1ePRJmgUJgpKqM6Fdaekb8Y6MtPve51_M</v>
      </c>
      <c r="S181" s="2" t="str">
        <f>VLOOKUP(T_Voluntarios[[#This Row],[RUN]],BBDD[],16,FALSE)</f>
        <v>Inicial</v>
      </c>
      <c r="T181" s="2" t="str">
        <f>VLOOKUP(T_Voluntarios[[#This Row],[RUN]],BBDD[],17,FALSE)</f>
        <v>Ninguno</v>
      </c>
      <c r="U181" s="2" t="str">
        <f>VLOOKUP(T_Voluntarios[[#This Row],[RUN]],BBDD[],18,FALSE)</f>
        <v>Ninguno</v>
      </c>
      <c r="V181" s="2" t="str">
        <f>VLOOKUP(T_Voluntarios[[#This Row],[RUN]],BBDD[],19,FALSE)</f>
        <v>Ninguno</v>
      </c>
      <c r="W181" s="13" t="str">
        <f>IF(OR(T_Voluntarios[[#This Row],[ROL]]="Formador(a)"),"SI","NO")</f>
        <v>NO</v>
      </c>
      <c r="X181" s="13" t="str">
        <f>IF(ISERROR(VLOOKUP(T_Voluntarios[[#This Row],[RUN]],BBDD_Formadores[],15,FALSE)),"NO",VLOOKUP(T_Voluntarios[[#This Row],[RUN]],BBDD_Formadores[],15,FALSE))</f>
        <v>NO</v>
      </c>
      <c r="Y181" s="13" t="str">
        <f>IF(ISERROR(VLOOKUP(T_Voluntarios[[#This Row],[RUN]],BBDD_Formadores[],16,FALSE)),"NO",VLOOKUP(T_Voluntarios[[#This Row],[RUN]],BBDD_Formadores[],16,FALSE))</f>
        <v>NO</v>
      </c>
      <c r="Z181" s="13" t="str">
        <f>IF(ISERROR(VLOOKUP(T_Voluntarios[[#This Row],[RUN]],BBDD_Formadores[],17,FALSE)),"NO",VLOOKUP(T_Voluntarios[[#This Row],[RUN]],BBDD_Formadores[],17,FALSE))</f>
        <v>NO</v>
      </c>
      <c r="AA181" s="13" t="str">
        <f>IF(ISERROR(VLOOKUP(T_Voluntarios[[#This Row],[RUN]],BBDD_Formadores[],18,FALSE)),"NO",VLOOKUP(T_Voluntarios[[#This Row],[RUN]],BBDD_Formadores[],18,FALSE))</f>
        <v>NO</v>
      </c>
      <c r="AB181" s="13">
        <v>1</v>
      </c>
      <c r="AC181" s="13" t="s">
        <v>1</v>
      </c>
      <c r="AD181" s="13" t="s">
        <v>77</v>
      </c>
      <c r="AF181" s="2" t="str">
        <f>IF(VLOOKUP(T_Voluntarios[[#This Row],[RUN]],BBDD[],25,FALSE)=0,"",VLOOKUP(T_Voluntarios[[#This Row],[RUN]],BBDD[],25,FALSE))</f>
        <v/>
      </c>
      <c r="AG181" s="2" t="str">
        <f>IF(VLOOKUP(T_Voluntarios[[#This Row],[RUN]],BBDD[],26,FALSE)=0,"",VLOOKUP(T_Voluntarios[[#This Row],[RUN]],BBDD[],26,FALSE))</f>
        <v/>
      </c>
      <c r="AH181" s="2" t="str">
        <f>IF(VLOOKUP(T_Voluntarios[[#This Row],[RUN]],BBDD[],24,FALSE)=0,"",VLOOKUP(T_Voluntarios[[#This Row],[RUN]],BBDD[],24,FALSE))</f>
        <v/>
      </c>
      <c r="AI181" s="13" t="str">
        <f>VLOOKUP(T_Voluntarios[[#This Row],[RUN]],BBDD[],28,FALSE)</f>
        <v>SI</v>
      </c>
      <c r="AJ181" s="13" t="str">
        <f>VLOOKUP(T_Voluntarios[[#This Row],[RUN]],BBDD[],28,FALSE)</f>
        <v>SI</v>
      </c>
      <c r="AK181" s="32">
        <f>IF(T_Voluntarios[[#This Row],[ROL]]="Participante",SUMIFS(T_Cuotas[[#All],[Total]],T_Cuotas[[#All],[RUN]],T_Voluntarios[[#This Row],[RUN]]),-1)</f>
        <v>50000</v>
      </c>
      <c r="AL181" s="13" t="s">
        <v>1</v>
      </c>
      <c r="AM181" s="13" t="s">
        <v>2029</v>
      </c>
      <c r="AP181" s="2" t="str">
        <f>MID(T_Voluntarios[[#This Row],[E_MAIL]],SEARCH("@",T_Voluntarios[[#This Row],[E_MAIL]],1),LEN(T_Voluntarios[[#This Row],[E_MAIL]]))</f>
        <v>@gmail.com</v>
      </c>
      <c r="AQ181" s="13" t="str">
        <f>VLOOKUP(T_Voluntarios[[#This Row],[RUN]],BBDD[],37,FALSE)</f>
        <v>37</v>
      </c>
      <c r="AR181" s="2" t="str">
        <f>VLOOKUP(T_Voluntarios[[#This Row],[RUN]],BBDD[],29,FALSE)</f>
        <v>Ing.de Ejecución en Administración</v>
      </c>
      <c r="AS181" s="2" t="str">
        <f>VLOOKUP(T_Voluntarios[[#This Row],[RUN]],BBDD[],30,FALSE)</f>
        <v>8 años</v>
      </c>
      <c r="AT181" s="2" t="str">
        <f>VLOOKUP(T_Voluntarios[[#This Row],[RUN]],BBDD[],31,FALSE)</f>
        <v>8 años</v>
      </c>
      <c r="AU181" s="2" t="str">
        <f>VLOOKUP(T_Voluntarios[[#This Row],[RUN]],BBDD[],32,FALSE)</f>
        <v>Soltero(a)</v>
      </c>
      <c r="AV181" s="2" t="str">
        <f>VLOOKUP(T_Voluntarios[[#This Row],[RUN]],BBDD[],33,FALSE)</f>
        <v>Ninguna</v>
      </c>
      <c r="AW181" s="2" t="str">
        <f>VLOOKUP(T_Voluntarios[[#This Row],[RUN]],BBDD[],34,FALSE)</f>
        <v>Pau</v>
      </c>
      <c r="AX181" s="13" t="s">
        <v>733</v>
      </c>
      <c r="AY181" s="76">
        <f>VLOOKUP(T_Voluntarios[[#This Row],[RUN]],BBDD[],2,FALSE)</f>
        <v>45800.666123919757</v>
      </c>
      <c r="AZ181" s="13" t="s">
        <v>3402</v>
      </c>
    </row>
    <row r="182" spans="1:52" x14ac:dyDescent="0.3">
      <c r="A182" s="2" t="s">
        <v>2740</v>
      </c>
      <c r="B182" s="2" t="str">
        <f>VLOOKUP(T_Voluntarios[[#This Row],[RUN]],BBDD[],3,FALSE)</f>
        <v>coni.beltranfe@gmail.com</v>
      </c>
      <c r="C182" s="2" t="str">
        <f>VLOOKUP(T_Voluntarios[[#This Row],[RUN]],BBDD[],4,FALSE)</f>
        <v>Constanza Elizabeth Beltran Fuentes</v>
      </c>
      <c r="D182" s="16">
        <f>VLOOKUP(T_Voluntarios[[#This Row],[RUN]],BBDD[],5,FALSE)</f>
        <v>37359</v>
      </c>
      <c r="E182" s="2" t="str">
        <f>VLOOKUP(T_Voluntarios[[#This Row],[RUN]],BBDD[],6,FALSE)</f>
        <v>las quintas 578</v>
      </c>
      <c r="F182" s="2" t="str">
        <f>VLOOKUP(T_Voluntarios[[#This Row],[RUN]],BBDD[],7,FALSE)</f>
        <v>Los Ángeles</v>
      </c>
      <c r="G182" s="2" t="str">
        <f>VLOOKUP(T_Voluntarios[[#This Row],[RUN]],BBDD[],8,FALSE)</f>
        <v>Celular</v>
      </c>
      <c r="H182" s="2" t="str">
        <f>IF(VLOOKUP(T_Voluntarios[[#This Row],[RUN]],BBDD[],9,FALSE)=0,"Falta",VLOOKUP(T_Voluntarios[[#This Row],[RUN]],BBDD[],9,FALSE))</f>
        <v>+56945936163</v>
      </c>
      <c r="I182" s="2" t="str">
        <f>VLOOKUP(T_Voluntarios[[#This Row],[RUN]],BBDD[],10,FALSE)</f>
        <v>Participante</v>
      </c>
      <c r="J182" s="2" t="str">
        <f>VLOOKUP(T_Voluntarios[[#This Row],[RUN]],BBDD[],11,FALSE)</f>
        <v>Buen Pastor</v>
      </c>
      <c r="K182" s="2" t="str">
        <f>VLOOKUP(T_Voluntarios[[#This Row],[RUN]],BBDD[],12,FALSE)</f>
        <v>Pioneros</v>
      </c>
      <c r="L182" s="2" t="str">
        <f>VLOOKUP(T_Voluntarios[[#This Row],[RUN]],BBDD[],15,FALSE)</f>
        <v>Biobío</v>
      </c>
      <c r="M182" s="2" t="str">
        <f>VLOOKUP(T_Voluntarios[[#This Row],[RUN]],BBDD[],20,FALSE)</f>
        <v>Sin Almuerzo</v>
      </c>
      <c r="N182" s="2" t="str">
        <f>VLOOKUP(T_Voluntarios[[#This Row],[RUN]],BBDD[],21,FALSE)</f>
        <v>Ninguna</v>
      </c>
      <c r="O182" s="2" t="str">
        <f>VLOOKUP(T_Voluntarios[[#This Row],[RUN]],BBDD[],22,FALSE)</f>
        <v>Ninguna</v>
      </c>
      <c r="P182" s="2" t="str">
        <f>VLOOKUP(T_Voluntarios[[#This Row],[RUN]],BBDD[],23,FALSE)</f>
        <v>elizabeth fuentes 983848123</v>
      </c>
      <c r="Q182" s="2" t="str">
        <f>IF(VLOOKUP(T_Voluntarios[[#This Row],[RUN]],BBDD[],27,FALSE)=0,"",VLOOKUP(T_Voluntarios[[#This Row],[RUN]],BBDD[],27,FALSE))</f>
        <v/>
      </c>
      <c r="R182" s="2" t="str">
        <f>VLOOKUP(T_Voluntarios[[#This Row],[RUN]],BBDD[],36,FALSE)</f>
        <v>https://drive.google.com/open?id=1H0n2W3AMAom1yWhjleV2shVE0omyNGS8</v>
      </c>
      <c r="S182" s="2" t="str">
        <f>VLOOKUP(T_Voluntarios[[#This Row],[RUN]],BBDD[],16,FALSE)</f>
        <v>Inicial</v>
      </c>
      <c r="T182" s="2" t="str">
        <f>VLOOKUP(T_Voluntarios[[#This Row],[RUN]],BBDD[],17,FALSE)</f>
        <v>Ninguno</v>
      </c>
      <c r="U182" s="2" t="str">
        <f>VLOOKUP(T_Voluntarios[[#This Row],[RUN]],BBDD[],18,FALSE)</f>
        <v>Ninguno</v>
      </c>
      <c r="V182" s="2" t="str">
        <f>VLOOKUP(T_Voluntarios[[#This Row],[RUN]],BBDD[],19,FALSE)</f>
        <v>Ninguno</v>
      </c>
      <c r="W182" s="13" t="str">
        <f>IF(OR(T_Voluntarios[[#This Row],[ROL]]="Formador(a)"),"SI","NO")</f>
        <v>NO</v>
      </c>
      <c r="X182" s="13" t="str">
        <f>IF(ISERROR(VLOOKUP(T_Voluntarios[[#This Row],[RUN]],BBDD_Formadores[],15,FALSE)),"NO",VLOOKUP(T_Voluntarios[[#This Row],[RUN]],BBDD_Formadores[],15,FALSE))</f>
        <v>NO</v>
      </c>
      <c r="Y182" s="13" t="str">
        <f>IF(ISERROR(VLOOKUP(T_Voluntarios[[#This Row],[RUN]],BBDD_Formadores[],16,FALSE)),"NO",VLOOKUP(T_Voluntarios[[#This Row],[RUN]],BBDD_Formadores[],16,FALSE))</f>
        <v>NO</v>
      </c>
      <c r="Z182" s="13" t="str">
        <f>IF(ISERROR(VLOOKUP(T_Voluntarios[[#This Row],[RUN]],BBDD_Formadores[],17,FALSE)),"NO",VLOOKUP(T_Voluntarios[[#This Row],[RUN]],BBDD_Formadores[],17,FALSE))</f>
        <v>NO</v>
      </c>
      <c r="AA182" s="13" t="str">
        <f>IF(ISERROR(VLOOKUP(T_Voluntarios[[#This Row],[RUN]],BBDD_Formadores[],18,FALSE)),"NO",VLOOKUP(T_Voluntarios[[#This Row],[RUN]],BBDD_Formadores[],18,FALSE))</f>
        <v>NO</v>
      </c>
      <c r="AB182" s="13">
        <v>1</v>
      </c>
      <c r="AC182" s="13" t="s">
        <v>1</v>
      </c>
      <c r="AD182" s="13" t="s">
        <v>77</v>
      </c>
      <c r="AF182" s="2" t="str">
        <f>IF(VLOOKUP(T_Voluntarios[[#This Row],[RUN]],BBDD[],25,FALSE)=0,"",VLOOKUP(T_Voluntarios[[#This Row],[RUN]],BBDD[],25,FALSE))</f>
        <v/>
      </c>
      <c r="AG182" s="2" t="str">
        <f>IF(VLOOKUP(T_Voluntarios[[#This Row],[RUN]],BBDD[],26,FALSE)=0,"",VLOOKUP(T_Voluntarios[[#This Row],[RUN]],BBDD[],26,FALSE))</f>
        <v/>
      </c>
      <c r="AH182" s="2" t="str">
        <f>IF(VLOOKUP(T_Voluntarios[[#This Row],[RUN]],BBDD[],24,FALSE)=0,"",VLOOKUP(T_Voluntarios[[#This Row],[RUN]],BBDD[],24,FALSE))</f>
        <v/>
      </c>
      <c r="AI182" s="13" t="str">
        <f>VLOOKUP(T_Voluntarios[[#This Row],[RUN]],BBDD[],28,FALSE)</f>
        <v>No</v>
      </c>
      <c r="AJ182" s="13" t="str">
        <f>VLOOKUP(T_Voluntarios[[#This Row],[RUN]],BBDD[],28,FALSE)</f>
        <v>No</v>
      </c>
      <c r="AK182" s="32">
        <f>IF(T_Voluntarios[[#This Row],[ROL]]="Participante",SUMIFS(T_Cuotas[[#All],[Total]],T_Cuotas[[#All],[RUN]],T_Voluntarios[[#This Row],[RUN]]),-1)</f>
        <v>36500</v>
      </c>
      <c r="AL182" s="13" t="s">
        <v>1</v>
      </c>
      <c r="AM182" s="13" t="s">
        <v>2029</v>
      </c>
      <c r="AP182" s="2" t="str">
        <f>MID(T_Voluntarios[[#This Row],[E_MAIL]],SEARCH("@",T_Voluntarios[[#This Row],[E_MAIL]],1),LEN(T_Voluntarios[[#This Row],[E_MAIL]]))</f>
        <v>@gmail.com</v>
      </c>
      <c r="AQ182" s="13" t="str">
        <f>VLOOKUP(T_Voluntarios[[#This Row],[RUN]],BBDD[],37,FALSE)</f>
        <v>23</v>
      </c>
      <c r="AR182" s="2" t="str">
        <f>VLOOKUP(T_Voluntarios[[#This Row],[RUN]],BBDD[],29,FALSE)</f>
        <v>estudiantes universitario</v>
      </c>
      <c r="AS182" s="2" t="str">
        <f>VLOOKUP(T_Voluntarios[[#This Row],[RUN]],BBDD[],30,FALSE)</f>
        <v>12 años</v>
      </c>
      <c r="AT182" s="2" t="str">
        <f>VLOOKUP(T_Voluntarios[[#This Row],[RUN]],BBDD[],31,FALSE)</f>
        <v>No</v>
      </c>
      <c r="AU182" s="2" t="str">
        <f>VLOOKUP(T_Voluntarios[[#This Row],[RUN]],BBDD[],32,FALSE)</f>
        <v>Soltero(a)</v>
      </c>
      <c r="AV182" s="2" t="str">
        <f>VLOOKUP(T_Voluntarios[[#This Row],[RUN]],BBDD[],33,FALSE)</f>
        <v>Ninguna</v>
      </c>
      <c r="AW182" s="2" t="str">
        <f>VLOOKUP(T_Voluntarios[[#This Row],[RUN]],BBDD[],34,FALSE)</f>
        <v>coni be</v>
      </c>
      <c r="AX182" s="13" t="s">
        <v>733</v>
      </c>
      <c r="AY182" s="76">
        <f>VLOOKUP(T_Voluntarios[[#This Row],[RUN]],BBDD[],2,FALSE)</f>
        <v>45800.701868132717</v>
      </c>
      <c r="AZ182" s="13" t="s">
        <v>3402</v>
      </c>
    </row>
    <row r="183" spans="1:52" x14ac:dyDescent="0.3">
      <c r="A183" s="2" t="s">
        <v>2749</v>
      </c>
      <c r="B183" s="2" t="str">
        <f>VLOOKUP(T_Voluntarios[[#This Row],[RUN]],BBDD[],3,FALSE)</f>
        <v>jaimesep68@gmail.com</v>
      </c>
      <c r="C183" s="2" t="str">
        <f>VLOOKUP(T_Voluntarios[[#This Row],[RUN]],BBDD[],4,FALSE)</f>
        <v>Jaime Alejandro Sepulveda Sepulveda</v>
      </c>
      <c r="D183" s="16">
        <f>VLOOKUP(T_Voluntarios[[#This Row],[RUN]],BBDD[],5,FALSE)</f>
        <v>24943</v>
      </c>
      <c r="E183" s="2" t="str">
        <f>VLOOKUP(T_Voluntarios[[#This Row],[RUN]],BBDD[],6,FALSE)</f>
        <v>Pasaje rio cau cau 931 villa alcalde navas chillan</v>
      </c>
      <c r="F183" s="2" t="str">
        <f>VLOOKUP(T_Voluntarios[[#This Row],[RUN]],BBDD[],7,FALSE)</f>
        <v>Chillán</v>
      </c>
      <c r="G183" s="2" t="str">
        <f>VLOOKUP(T_Voluntarios[[#This Row],[RUN]],BBDD[],8,FALSE)</f>
        <v>Celular</v>
      </c>
      <c r="H183" s="2" t="str">
        <f>IF(VLOOKUP(T_Voluntarios[[#This Row],[RUN]],BBDD[],9,FALSE)=0,"Falta",VLOOKUP(T_Voluntarios[[#This Row],[RUN]],BBDD[],9,FALSE))</f>
        <v>+56940714170</v>
      </c>
      <c r="I183" s="2" t="str">
        <f>VLOOKUP(T_Voluntarios[[#This Row],[RUN]],BBDD[],10,FALSE)</f>
        <v>Participante</v>
      </c>
      <c r="J183" s="2" t="str">
        <f>VLOOKUP(T_Voluntarios[[#This Row],[RUN]],BBDD[],11,FALSE)</f>
        <v>Terranova</v>
      </c>
      <c r="K183" s="2" t="str">
        <f>VLOOKUP(T_Voluntarios[[#This Row],[RUN]],BBDD[],12,FALSE)</f>
        <v>Lobatos</v>
      </c>
      <c r="L183" s="2" t="str">
        <f>VLOOKUP(T_Voluntarios[[#This Row],[RUN]],BBDD[],15,FALSE)</f>
        <v>Zona Ñuble</v>
      </c>
      <c r="M183" s="2" t="str">
        <f>VLOOKUP(T_Voluntarios[[#This Row],[RUN]],BBDD[],20,FALSE)</f>
        <v>Alimentación Tradicional</v>
      </c>
      <c r="N183" s="2" t="str">
        <f>VLOOKUP(T_Voluntarios[[#This Row],[RUN]],BBDD[],21,FALSE)</f>
        <v>Ninguna</v>
      </c>
      <c r="O183" s="2" t="str">
        <f>VLOOKUP(T_Voluntarios[[#This Row],[RUN]],BBDD[],22,FALSE)</f>
        <v>Movilidad poco limitada, Rotura Masiva del manguito rotador</v>
      </c>
      <c r="P183" s="2" t="str">
        <f>VLOOKUP(T_Voluntarios[[#This Row],[RUN]],BBDD[],23,FALSE)</f>
        <v>Enzo Rubilar   +56 9 7241 5470</v>
      </c>
      <c r="Q183" s="2" t="str">
        <f>IF(VLOOKUP(T_Voluntarios[[#This Row],[RUN]],BBDD[],27,FALSE)=0,"",VLOOKUP(T_Voluntarios[[#This Row],[RUN]],BBDD[],27,FALSE))</f>
        <v/>
      </c>
      <c r="R183" s="2" t="str">
        <f>VLOOKUP(T_Voluntarios[[#This Row],[RUN]],BBDD[],36,FALSE)</f>
        <v>https://drive.google.com/open?id=1wjzkG7j0bL49WaVD0C9a2Spk1c4Dn65i</v>
      </c>
      <c r="S183" s="2" t="str">
        <f>VLOOKUP(T_Voluntarios[[#This Row],[RUN]],BBDD[],16,FALSE)</f>
        <v>Inicial</v>
      </c>
      <c r="T183" s="2" t="str">
        <f>VLOOKUP(T_Voluntarios[[#This Row],[RUN]],BBDD[],17,FALSE)</f>
        <v>Ninguno</v>
      </c>
      <c r="U183" s="2" t="str">
        <f>VLOOKUP(T_Voluntarios[[#This Row],[RUN]],BBDD[],18,FALSE)</f>
        <v>Ninguno</v>
      </c>
      <c r="V183" s="2" t="str">
        <f>VLOOKUP(T_Voluntarios[[#This Row],[RUN]],BBDD[],19,FALSE)</f>
        <v>Ninguno</v>
      </c>
      <c r="W183" s="13" t="str">
        <f>IF(OR(T_Voluntarios[[#This Row],[ROL]]="Formador(a)"),"SI","NO")</f>
        <v>NO</v>
      </c>
      <c r="X183" s="13" t="str">
        <f>IF(ISERROR(VLOOKUP(T_Voluntarios[[#This Row],[RUN]],BBDD_Formadores[],15,FALSE)),"NO",VLOOKUP(T_Voluntarios[[#This Row],[RUN]],BBDD_Formadores[],15,FALSE))</f>
        <v>NO</v>
      </c>
      <c r="Y183" s="13" t="str">
        <f>IF(ISERROR(VLOOKUP(T_Voluntarios[[#This Row],[RUN]],BBDD_Formadores[],16,FALSE)),"NO",VLOOKUP(T_Voluntarios[[#This Row],[RUN]],BBDD_Formadores[],16,FALSE))</f>
        <v>NO</v>
      </c>
      <c r="Z183" s="13" t="str">
        <f>IF(ISERROR(VLOOKUP(T_Voluntarios[[#This Row],[RUN]],BBDD_Formadores[],17,FALSE)),"NO",VLOOKUP(T_Voluntarios[[#This Row],[RUN]],BBDD_Formadores[],17,FALSE))</f>
        <v>NO</v>
      </c>
      <c r="AA183" s="13" t="str">
        <f>IF(ISERROR(VLOOKUP(T_Voluntarios[[#This Row],[RUN]],BBDD_Formadores[],18,FALSE)),"NO",VLOOKUP(T_Voluntarios[[#This Row],[RUN]],BBDD_Formadores[],18,FALSE))</f>
        <v>NO</v>
      </c>
      <c r="AB183" s="13">
        <v>1</v>
      </c>
      <c r="AC183" s="13" t="s">
        <v>1597</v>
      </c>
      <c r="AD183" s="13" t="s">
        <v>78</v>
      </c>
      <c r="AF183" s="2" t="str">
        <f>IF(VLOOKUP(T_Voluntarios[[#This Row],[RUN]],BBDD[],25,FALSE)=0,"",VLOOKUP(T_Voluntarios[[#This Row],[RUN]],BBDD[],25,FALSE))</f>
        <v/>
      </c>
      <c r="AG183" s="2" t="str">
        <f>IF(VLOOKUP(T_Voluntarios[[#This Row],[RUN]],BBDD[],26,FALSE)=0,"",VLOOKUP(T_Voluntarios[[#This Row],[RUN]],BBDD[],26,FALSE))</f>
        <v/>
      </c>
      <c r="AH183" s="2" t="str">
        <f>IF(VLOOKUP(T_Voluntarios[[#This Row],[RUN]],BBDD[],24,FALSE)=0,"",VLOOKUP(T_Voluntarios[[#This Row],[RUN]],BBDD[],24,FALSE))</f>
        <v/>
      </c>
      <c r="AI183" s="13" t="str">
        <f>VLOOKUP(T_Voluntarios[[#This Row],[RUN]],BBDD[],28,FALSE)</f>
        <v>SI</v>
      </c>
      <c r="AJ183" s="13" t="str">
        <f>VLOOKUP(T_Voluntarios[[#This Row],[RUN]],BBDD[],28,FALSE)</f>
        <v>SI</v>
      </c>
      <c r="AK183" s="32">
        <f>IF(T_Voluntarios[[#This Row],[ROL]]="Participante",SUMIFS(T_Cuotas[[#All],[Total]],T_Cuotas[[#All],[RUN]],T_Voluntarios[[#This Row],[RUN]]),-1)</f>
        <v>0</v>
      </c>
      <c r="AL183" s="13" t="s">
        <v>2</v>
      </c>
      <c r="AM183" s="13" t="s">
        <v>733</v>
      </c>
      <c r="AP183" s="2" t="str">
        <f>MID(T_Voluntarios[[#This Row],[E_MAIL]],SEARCH("@",T_Voluntarios[[#This Row],[E_MAIL]],1),LEN(T_Voluntarios[[#This Row],[E_MAIL]]))</f>
        <v>@gmail.com</v>
      </c>
      <c r="AQ183" s="13" t="str">
        <f>VLOOKUP(T_Voluntarios[[#This Row],[RUN]],BBDD[],37,FALSE)</f>
        <v>57</v>
      </c>
      <c r="AR183" s="2" t="str">
        <f>VLOOKUP(T_Voluntarios[[#This Row],[RUN]],BBDD[],29,FALSE)</f>
        <v>constructor</v>
      </c>
      <c r="AS183" s="2" t="str">
        <f>VLOOKUP(T_Voluntarios[[#This Row],[RUN]],BBDD[],30,FALSE)</f>
        <v>0</v>
      </c>
      <c r="AT183" s="2" t="str">
        <f>VLOOKUP(T_Voluntarios[[#This Row],[RUN]],BBDD[],31,FALSE)</f>
        <v>20 años</v>
      </c>
      <c r="AU183" s="2" t="str">
        <f>VLOOKUP(T_Voluntarios[[#This Row],[RUN]],BBDD[],32,FALSE)</f>
        <v>Soltero(a)</v>
      </c>
      <c r="AV183" s="2" t="str">
        <f>VLOOKUP(T_Voluntarios[[#This Row],[RUN]],BBDD[],33,FALSE)</f>
        <v>Catolica</v>
      </c>
      <c r="AW183" s="2" t="str">
        <f>VLOOKUP(T_Voluntarios[[#This Row],[RUN]],BBDD[],34,FALSE)</f>
        <v>Jaimito</v>
      </c>
      <c r="AX183" s="13" t="s">
        <v>733</v>
      </c>
      <c r="AY183" s="76">
        <f>VLOOKUP(T_Voluntarios[[#This Row],[RUN]],BBDD[],2,FALSE)</f>
        <v>45800.719739081789</v>
      </c>
      <c r="AZ183" s="13" t="s">
        <v>2</v>
      </c>
    </row>
    <row r="184" spans="1:52" x14ac:dyDescent="0.3">
      <c r="A184" s="2" t="s">
        <v>2762</v>
      </c>
      <c r="B184" s="2" t="str">
        <f>VLOOKUP(T_Voluntarios[[#This Row],[RUN]],BBDD[],3,FALSE)</f>
        <v>pedrogonzalezirribarra@gmail.com</v>
      </c>
      <c r="C184" s="2" t="str">
        <f>VLOOKUP(T_Voluntarios[[#This Row],[RUN]],BBDD[],4,FALSE)</f>
        <v>Pedro Ignacio González Irribarra</v>
      </c>
      <c r="D184" s="16">
        <f>VLOOKUP(T_Voluntarios[[#This Row],[RUN]],BBDD[],5,FALSE)</f>
        <v>37336</v>
      </c>
      <c r="E184" s="2" t="str">
        <f>VLOOKUP(T_Voluntarios[[#This Row],[RUN]],BBDD[],6,FALSE)</f>
        <v>Parque Cabeceros 208</v>
      </c>
      <c r="F184" s="2" t="str">
        <f>VLOOKUP(T_Voluntarios[[#This Row],[RUN]],BBDD[],7,FALSE)</f>
        <v>Los Ángeles</v>
      </c>
      <c r="G184" s="2" t="str">
        <f>VLOOKUP(T_Voluntarios[[#This Row],[RUN]],BBDD[],8,FALSE)</f>
        <v>Celular</v>
      </c>
      <c r="H184" s="2" t="str">
        <f>IF(VLOOKUP(T_Voluntarios[[#This Row],[RUN]],BBDD[],9,FALSE)=0,"Falta",VLOOKUP(T_Voluntarios[[#This Row],[RUN]],BBDD[],9,FALSE))</f>
        <v>+56989183192</v>
      </c>
      <c r="I184" s="2" t="str">
        <f>VLOOKUP(T_Voluntarios[[#This Row],[RUN]],BBDD[],10,FALSE)</f>
        <v>Participante</v>
      </c>
      <c r="J184" s="2" t="str">
        <f>VLOOKUP(T_Voluntarios[[#This Row],[RUN]],BBDD[],11,FALSE)</f>
        <v>Santa María</v>
      </c>
      <c r="K184" s="2" t="str">
        <f>VLOOKUP(T_Voluntarios[[#This Row],[RUN]],BBDD[],12,FALSE)</f>
        <v>Pioneros</v>
      </c>
      <c r="L184" s="2" t="str">
        <f>VLOOKUP(T_Voluntarios[[#This Row],[RUN]],BBDD[],15,FALSE)</f>
        <v>Biobío</v>
      </c>
      <c r="M184" s="2" t="str">
        <f>VLOOKUP(T_Voluntarios[[#This Row],[RUN]],BBDD[],20,FALSE)</f>
        <v>Alimentación Tradicional</v>
      </c>
      <c r="N184" s="2" t="str">
        <f>VLOOKUP(T_Voluntarios[[#This Row],[RUN]],BBDD[],21,FALSE)</f>
        <v>Ninguna</v>
      </c>
      <c r="O184" s="2" t="str">
        <f>VLOOKUP(T_Voluntarios[[#This Row],[RUN]],BBDD[],22,FALSE)</f>
        <v>Ninguna</v>
      </c>
      <c r="P184" s="2" t="str">
        <f>VLOOKUP(T_Voluntarios[[#This Row],[RUN]],BBDD[],23,FALSE)</f>
        <v>Alejandra Irribarra +56964352577</v>
      </c>
      <c r="Q184" s="2" t="str">
        <f>IF(VLOOKUP(T_Voluntarios[[#This Row],[RUN]],BBDD[],27,FALSE)=0,"",VLOOKUP(T_Voluntarios[[#This Row],[RUN]],BBDD[],27,FALSE))</f>
        <v/>
      </c>
      <c r="R184" s="2" t="str">
        <f>VLOOKUP(T_Voluntarios[[#This Row],[RUN]],BBDD[],36,FALSE)</f>
        <v>https://drive.google.com/open?id=1VGVzFDSMMuQ01idjkTbspHKlX072FgA5</v>
      </c>
      <c r="S184" s="2" t="str">
        <f>VLOOKUP(T_Voluntarios[[#This Row],[RUN]],BBDD[],16,FALSE)</f>
        <v>Inicial</v>
      </c>
      <c r="T184" s="2" t="str">
        <f>VLOOKUP(T_Voluntarios[[#This Row],[RUN]],BBDD[],17,FALSE)</f>
        <v>Ninguno</v>
      </c>
      <c r="U184" s="2" t="str">
        <f>VLOOKUP(T_Voluntarios[[#This Row],[RUN]],BBDD[],18,FALSE)</f>
        <v>Ninguno</v>
      </c>
      <c r="V184" s="2" t="str">
        <f>VLOOKUP(T_Voluntarios[[#This Row],[RUN]],BBDD[],19,FALSE)</f>
        <v>Ninguno</v>
      </c>
      <c r="W184" s="13" t="str">
        <f>IF(OR(T_Voluntarios[[#This Row],[ROL]]="Formador(a)"),"SI","NO")</f>
        <v>NO</v>
      </c>
      <c r="X184" s="13" t="str">
        <f>IF(ISERROR(VLOOKUP(T_Voluntarios[[#This Row],[RUN]],BBDD_Formadores[],15,FALSE)),"NO",VLOOKUP(T_Voluntarios[[#This Row],[RUN]],BBDD_Formadores[],15,FALSE))</f>
        <v>NO</v>
      </c>
      <c r="Y184" s="13" t="str">
        <f>IF(ISERROR(VLOOKUP(T_Voluntarios[[#This Row],[RUN]],BBDD_Formadores[],16,FALSE)),"NO",VLOOKUP(T_Voluntarios[[#This Row],[RUN]],BBDD_Formadores[],16,FALSE))</f>
        <v>NO</v>
      </c>
      <c r="Z184" s="13" t="str">
        <f>IF(ISERROR(VLOOKUP(T_Voluntarios[[#This Row],[RUN]],BBDD_Formadores[],17,FALSE)),"NO",VLOOKUP(T_Voluntarios[[#This Row],[RUN]],BBDD_Formadores[],17,FALSE))</f>
        <v>NO</v>
      </c>
      <c r="AA184" s="13" t="str">
        <f>IF(ISERROR(VLOOKUP(T_Voluntarios[[#This Row],[RUN]],BBDD_Formadores[],18,FALSE)),"NO",VLOOKUP(T_Voluntarios[[#This Row],[RUN]],BBDD_Formadores[],18,FALSE))</f>
        <v>NO</v>
      </c>
      <c r="AB184" s="13">
        <v>1</v>
      </c>
      <c r="AC184" s="13" t="s">
        <v>1597</v>
      </c>
      <c r="AD184" s="13" t="s">
        <v>78</v>
      </c>
      <c r="AF184" s="2" t="str">
        <f>IF(VLOOKUP(T_Voluntarios[[#This Row],[RUN]],BBDD[],25,FALSE)=0,"",VLOOKUP(T_Voluntarios[[#This Row],[RUN]],BBDD[],25,FALSE))</f>
        <v/>
      </c>
      <c r="AG184" s="2" t="str">
        <f>IF(VLOOKUP(T_Voluntarios[[#This Row],[RUN]],BBDD[],26,FALSE)=0,"",VLOOKUP(T_Voluntarios[[#This Row],[RUN]],BBDD[],26,FALSE))</f>
        <v/>
      </c>
      <c r="AH184" s="2" t="str">
        <f>IF(VLOOKUP(T_Voluntarios[[#This Row],[RUN]],BBDD[],24,FALSE)=0,"",VLOOKUP(T_Voluntarios[[#This Row],[RUN]],BBDD[],24,FALSE))</f>
        <v/>
      </c>
      <c r="AI184" s="13" t="str">
        <f>VLOOKUP(T_Voluntarios[[#This Row],[RUN]],BBDD[],28,FALSE)</f>
        <v>No</v>
      </c>
      <c r="AJ184" s="13" t="str">
        <f>VLOOKUP(T_Voluntarios[[#This Row],[RUN]],BBDD[],28,FALSE)</f>
        <v>No</v>
      </c>
      <c r="AK184" s="32">
        <f>IF(T_Voluntarios[[#This Row],[ROL]]="Participante",SUMIFS(T_Cuotas[[#All],[Total]],T_Cuotas[[#All],[RUN]],T_Voluntarios[[#This Row],[RUN]]),-1)</f>
        <v>0</v>
      </c>
      <c r="AL184" s="13" t="s">
        <v>78</v>
      </c>
      <c r="AM184" s="13" t="s">
        <v>733</v>
      </c>
      <c r="AP184" s="2" t="str">
        <f>MID(T_Voluntarios[[#This Row],[E_MAIL]],SEARCH("@",T_Voluntarios[[#This Row],[E_MAIL]],1),LEN(T_Voluntarios[[#This Row],[E_MAIL]]))</f>
        <v>@gmail.com</v>
      </c>
      <c r="AQ184" s="13" t="str">
        <f>VLOOKUP(T_Voluntarios[[#This Row],[RUN]],BBDD[],37,FALSE)</f>
        <v>23</v>
      </c>
      <c r="AR184" s="2" t="str">
        <f>VLOOKUP(T_Voluntarios[[#This Row],[RUN]],BBDD[],29,FALSE)</f>
        <v>Sin profesión</v>
      </c>
      <c r="AS184" s="2" t="str">
        <f>VLOOKUP(T_Voluntarios[[#This Row],[RUN]],BBDD[],30,FALSE)</f>
        <v>8 años</v>
      </c>
      <c r="AT184" s="2" t="str">
        <f>VLOOKUP(T_Voluntarios[[#This Row],[RUN]],BBDD[],31,FALSE)</f>
        <v>2 años y medio</v>
      </c>
      <c r="AU184" s="2" t="str">
        <f>VLOOKUP(T_Voluntarios[[#This Row],[RUN]],BBDD[],32,FALSE)</f>
        <v>Soltero(a)</v>
      </c>
      <c r="AV184" s="2" t="str">
        <f>VLOOKUP(T_Voluntarios[[#This Row],[RUN]],BBDD[],33,FALSE)</f>
        <v>Ninguna</v>
      </c>
      <c r="AW184" s="2" t="str">
        <f>VLOOKUP(T_Voluntarios[[#This Row],[RUN]],BBDD[],34,FALSE)</f>
        <v>Pedro</v>
      </c>
      <c r="AX184" s="13" t="s">
        <v>733</v>
      </c>
      <c r="AY184" s="76">
        <f>VLOOKUP(T_Voluntarios[[#This Row],[RUN]],BBDD[],2,FALSE)</f>
        <v>45800.918587191358</v>
      </c>
      <c r="AZ184" s="13" t="s">
        <v>2</v>
      </c>
    </row>
    <row r="185" spans="1:52" x14ac:dyDescent="0.3">
      <c r="A185" s="2" t="s">
        <v>2808</v>
      </c>
      <c r="B185" s="2" t="str">
        <f>VLOOKUP(T_Voluntarios[[#This Row],[RUN]],BBDD[],3,FALSE)</f>
        <v>crriffopuentes@gmail.com</v>
      </c>
      <c r="C185" s="2" t="str">
        <f>VLOOKUP(T_Voluntarios[[#This Row],[RUN]],BBDD[],4,FALSE)</f>
        <v>Cristóbal Celso Riffo Puentes</v>
      </c>
      <c r="D185" s="16">
        <f>VLOOKUP(T_Voluntarios[[#This Row],[RUN]],BBDD[],5,FALSE)</f>
        <v>37171</v>
      </c>
      <c r="E185" s="2" t="str">
        <f>VLOOKUP(T_Voluntarios[[#This Row],[RUN]],BBDD[],6,FALSE)</f>
        <v>Av. Circunvalación 180</v>
      </c>
      <c r="F185" s="2" t="str">
        <f>VLOOKUP(T_Voluntarios[[#This Row],[RUN]],BBDD[],7,FALSE)</f>
        <v>Chillán</v>
      </c>
      <c r="G185" s="2" t="str">
        <f>VLOOKUP(T_Voluntarios[[#This Row],[RUN]],BBDD[],8,FALSE)</f>
        <v>Celular</v>
      </c>
      <c r="H185" s="2" t="str">
        <f>IF(VLOOKUP(T_Voluntarios[[#This Row],[RUN]],BBDD[],9,FALSE)=0,"Falta",VLOOKUP(T_Voluntarios[[#This Row],[RUN]],BBDD[],9,FALSE))</f>
        <v>+56957345251</v>
      </c>
      <c r="I185" s="2" t="str">
        <f>VLOOKUP(T_Voluntarios[[#This Row],[RUN]],BBDD[],10,FALSE)</f>
        <v>Participante</v>
      </c>
      <c r="J185" s="2" t="str">
        <f>VLOOKUP(T_Voluntarios[[#This Row],[RUN]],BBDD[],11,FALSE)</f>
        <v>San Francisco</v>
      </c>
      <c r="K185" s="2" t="str">
        <f>VLOOKUP(T_Voluntarios[[#This Row],[RUN]],BBDD[],12,FALSE)</f>
        <v>Pioneros</v>
      </c>
      <c r="L185" s="2" t="str">
        <f>VLOOKUP(T_Voluntarios[[#This Row],[RUN]],BBDD[],15,FALSE)</f>
        <v>Zona Ñuble</v>
      </c>
      <c r="M185" s="2" t="str">
        <f>VLOOKUP(T_Voluntarios[[#This Row],[RUN]],BBDD[],20,FALSE)</f>
        <v>Alimentación Tradicional</v>
      </c>
      <c r="N185" s="2" t="str">
        <f>VLOOKUP(T_Voluntarios[[#This Row],[RUN]],BBDD[],21,FALSE)</f>
        <v>Ninguna</v>
      </c>
      <c r="O185" s="2" t="str">
        <f>VLOOKUP(T_Voluntarios[[#This Row],[RUN]],BBDD[],22,FALSE)</f>
        <v>Ninguna</v>
      </c>
      <c r="P185" s="2" t="str">
        <f>VLOOKUP(T_Voluntarios[[#This Row],[RUN]],BBDD[],23,FALSE)</f>
        <v>Celso Riffo +56974038144 (Padre)</v>
      </c>
      <c r="Q185" s="2" t="str">
        <f>IF(VLOOKUP(T_Voluntarios[[#This Row],[RUN]],BBDD[],27,FALSE)=0,"",VLOOKUP(T_Voluntarios[[#This Row],[RUN]],BBDD[],27,FALSE))</f>
        <v/>
      </c>
      <c r="R185" s="2" t="str">
        <f>VLOOKUP(T_Voluntarios[[#This Row],[RUN]],BBDD[],36,FALSE)</f>
        <v>https://drive.google.com/open?id=1nF83C1uqkxTHe2VJHpwufSqCKLrULdST</v>
      </c>
      <c r="S185" s="2" t="str">
        <f>VLOOKUP(T_Voluntarios[[#This Row],[RUN]],BBDD[],16,FALSE)</f>
        <v>Inicial</v>
      </c>
      <c r="T185" s="2" t="str">
        <f>VLOOKUP(T_Voluntarios[[#This Row],[RUN]],BBDD[],17,FALSE)</f>
        <v>Ninguno</v>
      </c>
      <c r="U185" s="2" t="str">
        <f>VLOOKUP(T_Voluntarios[[#This Row],[RUN]],BBDD[],18,FALSE)</f>
        <v>Ninguno</v>
      </c>
      <c r="V185" s="2" t="str">
        <f>VLOOKUP(T_Voluntarios[[#This Row],[RUN]],BBDD[],19,FALSE)</f>
        <v>Ninguno</v>
      </c>
      <c r="W185" s="13" t="str">
        <f>IF(OR(T_Voluntarios[[#This Row],[ROL]]="Formador(a)"),"SI","NO")</f>
        <v>NO</v>
      </c>
      <c r="X185" s="13" t="str">
        <f>IF(ISERROR(VLOOKUP(T_Voluntarios[[#This Row],[RUN]],BBDD_Formadores[],15,FALSE)),"NO",VLOOKUP(T_Voluntarios[[#This Row],[RUN]],BBDD_Formadores[],15,FALSE))</f>
        <v>NO</v>
      </c>
      <c r="Y185" s="13" t="str">
        <f>IF(ISERROR(VLOOKUP(T_Voluntarios[[#This Row],[RUN]],BBDD_Formadores[],16,FALSE)),"NO",VLOOKUP(T_Voluntarios[[#This Row],[RUN]],BBDD_Formadores[],16,FALSE))</f>
        <v>NO</v>
      </c>
      <c r="Z185" s="13" t="str">
        <f>IF(ISERROR(VLOOKUP(T_Voluntarios[[#This Row],[RUN]],BBDD_Formadores[],17,FALSE)),"NO",VLOOKUP(T_Voluntarios[[#This Row],[RUN]],BBDD_Formadores[],17,FALSE))</f>
        <v>NO</v>
      </c>
      <c r="AA185" s="13" t="str">
        <f>IF(ISERROR(VLOOKUP(T_Voluntarios[[#This Row],[RUN]],BBDD_Formadores[],18,FALSE)),"NO",VLOOKUP(T_Voluntarios[[#This Row],[RUN]],BBDD_Formadores[],18,FALSE))</f>
        <v>NO</v>
      </c>
      <c r="AB185" s="13">
        <v>1</v>
      </c>
      <c r="AC185" s="13" t="s">
        <v>1</v>
      </c>
      <c r="AD185" s="13" t="s">
        <v>77</v>
      </c>
      <c r="AF185" s="2" t="str">
        <f>IF(VLOOKUP(T_Voluntarios[[#This Row],[RUN]],BBDD[],25,FALSE)=0,"",VLOOKUP(T_Voluntarios[[#This Row],[RUN]],BBDD[],25,FALSE))</f>
        <v/>
      </c>
      <c r="AG185" s="2" t="str">
        <f>IF(VLOOKUP(T_Voluntarios[[#This Row],[RUN]],BBDD[],26,FALSE)=0,"",VLOOKUP(T_Voluntarios[[#This Row],[RUN]],BBDD[],26,FALSE))</f>
        <v/>
      </c>
      <c r="AH185" s="2" t="str">
        <f>IF(VLOOKUP(T_Voluntarios[[#This Row],[RUN]],BBDD[],24,FALSE)=0,"",VLOOKUP(T_Voluntarios[[#This Row],[RUN]],BBDD[],24,FALSE))</f>
        <v/>
      </c>
      <c r="AI185" s="13" t="str">
        <f>VLOOKUP(T_Voluntarios[[#This Row],[RUN]],BBDD[],28,FALSE)</f>
        <v>No</v>
      </c>
      <c r="AJ185" s="13" t="str">
        <f>VLOOKUP(T_Voluntarios[[#This Row],[RUN]],BBDD[],28,FALSE)</f>
        <v>No</v>
      </c>
      <c r="AK185" s="32">
        <f>IF(T_Voluntarios[[#This Row],[ROL]]="Participante",SUMIFS(T_Cuotas[[#All],[Total]],T_Cuotas[[#All],[RUN]],T_Voluntarios[[#This Row],[RUN]]),-1)</f>
        <v>50000</v>
      </c>
      <c r="AL185" s="13" t="s">
        <v>1</v>
      </c>
      <c r="AM185" s="13" t="s">
        <v>2029</v>
      </c>
      <c r="AP185" s="2" t="str">
        <f>MID(T_Voluntarios[[#This Row],[E_MAIL]],SEARCH("@",T_Voluntarios[[#This Row],[E_MAIL]],1),LEN(T_Voluntarios[[#This Row],[E_MAIL]]))</f>
        <v>@gmail.com</v>
      </c>
      <c r="AQ185" s="13" t="str">
        <f>VLOOKUP(T_Voluntarios[[#This Row],[RUN]],BBDD[],37,FALSE)</f>
        <v>23</v>
      </c>
      <c r="AR185" s="2" t="str">
        <f>VLOOKUP(T_Voluntarios[[#This Row],[RUN]],BBDD[],29,FALSE)</f>
        <v>Estudiante educación superior</v>
      </c>
      <c r="AS185" s="2" t="str">
        <f>VLOOKUP(T_Voluntarios[[#This Row],[RUN]],BBDD[],30,FALSE)</f>
        <v>4 años</v>
      </c>
      <c r="AT185" s="2" t="str">
        <f>VLOOKUP(T_Voluntarios[[#This Row],[RUN]],BBDD[],31,FALSE)</f>
        <v>4 años</v>
      </c>
      <c r="AU185" s="2" t="str">
        <f>VLOOKUP(T_Voluntarios[[#This Row],[RUN]],BBDD[],32,FALSE)</f>
        <v>Soltero(a)</v>
      </c>
      <c r="AV185" s="2" t="str">
        <f>VLOOKUP(T_Voluntarios[[#This Row],[RUN]],BBDD[],33,FALSE)</f>
        <v>Ninguna</v>
      </c>
      <c r="AW185" s="2" t="str">
        <f>VLOOKUP(T_Voluntarios[[#This Row],[RUN]],BBDD[],34,FALSE)</f>
        <v>Riffo</v>
      </c>
      <c r="AX185" s="13" t="s">
        <v>733</v>
      </c>
      <c r="AY185" s="76">
        <f>VLOOKUP(T_Voluntarios[[#This Row],[RUN]],BBDD[],2,FALSE)</f>
        <v>45801.559867669755</v>
      </c>
      <c r="AZ185" s="13" t="s">
        <v>3402</v>
      </c>
    </row>
    <row r="186" spans="1:52" x14ac:dyDescent="0.3">
      <c r="A186" s="2" t="s">
        <v>2845</v>
      </c>
      <c r="B186" s="2" t="str">
        <f>VLOOKUP(T_Voluntarios[[#This Row],[RUN]],BBDD[],3,FALSE)</f>
        <v>mavillanueva@guiasyscoutschile.cl</v>
      </c>
      <c r="C186" s="2" t="str">
        <f>VLOOKUP(T_Voluntarios[[#This Row],[RUN]],BBDD[],4,FALSE)</f>
        <v>Miguel Angel Villanueva Cuevas</v>
      </c>
      <c r="D186" s="16">
        <f>VLOOKUP(T_Voluntarios[[#This Row],[RUN]],BBDD[],5,FALSE)</f>
        <v>33213</v>
      </c>
      <c r="E186" s="2" t="str">
        <f>VLOOKUP(T_Voluntarios[[#This Row],[RUN]],BBDD[],6,FALSE)</f>
        <v>Bayona 2050 Dpto B301</v>
      </c>
      <c r="F186" s="2" t="str">
        <f>VLOOKUP(T_Voluntarios[[#This Row],[RUN]],BBDD[],7,FALSE)</f>
        <v>San Pedro De La Paz</v>
      </c>
      <c r="G186" s="2" t="str">
        <f>VLOOKUP(T_Voluntarios[[#This Row],[RUN]],BBDD[],8,FALSE)</f>
        <v>Celular</v>
      </c>
      <c r="H186" s="2" t="str">
        <f>IF(VLOOKUP(T_Voluntarios[[#This Row],[RUN]],BBDD[],9,FALSE)=0,"Falta",VLOOKUP(T_Voluntarios[[#This Row],[RUN]],BBDD[],9,FALSE))</f>
        <v>+56951585457</v>
      </c>
      <c r="I186" s="2" t="str">
        <f>VLOOKUP(T_Voluntarios[[#This Row],[RUN]],BBDD[],10,FALSE)</f>
        <v>Formador(a)</v>
      </c>
      <c r="J186" s="2" t="str">
        <f>VLOOKUP(T_Voluntarios[[#This Row],[RUN]],BBDD[],11,FALSE)</f>
        <v>Salesianos Concepción</v>
      </c>
      <c r="K186" s="2" t="str">
        <f>VLOOKUP(T_Voluntarios[[#This Row],[RUN]],BBDD[],12,FALSE)</f>
        <v>Caminantes</v>
      </c>
      <c r="L186" s="2" t="str">
        <f>VLOOKUP(T_Voluntarios[[#This Row],[RUN]],BBDD[],15,FALSE)</f>
        <v>Rio Andalién</v>
      </c>
      <c r="M186" s="2" t="str">
        <f>VLOOKUP(T_Voluntarios[[#This Row],[RUN]],BBDD[],20,FALSE)</f>
        <v>Alimentación Tradicional</v>
      </c>
      <c r="N186" s="2" t="str">
        <f>VLOOKUP(T_Voluntarios[[#This Row],[RUN]],BBDD[],21,FALSE)</f>
        <v>Ninguna</v>
      </c>
      <c r="O186" s="2" t="str">
        <f>VLOOKUP(T_Voluntarios[[#This Row],[RUN]],BBDD[],22,FALSE)</f>
        <v>Ninguna</v>
      </c>
      <c r="P186" s="2" t="str">
        <f>VLOOKUP(T_Voluntarios[[#This Row],[RUN]],BBDD[],23,FALSE)</f>
        <v>Miguel Villanueva Ahumada 990854229</v>
      </c>
      <c r="Q186" s="2" t="str">
        <f>IF(VLOOKUP(T_Voluntarios[[#This Row],[RUN]],BBDD[],27,FALSE)=0,"",VLOOKUP(T_Voluntarios[[#This Row],[RUN]],BBDD[],27,FALSE))</f>
        <v/>
      </c>
      <c r="R186" s="2" t="str">
        <f>VLOOKUP(T_Voluntarios[[#This Row],[RUN]],BBDD[],36,FALSE)</f>
        <v>https://drive.google.com/open?id=1R2XO413HldQxSJZzqm5xXtvDJjg4Iflm</v>
      </c>
      <c r="S186" s="2" t="str">
        <f>VLOOKUP(T_Voluntarios[[#This Row],[RUN]],BBDD[],16,FALSE)</f>
        <v>Medio</v>
      </c>
      <c r="T186" s="2" t="str">
        <f>VLOOKUP(T_Voluntarios[[#This Row],[RUN]],BBDD[],17,FALSE)</f>
        <v>8244</v>
      </c>
      <c r="U186" s="2" t="str">
        <f>VLOOKUP(T_Voluntarios[[#This Row],[RUN]],BBDD[],18,FALSE)</f>
        <v>Lobatos, Caminantes</v>
      </c>
      <c r="V186" s="2" t="str">
        <f>VLOOKUP(T_Voluntarios[[#This Row],[RUN]],BBDD[],19,FALSE)</f>
        <v>Ninguno</v>
      </c>
      <c r="W186" s="13" t="str">
        <f>IF(OR(T_Voluntarios[[#This Row],[ROL]]="Formador(a)"),"SI","NO")</f>
        <v>SI</v>
      </c>
      <c r="X186" s="13" t="str">
        <f>IF(ISERROR(VLOOKUP(T_Voluntarios[[#This Row],[RUN]],BBDD_Formadores[],15,FALSE)),"NO",VLOOKUP(T_Voluntarios[[#This Row],[RUN]],BBDD_Formadores[],15,FALSE))</f>
        <v>NO</v>
      </c>
      <c r="Y186" s="13" t="str">
        <f>IF(ISERROR(VLOOKUP(T_Voluntarios[[#This Row],[RUN]],BBDD_Formadores[],16,FALSE)),"NO",VLOOKUP(T_Voluntarios[[#This Row],[RUN]],BBDD_Formadores[],16,FALSE))</f>
        <v>NO</v>
      </c>
      <c r="Z186" s="13" t="str">
        <f>IF(ISERROR(VLOOKUP(T_Voluntarios[[#This Row],[RUN]],BBDD_Formadores[],17,FALSE)),"NO",VLOOKUP(T_Voluntarios[[#This Row],[RUN]],BBDD_Formadores[],17,FALSE))</f>
        <v>NO</v>
      </c>
      <c r="AA186" s="13" t="str">
        <f>IF(ISERROR(VLOOKUP(T_Voluntarios[[#This Row],[RUN]],BBDD_Formadores[],18,FALSE)),"NO",VLOOKUP(T_Voluntarios[[#This Row],[RUN]],BBDD_Formadores[],18,FALSE))</f>
        <v>NO</v>
      </c>
      <c r="AB186" s="13">
        <v>1</v>
      </c>
      <c r="AC186" s="13" t="s">
        <v>1</v>
      </c>
      <c r="AD186" s="13" t="s">
        <v>77</v>
      </c>
      <c r="AF186" s="2" t="str">
        <f>IF(VLOOKUP(T_Voluntarios[[#This Row],[RUN]],BBDD[],25,FALSE)=0,"",VLOOKUP(T_Voluntarios[[#This Row],[RUN]],BBDD[],25,FALSE))</f>
        <v>Kia</v>
      </c>
      <c r="AG186" s="2" t="str">
        <f>IF(VLOOKUP(T_Voluntarios[[#This Row],[RUN]],BBDD[],26,FALSE)=0,"",VLOOKUP(T_Voluntarios[[#This Row],[RUN]],BBDD[],26,FALSE))</f>
        <v>Seltos</v>
      </c>
      <c r="AH186" s="2" t="str">
        <f>IF(VLOOKUP(T_Voluntarios[[#This Row],[RUN]],BBDD[],24,FALSE)=0,"",VLOOKUP(T_Voluntarios[[#This Row],[RUN]],BBDD[],24,FALSE))</f>
        <v>TBWD70</v>
      </c>
      <c r="AI186" s="13" t="str">
        <f>VLOOKUP(T_Voluntarios[[#This Row],[RUN]],BBDD[],28,FALSE)</f>
        <v>No</v>
      </c>
      <c r="AJ186" s="13" t="str">
        <f>VLOOKUP(T_Voluntarios[[#This Row],[RUN]],BBDD[],28,FALSE)</f>
        <v>No</v>
      </c>
      <c r="AK186" s="32">
        <f>IF(T_Voluntarios[[#This Row],[ROL]]="Participante",SUMIFS(T_Cuotas[[#All],[Total]],T_Cuotas[[#All],[RUN]],T_Voluntarios[[#This Row],[RUN]]),-1)</f>
        <v>-1</v>
      </c>
      <c r="AL186" s="13" t="s">
        <v>1</v>
      </c>
      <c r="AM186" s="13" t="s">
        <v>2029</v>
      </c>
      <c r="AP186" s="2" t="str">
        <f>MID(T_Voluntarios[[#This Row],[E_MAIL]],SEARCH("@",T_Voluntarios[[#This Row],[E_MAIL]],1),LEN(T_Voluntarios[[#This Row],[E_MAIL]]))</f>
        <v>@guiasyscoutschile.cl</v>
      </c>
      <c r="AQ186" s="13" t="str">
        <f>VLOOKUP(T_Voluntarios[[#This Row],[RUN]],BBDD[],37,FALSE)</f>
        <v>34</v>
      </c>
      <c r="AR186" s="2" t="str">
        <f>VLOOKUP(T_Voluntarios[[#This Row],[RUN]],BBDD[],29,FALSE)</f>
        <v>Ingeniero Civil Químico</v>
      </c>
      <c r="AS186" s="2" t="str">
        <f>VLOOKUP(T_Voluntarios[[#This Row],[RUN]],BBDD[],30,FALSE)</f>
        <v>0</v>
      </c>
      <c r="AT186" s="2" t="str">
        <f>VLOOKUP(T_Voluntarios[[#This Row],[RUN]],BBDD[],31,FALSE)</f>
        <v>13 años</v>
      </c>
      <c r="AU186" s="2" t="str">
        <f>VLOOKUP(T_Voluntarios[[#This Row],[RUN]],BBDD[],32,FALSE)</f>
        <v>Soltero(a)</v>
      </c>
      <c r="AV186" s="2" t="str">
        <f>VLOOKUP(T_Voluntarios[[#This Row],[RUN]],BBDD[],33,FALSE)</f>
        <v>Católica</v>
      </c>
      <c r="AW186" s="2" t="str">
        <f>VLOOKUP(T_Voluntarios[[#This Row],[RUN]],BBDD[],34,FALSE)</f>
        <v>Miguel</v>
      </c>
      <c r="AX186" s="13" t="s">
        <v>733</v>
      </c>
      <c r="AY186" s="76">
        <f>VLOOKUP(T_Voluntarios[[#This Row],[RUN]],BBDD[],2,FALSE)</f>
        <v>45801.607222955245</v>
      </c>
      <c r="AZ186" s="13" t="s">
        <v>2</v>
      </c>
    </row>
    <row r="187" spans="1:52" x14ac:dyDescent="0.3">
      <c r="A187" s="2" t="s">
        <v>2818</v>
      </c>
      <c r="B187" s="2" t="str">
        <f>VLOOKUP(T_Voluntarios[[#This Row],[RUN]],BBDD[],3,FALSE)</f>
        <v>pinilla.belen.m@gmail.com</v>
      </c>
      <c r="C187" s="2" t="str">
        <f>VLOOKUP(T_Voluntarios[[#This Row],[RUN]],BBDD[],4,FALSE)</f>
        <v>Catalina Belén Mardones Pinilla</v>
      </c>
      <c r="D187" s="16">
        <f>VLOOKUP(T_Voluntarios[[#This Row],[RUN]],BBDD[],5,FALSE)</f>
        <v>37866</v>
      </c>
      <c r="E187" s="2" t="str">
        <f>VLOOKUP(T_Voluntarios[[#This Row],[RUN]],BBDD[],6,FALSE)</f>
        <v>Toscania #2835 armando alarcon del canto</v>
      </c>
      <c r="F187" s="2" t="str">
        <f>VLOOKUP(T_Voluntarios[[#This Row],[RUN]],BBDD[],7,FALSE)</f>
        <v>Hualpén</v>
      </c>
      <c r="G187" s="2" t="str">
        <f>VLOOKUP(T_Voluntarios[[#This Row],[RUN]],BBDD[],8,FALSE)</f>
        <v>Celular</v>
      </c>
      <c r="H187" s="2" t="str">
        <f>IF(VLOOKUP(T_Voluntarios[[#This Row],[RUN]],BBDD[],9,FALSE)=0,"Falta",VLOOKUP(T_Voluntarios[[#This Row],[RUN]],BBDD[],9,FALSE))</f>
        <v>+56920047215</v>
      </c>
      <c r="I187" s="2" t="str">
        <f>VLOOKUP(T_Voluntarios[[#This Row],[RUN]],BBDD[],10,FALSE)</f>
        <v>Participante</v>
      </c>
      <c r="J187" s="2" t="str">
        <f>VLOOKUP(T_Voluntarios[[#This Row],[RUN]],BBDD[],11,FALSE)</f>
        <v>Enrique Valdebenito</v>
      </c>
      <c r="K187" s="2" t="str">
        <f>VLOOKUP(T_Voluntarios[[#This Row],[RUN]],BBDD[],12,FALSE)</f>
        <v>Scouts</v>
      </c>
      <c r="L187" s="2" t="str">
        <f>VLOOKUP(T_Voluntarios[[#This Row],[RUN]],BBDD[],15,FALSE)</f>
        <v>Talcahuano - Hualpén</v>
      </c>
      <c r="M187" s="2" t="str">
        <f>VLOOKUP(T_Voluntarios[[#This Row],[RUN]],BBDD[],20,FALSE)</f>
        <v>Alimentación Tradicional</v>
      </c>
      <c r="N187" s="2" t="str">
        <f>VLOOKUP(T_Voluntarios[[#This Row],[RUN]],BBDD[],21,FALSE)</f>
        <v>Ninguna</v>
      </c>
      <c r="O187" s="2" t="str">
        <f>VLOOKUP(T_Voluntarios[[#This Row],[RUN]],BBDD[],22,FALSE)</f>
        <v>Ninguna</v>
      </c>
      <c r="P187" s="2" t="str">
        <f>VLOOKUP(T_Voluntarios[[#This Row],[RUN]],BBDD[],23,FALSE)</f>
        <v>Karen Pinilla (997649862)</v>
      </c>
      <c r="Q187" s="2" t="str">
        <f>IF(VLOOKUP(T_Voluntarios[[#This Row],[RUN]],BBDD[],27,FALSE)=0,"",VLOOKUP(T_Voluntarios[[#This Row],[RUN]],BBDD[],27,FALSE))</f>
        <v/>
      </c>
      <c r="R187" s="2" t="str">
        <f>VLOOKUP(T_Voluntarios[[#This Row],[RUN]],BBDD[],36,FALSE)</f>
        <v>https://drive.google.com/open?id=1csO35cTD62oTPv-r7gJzGwO8bisBgnyP</v>
      </c>
      <c r="S187" s="2" t="str">
        <f>VLOOKUP(T_Voluntarios[[#This Row],[RUN]],BBDD[],16,FALSE)</f>
        <v>Inicial</v>
      </c>
      <c r="T187" s="2" t="str">
        <f>VLOOKUP(T_Voluntarios[[#This Row],[RUN]],BBDD[],17,FALSE)</f>
        <v>Ninguno</v>
      </c>
      <c r="U187" s="2" t="str">
        <f>VLOOKUP(T_Voluntarios[[#This Row],[RUN]],BBDD[],18,FALSE)</f>
        <v>Ninguno</v>
      </c>
      <c r="V187" s="2" t="str">
        <f>VLOOKUP(T_Voluntarios[[#This Row],[RUN]],BBDD[],19,FALSE)</f>
        <v>Ninguno</v>
      </c>
      <c r="W187" s="13" t="str">
        <f>IF(OR(T_Voluntarios[[#This Row],[ROL]]="Formador(a)"),"SI","NO")</f>
        <v>NO</v>
      </c>
      <c r="X187" s="13" t="str">
        <f>IF(ISERROR(VLOOKUP(T_Voluntarios[[#This Row],[RUN]],BBDD_Formadores[],15,FALSE)),"NO",VLOOKUP(T_Voluntarios[[#This Row],[RUN]],BBDD_Formadores[],15,FALSE))</f>
        <v>NO</v>
      </c>
      <c r="Y187" s="13" t="str">
        <f>IF(ISERROR(VLOOKUP(T_Voluntarios[[#This Row],[RUN]],BBDD_Formadores[],16,FALSE)),"NO",VLOOKUP(T_Voluntarios[[#This Row],[RUN]],BBDD_Formadores[],16,FALSE))</f>
        <v>NO</v>
      </c>
      <c r="Z187" s="13" t="str">
        <f>IF(ISERROR(VLOOKUP(T_Voluntarios[[#This Row],[RUN]],BBDD_Formadores[],17,FALSE)),"NO",VLOOKUP(T_Voluntarios[[#This Row],[RUN]],BBDD_Formadores[],17,FALSE))</f>
        <v>NO</v>
      </c>
      <c r="AA187" s="13" t="str">
        <f>IF(ISERROR(VLOOKUP(T_Voluntarios[[#This Row],[RUN]],BBDD_Formadores[],18,FALSE)),"NO",VLOOKUP(T_Voluntarios[[#This Row],[RUN]],BBDD_Formadores[],18,FALSE))</f>
        <v>NO</v>
      </c>
      <c r="AB187" s="13">
        <v>1</v>
      </c>
      <c r="AC187" s="13" t="s">
        <v>1597</v>
      </c>
      <c r="AD187" s="13" t="s">
        <v>78</v>
      </c>
      <c r="AF187" s="2" t="str">
        <f>IF(VLOOKUP(T_Voluntarios[[#This Row],[RUN]],BBDD[],25,FALSE)=0,"",VLOOKUP(T_Voluntarios[[#This Row],[RUN]],BBDD[],25,FALSE))</f>
        <v/>
      </c>
      <c r="AG187" s="2" t="str">
        <f>IF(VLOOKUP(T_Voluntarios[[#This Row],[RUN]],BBDD[],26,FALSE)=0,"",VLOOKUP(T_Voluntarios[[#This Row],[RUN]],BBDD[],26,FALSE))</f>
        <v/>
      </c>
      <c r="AH187" s="2" t="str">
        <f>IF(VLOOKUP(T_Voluntarios[[#This Row],[RUN]],BBDD[],24,FALSE)=0,"",VLOOKUP(T_Voluntarios[[#This Row],[RUN]],BBDD[],24,FALSE))</f>
        <v/>
      </c>
      <c r="AI187" s="13" t="str">
        <f>VLOOKUP(T_Voluntarios[[#This Row],[RUN]],BBDD[],28,FALSE)</f>
        <v>No</v>
      </c>
      <c r="AJ187" s="13" t="str">
        <f>VLOOKUP(T_Voluntarios[[#This Row],[RUN]],BBDD[],28,FALSE)</f>
        <v>No</v>
      </c>
      <c r="AK187" s="32">
        <f>IF(T_Voluntarios[[#This Row],[ROL]]="Participante",SUMIFS(T_Cuotas[[#All],[Total]],T_Cuotas[[#All],[RUN]],T_Voluntarios[[#This Row],[RUN]]),-1)</f>
        <v>0</v>
      </c>
      <c r="AL187" s="13" t="s">
        <v>78</v>
      </c>
      <c r="AM187" s="13" t="s">
        <v>733</v>
      </c>
      <c r="AP187" s="2" t="str">
        <f>MID(T_Voluntarios[[#This Row],[E_MAIL]],SEARCH("@",T_Voluntarios[[#This Row],[E_MAIL]],1),LEN(T_Voluntarios[[#This Row],[E_MAIL]]))</f>
        <v>@gmail.com</v>
      </c>
      <c r="AQ187" s="13" t="str">
        <f>VLOOKUP(T_Voluntarios[[#This Row],[RUN]],BBDD[],37,FALSE)</f>
        <v>21</v>
      </c>
      <c r="AR187" s="2" t="str">
        <f>VLOOKUP(T_Voluntarios[[#This Row],[RUN]],BBDD[],29,FALSE)</f>
        <v>Estudiante de psicopedagogia</v>
      </c>
      <c r="AS187" s="2" t="str">
        <f>VLOOKUP(T_Voluntarios[[#This Row],[RUN]],BBDD[],30,FALSE)</f>
        <v>7 años</v>
      </c>
      <c r="AT187" s="2" t="str">
        <f>VLOOKUP(T_Voluntarios[[#This Row],[RUN]],BBDD[],31,FALSE)</f>
        <v>3 años</v>
      </c>
      <c r="AU187" s="2" t="str">
        <f>VLOOKUP(T_Voluntarios[[#This Row],[RUN]],BBDD[],32,FALSE)</f>
        <v>Soltero(a)</v>
      </c>
      <c r="AV187" s="2" t="str">
        <f>VLOOKUP(T_Voluntarios[[#This Row],[RUN]],BBDD[],33,FALSE)</f>
        <v>Catolica</v>
      </c>
      <c r="AW187" s="2" t="str">
        <f>VLOOKUP(T_Voluntarios[[#This Row],[RUN]],BBDD[],34,FALSE)</f>
        <v>Catalina</v>
      </c>
      <c r="AX187" s="13" t="s">
        <v>733</v>
      </c>
      <c r="AY187" s="76">
        <f>VLOOKUP(T_Voluntarios[[#This Row],[RUN]],BBDD[],2,FALSE)</f>
        <v>45801.69197453704</v>
      </c>
      <c r="AZ187" s="13" t="s">
        <v>2</v>
      </c>
    </row>
    <row r="188" spans="1:52" x14ac:dyDescent="0.3">
      <c r="A188" s="2" t="s">
        <v>2828</v>
      </c>
      <c r="B188" s="2" t="str">
        <f>VLOOKUP(T_Voluntarios[[#This Row],[RUN]],BBDD[],3,FALSE)</f>
        <v>sebarc2015@gmail.com</v>
      </c>
      <c r="C188" s="2" t="str">
        <f>VLOOKUP(T_Voluntarios[[#This Row],[RUN]],BBDD[],4,FALSE)</f>
        <v>Sebastián Ignacio Romero Coo</v>
      </c>
      <c r="D188" s="16">
        <f>VLOOKUP(T_Voluntarios[[#This Row],[RUN]],BBDD[],5,FALSE)</f>
        <v>37641</v>
      </c>
      <c r="E188" s="2" t="str">
        <f>VLOOKUP(T_Voluntarios[[#This Row],[RUN]],BBDD[],6,FALSE)</f>
        <v>Los Fresnos Pasaje 15, 368. Concepción</v>
      </c>
      <c r="F188" s="2" t="str">
        <f>VLOOKUP(T_Voluntarios[[#This Row],[RUN]],BBDD[],7,FALSE)</f>
        <v>Concepción</v>
      </c>
      <c r="G188" s="2" t="str">
        <f>VLOOKUP(T_Voluntarios[[#This Row],[RUN]],BBDD[],8,FALSE)</f>
        <v>Celular</v>
      </c>
      <c r="H188" s="2" t="str">
        <f>IF(VLOOKUP(T_Voluntarios[[#This Row],[RUN]],BBDD[],9,FALSE)=0,"Falta",VLOOKUP(T_Voluntarios[[#This Row],[RUN]],BBDD[],9,FALSE))</f>
        <v>+56990129371</v>
      </c>
      <c r="I188" s="2" t="str">
        <f>VLOOKUP(T_Voluntarios[[#This Row],[RUN]],BBDD[],10,FALSE)</f>
        <v>Participante</v>
      </c>
      <c r="J188" s="2" t="str">
        <f>VLOOKUP(T_Voluntarios[[#This Row],[RUN]],BBDD[],11,FALSE)</f>
        <v>Rucapeñihue</v>
      </c>
      <c r="K188" s="2" t="str">
        <f>VLOOKUP(T_Voluntarios[[#This Row],[RUN]],BBDD[],12,FALSE)</f>
        <v>Guias</v>
      </c>
      <c r="L188" s="2" t="str">
        <f>VLOOKUP(T_Voluntarios[[#This Row],[RUN]],BBDD[],15,FALSE)</f>
        <v>Concepción</v>
      </c>
      <c r="M188" s="2" t="str">
        <f>VLOOKUP(T_Voluntarios[[#This Row],[RUN]],BBDD[],20,FALSE)</f>
        <v>Sin Almuerzo</v>
      </c>
      <c r="N188" s="2" t="str">
        <f>VLOOKUP(T_Voluntarios[[#This Row],[RUN]],BBDD[],21,FALSE)</f>
        <v>Ninguna</v>
      </c>
      <c r="O188" s="2" t="str">
        <f>VLOOKUP(T_Voluntarios[[#This Row],[RUN]],BBDD[],22,FALSE)</f>
        <v>Ninguna</v>
      </c>
      <c r="P188" s="2" t="str">
        <f>VLOOKUP(T_Voluntarios[[#This Row],[RUN]],BBDD[],23,FALSE)</f>
        <v>Claudia Coo Suazo +56997084028</v>
      </c>
      <c r="Q188" s="2" t="str">
        <f>IF(VLOOKUP(T_Voluntarios[[#This Row],[RUN]],BBDD[],27,FALSE)=0,"",VLOOKUP(T_Voluntarios[[#This Row],[RUN]],BBDD[],27,FALSE))</f>
        <v/>
      </c>
      <c r="R188" s="2" t="str">
        <f>VLOOKUP(T_Voluntarios[[#This Row],[RUN]],BBDD[],36,FALSE)</f>
        <v>https://drive.google.com/open?id=1Z1Mb94YSIG5D4SNSxSb2Nd1Fav-WuXY2</v>
      </c>
      <c r="S188" s="2" t="str">
        <f>VLOOKUP(T_Voluntarios[[#This Row],[RUN]],BBDD[],16,FALSE)</f>
        <v>Ninguno</v>
      </c>
      <c r="T188" s="2" t="str">
        <f>VLOOKUP(T_Voluntarios[[#This Row],[RUN]],BBDD[],17,FALSE)</f>
        <v>Ninguno</v>
      </c>
      <c r="U188" s="2" t="str">
        <f>VLOOKUP(T_Voluntarios[[#This Row],[RUN]],BBDD[],18,FALSE)</f>
        <v>Ninguno</v>
      </c>
      <c r="V188" s="2" t="str">
        <f>VLOOKUP(T_Voluntarios[[#This Row],[RUN]],BBDD[],19,FALSE)</f>
        <v>Ninguno</v>
      </c>
      <c r="W188" s="13" t="str">
        <f>IF(OR(T_Voluntarios[[#This Row],[ROL]]="Formador(a)"),"SI","NO")</f>
        <v>NO</v>
      </c>
      <c r="X188" s="13" t="str">
        <f>IF(ISERROR(VLOOKUP(T_Voluntarios[[#This Row],[RUN]],BBDD_Formadores[],15,FALSE)),"NO",VLOOKUP(T_Voluntarios[[#This Row],[RUN]],BBDD_Formadores[],15,FALSE))</f>
        <v>NO</v>
      </c>
      <c r="Y188" s="13" t="str">
        <f>IF(ISERROR(VLOOKUP(T_Voluntarios[[#This Row],[RUN]],BBDD_Formadores[],16,FALSE)),"NO",VLOOKUP(T_Voluntarios[[#This Row],[RUN]],BBDD_Formadores[],16,FALSE))</f>
        <v>NO</v>
      </c>
      <c r="Z188" s="13" t="str">
        <f>IF(ISERROR(VLOOKUP(T_Voluntarios[[#This Row],[RUN]],BBDD_Formadores[],17,FALSE)),"NO",VLOOKUP(T_Voluntarios[[#This Row],[RUN]],BBDD_Formadores[],17,FALSE))</f>
        <v>NO</v>
      </c>
      <c r="AA188" s="13" t="str">
        <f>IF(ISERROR(VLOOKUP(T_Voluntarios[[#This Row],[RUN]],BBDD_Formadores[],18,FALSE)),"NO",VLOOKUP(T_Voluntarios[[#This Row],[RUN]],BBDD_Formadores[],18,FALSE))</f>
        <v>NO</v>
      </c>
      <c r="AB188" s="13">
        <v>1</v>
      </c>
      <c r="AC188" s="13" t="s">
        <v>1</v>
      </c>
      <c r="AD188" s="13" t="s">
        <v>77</v>
      </c>
      <c r="AF188" s="2" t="str">
        <f>IF(VLOOKUP(T_Voluntarios[[#This Row],[RUN]],BBDD[],25,FALSE)=0,"",VLOOKUP(T_Voluntarios[[#This Row],[RUN]],BBDD[],25,FALSE))</f>
        <v/>
      </c>
      <c r="AG188" s="2" t="str">
        <f>IF(VLOOKUP(T_Voluntarios[[#This Row],[RUN]],BBDD[],26,FALSE)=0,"",VLOOKUP(T_Voluntarios[[#This Row],[RUN]],BBDD[],26,FALSE))</f>
        <v/>
      </c>
      <c r="AH188" s="2" t="str">
        <f>IF(VLOOKUP(T_Voluntarios[[#This Row],[RUN]],BBDD[],24,FALSE)=0,"",VLOOKUP(T_Voluntarios[[#This Row],[RUN]],BBDD[],24,FALSE))</f>
        <v/>
      </c>
      <c r="AI188" s="13" t="str">
        <f>VLOOKUP(T_Voluntarios[[#This Row],[RUN]],BBDD[],28,FALSE)</f>
        <v>SI</v>
      </c>
      <c r="AJ188" s="13" t="str">
        <f>VLOOKUP(T_Voluntarios[[#This Row],[RUN]],BBDD[],28,FALSE)</f>
        <v>SI</v>
      </c>
      <c r="AK188" s="32">
        <f>IF(T_Voluntarios[[#This Row],[ROL]]="Participante",SUMIFS(T_Cuotas[[#All],[Total]],T_Cuotas[[#All],[RUN]],T_Voluntarios[[#This Row],[RUN]]),-1)</f>
        <v>36500</v>
      </c>
      <c r="AL188" s="13" t="s">
        <v>1</v>
      </c>
      <c r="AM188" s="13" t="s">
        <v>2029</v>
      </c>
      <c r="AP188" s="2" t="str">
        <f>MID(T_Voluntarios[[#This Row],[E_MAIL]],SEARCH("@",T_Voluntarios[[#This Row],[E_MAIL]],1),LEN(T_Voluntarios[[#This Row],[E_MAIL]]))</f>
        <v>@gmail.com</v>
      </c>
      <c r="AQ188" s="13" t="str">
        <f>VLOOKUP(T_Voluntarios[[#This Row],[RUN]],BBDD[],37,FALSE)</f>
        <v>22</v>
      </c>
      <c r="AR188" s="2" t="str">
        <f>VLOOKUP(T_Voluntarios[[#This Row],[RUN]],BBDD[],29,FALSE)</f>
        <v>Estudiante Bioquímica</v>
      </c>
      <c r="AS188" s="2" t="str">
        <f>VLOOKUP(T_Voluntarios[[#This Row],[RUN]],BBDD[],30,FALSE)</f>
        <v>7 años</v>
      </c>
      <c r="AT188" s="2" t="str">
        <f>VLOOKUP(T_Voluntarios[[#This Row],[RUN]],BBDD[],31,FALSE)</f>
        <v>1 año</v>
      </c>
      <c r="AU188" s="2" t="str">
        <f>VLOOKUP(T_Voluntarios[[#This Row],[RUN]],BBDD[],32,FALSE)</f>
        <v>Soltero(a)</v>
      </c>
      <c r="AV188" s="2" t="str">
        <f>VLOOKUP(T_Voluntarios[[#This Row],[RUN]],BBDD[],33,FALSE)</f>
        <v>Ninguna</v>
      </c>
      <c r="AW188" s="2" t="str">
        <f>VLOOKUP(T_Voluntarios[[#This Row],[RUN]],BBDD[],34,FALSE)</f>
        <v>Nina</v>
      </c>
      <c r="AX188" s="13" t="s">
        <v>733</v>
      </c>
      <c r="AY188" s="76">
        <f>VLOOKUP(T_Voluntarios[[#This Row],[RUN]],BBDD[],2,FALSE)</f>
        <v>45801.692809297841</v>
      </c>
      <c r="AZ188" s="13" t="s">
        <v>3403</v>
      </c>
    </row>
    <row r="189" spans="1:52" x14ac:dyDescent="0.3">
      <c r="A189" s="2" t="s">
        <v>2837</v>
      </c>
      <c r="B189" s="2" t="str">
        <f>VLOOKUP(T_Voluntarios[[#This Row],[RUN]],BBDD[],3,FALSE)</f>
        <v>clauditaderide@gmail.com</v>
      </c>
      <c r="C189" s="2" t="str">
        <f>VLOOKUP(T_Voluntarios[[#This Row],[RUN]],BBDD[],4,FALSE)</f>
        <v>Claudia Fernanda Deride Alegría</v>
      </c>
      <c r="D189" s="16">
        <f>VLOOKUP(T_Voluntarios[[#This Row],[RUN]],BBDD[],5,FALSE)</f>
        <v>37999</v>
      </c>
      <c r="E189" s="2" t="str">
        <f>VLOOKUP(T_Voluntarios[[#This Row],[RUN]],BBDD[],6,FALSE)</f>
        <v>Avenida los cisnes 765, San pedro de la Paz</v>
      </c>
      <c r="F189" s="2" t="str">
        <f>VLOOKUP(T_Voluntarios[[#This Row],[RUN]],BBDD[],7,FALSE)</f>
        <v>San Pedro De La Paz</v>
      </c>
      <c r="G189" s="2" t="str">
        <f>VLOOKUP(T_Voluntarios[[#This Row],[RUN]],BBDD[],8,FALSE)</f>
        <v>Celular</v>
      </c>
      <c r="H189" s="2" t="str">
        <f>IF(VLOOKUP(T_Voluntarios[[#This Row],[RUN]],BBDD[],9,FALSE)=0,"Falta",VLOOKUP(T_Voluntarios[[#This Row],[RUN]],BBDD[],9,FALSE))</f>
        <v>+56987300867</v>
      </c>
      <c r="I189" s="2" t="str">
        <f>VLOOKUP(T_Voluntarios[[#This Row],[RUN]],BBDD[],10,FALSE)</f>
        <v>Participante</v>
      </c>
      <c r="J189" s="2" t="str">
        <f>VLOOKUP(T_Voluntarios[[#This Row],[RUN]],BBDD[],11,FALSE)</f>
        <v>Rañileufu</v>
      </c>
      <c r="K189" s="2" t="str">
        <f>VLOOKUP(T_Voluntarios[[#This Row],[RUN]],BBDD[],12,FALSE)</f>
        <v>Lobatos</v>
      </c>
      <c r="L189" s="2" t="str">
        <f>VLOOKUP(T_Voluntarios[[#This Row],[RUN]],BBDD[],15,FALSE)</f>
        <v>Concepción</v>
      </c>
      <c r="M189" s="2" t="str">
        <f>VLOOKUP(T_Voluntarios[[#This Row],[RUN]],BBDD[],20,FALSE)</f>
        <v>Sin Almuerzo</v>
      </c>
      <c r="N189" s="2" t="str">
        <f>VLOOKUP(T_Voluntarios[[#This Row],[RUN]],BBDD[],21,FALSE)</f>
        <v>Ninguna</v>
      </c>
      <c r="O189" s="2" t="str">
        <f>VLOOKUP(T_Voluntarios[[#This Row],[RUN]],BBDD[],22,FALSE)</f>
        <v>Ninguna</v>
      </c>
      <c r="P189" s="2" t="str">
        <f>VLOOKUP(T_Voluntarios[[#This Row],[RUN]],BBDD[],23,FALSE)</f>
        <v>Macarena Deride +56962347967</v>
      </c>
      <c r="Q189" s="2" t="str">
        <f>IF(VLOOKUP(T_Voluntarios[[#This Row],[RUN]],BBDD[],27,FALSE)=0,"",VLOOKUP(T_Voluntarios[[#This Row],[RUN]],BBDD[],27,FALSE))</f>
        <v/>
      </c>
      <c r="R189" s="2" t="str">
        <f>VLOOKUP(T_Voluntarios[[#This Row],[RUN]],BBDD[],36,FALSE)</f>
        <v>https://drive.google.com/open?id=1AuRT7oS5VP-Vy7dwueS3rFnBE-Bj6E-r</v>
      </c>
      <c r="S189" s="2" t="str">
        <f>VLOOKUP(T_Voluntarios[[#This Row],[RUN]],BBDD[],16,FALSE)</f>
        <v>Inicial</v>
      </c>
      <c r="T189" s="2" t="str">
        <f>VLOOKUP(T_Voluntarios[[#This Row],[RUN]],BBDD[],17,FALSE)</f>
        <v>Ninguno</v>
      </c>
      <c r="U189" s="2" t="str">
        <f>VLOOKUP(T_Voluntarios[[#This Row],[RUN]],BBDD[],18,FALSE)</f>
        <v>Ninguno</v>
      </c>
      <c r="V189" s="2" t="str">
        <f>VLOOKUP(T_Voluntarios[[#This Row],[RUN]],BBDD[],19,FALSE)</f>
        <v>Ninguno</v>
      </c>
      <c r="W189" s="13" t="str">
        <f>IF(OR(T_Voluntarios[[#This Row],[ROL]]="Formador(a)"),"SI","NO")</f>
        <v>NO</v>
      </c>
      <c r="X189" s="13" t="str">
        <f>IF(ISERROR(VLOOKUP(T_Voluntarios[[#This Row],[RUN]],BBDD_Formadores[],15,FALSE)),"NO",VLOOKUP(T_Voluntarios[[#This Row],[RUN]],BBDD_Formadores[],15,FALSE))</f>
        <v>NO</v>
      </c>
      <c r="Y189" s="13" t="str">
        <f>IF(ISERROR(VLOOKUP(T_Voluntarios[[#This Row],[RUN]],BBDD_Formadores[],16,FALSE)),"NO",VLOOKUP(T_Voluntarios[[#This Row],[RUN]],BBDD_Formadores[],16,FALSE))</f>
        <v>NO</v>
      </c>
      <c r="Z189" s="13" t="str">
        <f>IF(ISERROR(VLOOKUP(T_Voluntarios[[#This Row],[RUN]],BBDD_Formadores[],17,FALSE)),"NO",VLOOKUP(T_Voluntarios[[#This Row],[RUN]],BBDD_Formadores[],17,FALSE))</f>
        <v>NO</v>
      </c>
      <c r="AA189" s="13" t="str">
        <f>IF(ISERROR(VLOOKUP(T_Voluntarios[[#This Row],[RUN]],BBDD_Formadores[],18,FALSE)),"NO",VLOOKUP(T_Voluntarios[[#This Row],[RUN]],BBDD_Formadores[],18,FALSE))</f>
        <v>NO</v>
      </c>
      <c r="AB189" s="13">
        <v>1</v>
      </c>
      <c r="AC189" s="13" t="s">
        <v>1</v>
      </c>
      <c r="AD189" s="13" t="s">
        <v>77</v>
      </c>
      <c r="AF189" s="2" t="str">
        <f>IF(VLOOKUP(T_Voluntarios[[#This Row],[RUN]],BBDD[],25,FALSE)=0,"",VLOOKUP(T_Voluntarios[[#This Row],[RUN]],BBDD[],25,FALSE))</f>
        <v/>
      </c>
      <c r="AG189" s="2" t="str">
        <f>IF(VLOOKUP(T_Voluntarios[[#This Row],[RUN]],BBDD[],26,FALSE)=0,"",VLOOKUP(T_Voluntarios[[#This Row],[RUN]],BBDD[],26,FALSE))</f>
        <v/>
      </c>
      <c r="AH189" s="2" t="str">
        <f>IF(VLOOKUP(T_Voluntarios[[#This Row],[RUN]],BBDD[],24,FALSE)=0,"",VLOOKUP(T_Voluntarios[[#This Row],[RUN]],BBDD[],24,FALSE))</f>
        <v/>
      </c>
      <c r="AI189" s="13" t="str">
        <f>VLOOKUP(T_Voluntarios[[#This Row],[RUN]],BBDD[],28,FALSE)</f>
        <v>No</v>
      </c>
      <c r="AJ189" s="13" t="str">
        <f>VLOOKUP(T_Voluntarios[[#This Row],[RUN]],BBDD[],28,FALSE)</f>
        <v>No</v>
      </c>
      <c r="AK189" s="32">
        <f>IF(T_Voluntarios[[#This Row],[ROL]]="Participante",SUMIFS(T_Cuotas[[#All],[Total]],T_Cuotas[[#All],[RUN]],T_Voluntarios[[#This Row],[RUN]]),-1)</f>
        <v>36500</v>
      </c>
      <c r="AL189" s="13" t="s">
        <v>1</v>
      </c>
      <c r="AM189" s="13" t="s">
        <v>2029</v>
      </c>
      <c r="AP189" s="2" t="str">
        <f>MID(T_Voluntarios[[#This Row],[E_MAIL]],SEARCH("@",T_Voluntarios[[#This Row],[E_MAIL]],1),LEN(T_Voluntarios[[#This Row],[E_MAIL]]))</f>
        <v>@gmail.com</v>
      </c>
      <c r="AQ189" s="13" t="str">
        <f>VLOOKUP(T_Voluntarios[[#This Row],[RUN]],BBDD[],37,FALSE)</f>
        <v>21</v>
      </c>
      <c r="AR189" s="2" t="str">
        <f>VLOOKUP(T_Voluntarios[[#This Row],[RUN]],BBDD[],29,FALSE)</f>
        <v>ninguna</v>
      </c>
      <c r="AS189" s="2" t="str">
        <f>VLOOKUP(T_Voluntarios[[#This Row],[RUN]],BBDD[],30,FALSE)</f>
        <v>9 años</v>
      </c>
      <c r="AT189" s="2" t="str">
        <f>VLOOKUP(T_Voluntarios[[#This Row],[RUN]],BBDD[],31,FALSE)</f>
        <v>0</v>
      </c>
      <c r="AU189" s="2" t="str">
        <f>VLOOKUP(T_Voluntarios[[#This Row],[RUN]],BBDD[],32,FALSE)</f>
        <v>Soltero(a)</v>
      </c>
      <c r="AV189" s="2" t="str">
        <f>VLOOKUP(T_Voluntarios[[#This Row],[RUN]],BBDD[],33,FALSE)</f>
        <v>Ninguna</v>
      </c>
      <c r="AW189" s="2" t="str">
        <f>VLOOKUP(T_Voluntarios[[#This Row],[RUN]],BBDD[],34,FALSE)</f>
        <v>Clau</v>
      </c>
      <c r="AX189" s="13" t="s">
        <v>733</v>
      </c>
      <c r="AY189" s="76">
        <f>VLOOKUP(T_Voluntarios[[#This Row],[RUN]],BBDD[],2,FALSE)</f>
        <v>45801.771253433639</v>
      </c>
      <c r="AZ189" s="13" t="s">
        <v>3403</v>
      </c>
    </row>
    <row r="190" spans="1:52" x14ac:dyDescent="0.3">
      <c r="A190" s="2" t="s">
        <v>2872</v>
      </c>
      <c r="B190" s="2" t="str">
        <f>VLOOKUP(T_Voluntarios[[#This Row],[RUN]],BBDD[],3,FALSE)</f>
        <v>a.lizana.meza@gmail.com</v>
      </c>
      <c r="C190" s="2" t="str">
        <f>VLOOKUP(T_Voluntarios[[#This Row],[RUN]],BBDD[],4,FALSE)</f>
        <v>Alejandro Esteban Lizana Meza</v>
      </c>
      <c r="D190" s="16">
        <f>VLOOKUP(T_Voluntarios[[#This Row],[RUN]],BBDD[],5,FALSE)</f>
        <v>36526</v>
      </c>
      <c r="E190" s="2" t="str">
        <f>VLOOKUP(T_Voluntarios[[#This Row],[RUN]],BBDD[],6,FALSE)</f>
        <v>XXXXXX</v>
      </c>
      <c r="F190" s="2" t="str">
        <f>VLOOKUP(T_Voluntarios[[#This Row],[RUN]],BBDD[],7,FALSE)</f>
        <v>Xxxxxx</v>
      </c>
      <c r="G190" s="2" t="str">
        <f>VLOOKUP(T_Voluntarios[[#This Row],[RUN]],BBDD[],8,FALSE)</f>
        <v>Celular</v>
      </c>
      <c r="H190" s="2" t="str">
        <f>IF(VLOOKUP(T_Voluntarios[[#This Row],[RUN]],BBDD[],9,FALSE)=0,"Falta",VLOOKUP(T_Voluntarios[[#This Row],[RUN]],BBDD[],9,FALSE))</f>
        <v>+56926375827</v>
      </c>
      <c r="I190" s="2" t="str">
        <f>VLOOKUP(T_Voluntarios[[#This Row],[RUN]],BBDD[],10,FALSE)</f>
        <v>Equipo Organizador</v>
      </c>
      <c r="J190" s="2" t="str">
        <f>VLOOKUP(T_Voluntarios[[#This Row],[RUN]],BBDD[],11,FALSE)</f>
        <v>Andalien</v>
      </c>
      <c r="K190" s="2" t="str">
        <f>VLOOKUP(T_Voluntarios[[#This Row],[RUN]],BBDD[],12,FALSE)</f>
        <v>Equipo Organizador</v>
      </c>
      <c r="L190" s="2" t="str">
        <f>VLOOKUP(T_Voluntarios[[#This Row],[RUN]],BBDD[],15,FALSE)</f>
        <v>Rio Andalién</v>
      </c>
      <c r="M190" s="2" t="str">
        <f>VLOOKUP(T_Voluntarios[[#This Row],[RUN]],BBDD[],20,FALSE)</f>
        <v>Alimentación Tradicional</v>
      </c>
      <c r="N190" s="2" t="str">
        <f>VLOOKUP(T_Voluntarios[[#This Row],[RUN]],BBDD[],21,FALSE)</f>
        <v>Ninguna</v>
      </c>
      <c r="O190" s="2" t="str">
        <f>VLOOKUP(T_Voluntarios[[#This Row],[RUN]],BBDD[],22,FALSE)</f>
        <v>Ninguna</v>
      </c>
      <c r="P190" s="2" t="str">
        <f>VLOOKUP(T_Voluntarios[[#This Row],[RUN]],BBDD[],23,FALSE)</f>
        <v>XXXXXX</v>
      </c>
      <c r="Q190" s="2" t="str">
        <f>IF(VLOOKUP(T_Voluntarios[[#This Row],[RUN]],BBDD[],27,FALSE)=0,"",VLOOKUP(T_Voluntarios[[#This Row],[RUN]],BBDD[],27,FALSE))</f>
        <v/>
      </c>
      <c r="R190" s="2" t="str">
        <f>VLOOKUP(T_Voluntarios[[#This Row],[RUN]],BBDD[],36,FALSE)</f>
        <v>Ninguna</v>
      </c>
      <c r="S190" s="2" t="str">
        <f>VLOOKUP(T_Voluntarios[[#This Row],[RUN]],BBDD[],16,FALSE)</f>
        <v>Medio</v>
      </c>
      <c r="T190" s="2" t="str">
        <f>VLOOKUP(T_Voluntarios[[#This Row],[RUN]],BBDD[],17,FALSE)</f>
        <v>XXXXXX</v>
      </c>
      <c r="U190" s="2" t="str">
        <f>VLOOKUP(T_Voluntarios[[#This Row],[RUN]],BBDD[],18,FALSE)</f>
        <v>XXXXXX</v>
      </c>
      <c r="V190" s="2" t="str">
        <f>VLOOKUP(T_Voluntarios[[#This Row],[RUN]],BBDD[],19,FALSE)</f>
        <v>XXXXXX</v>
      </c>
      <c r="W190" s="13" t="str">
        <f>IF(OR(T_Voluntarios[[#This Row],[ROL]]="Formador(a)"),"SI","NO")</f>
        <v>NO</v>
      </c>
      <c r="X190" s="13" t="str">
        <f>IF(ISERROR(VLOOKUP(T_Voluntarios[[#This Row],[RUN]],BBDD_Formadores[],15,FALSE)),"NO",VLOOKUP(T_Voluntarios[[#This Row],[RUN]],BBDD_Formadores[],15,FALSE))</f>
        <v>NO</v>
      </c>
      <c r="Y190" s="13" t="str">
        <f>IF(ISERROR(VLOOKUP(T_Voluntarios[[#This Row],[RUN]],BBDD_Formadores[],16,FALSE)),"NO",VLOOKUP(T_Voluntarios[[#This Row],[RUN]],BBDD_Formadores[],16,FALSE))</f>
        <v>NO</v>
      </c>
      <c r="Z190" s="13" t="str">
        <f>IF(ISERROR(VLOOKUP(T_Voluntarios[[#This Row],[RUN]],BBDD_Formadores[],17,FALSE)),"NO",VLOOKUP(T_Voluntarios[[#This Row],[RUN]],BBDD_Formadores[],17,FALSE))</f>
        <v>NO</v>
      </c>
      <c r="AA190" s="13" t="str">
        <f>IF(ISERROR(VLOOKUP(T_Voluntarios[[#This Row],[RUN]],BBDD_Formadores[],18,FALSE)),"NO",VLOOKUP(T_Voluntarios[[#This Row],[RUN]],BBDD_Formadores[],18,FALSE))</f>
        <v>NO</v>
      </c>
      <c r="AB190" s="13">
        <v>1</v>
      </c>
      <c r="AC190" s="13" t="s">
        <v>1</v>
      </c>
      <c r="AD190" s="13" t="s">
        <v>77</v>
      </c>
      <c r="AF190" s="2" t="str">
        <f>IF(VLOOKUP(T_Voluntarios[[#This Row],[RUN]],BBDD[],25,FALSE)=0,"",VLOOKUP(T_Voluntarios[[#This Row],[RUN]],BBDD[],25,FALSE))</f>
        <v/>
      </c>
      <c r="AG190" s="2" t="str">
        <f>IF(VLOOKUP(T_Voluntarios[[#This Row],[RUN]],BBDD[],26,FALSE)=0,"",VLOOKUP(T_Voluntarios[[#This Row],[RUN]],BBDD[],26,FALSE))</f>
        <v/>
      </c>
      <c r="AH190" s="2" t="str">
        <f>IF(VLOOKUP(T_Voluntarios[[#This Row],[RUN]],BBDD[],24,FALSE)=0,"",VLOOKUP(T_Voluntarios[[#This Row],[RUN]],BBDD[],24,FALSE))</f>
        <v/>
      </c>
      <c r="AI190" s="13" t="str">
        <f>VLOOKUP(T_Voluntarios[[#This Row],[RUN]],BBDD[],28,FALSE)</f>
        <v>No</v>
      </c>
      <c r="AJ190" s="13" t="str">
        <f>VLOOKUP(T_Voluntarios[[#This Row],[RUN]],BBDD[],28,FALSE)</f>
        <v>No</v>
      </c>
      <c r="AK190" s="32">
        <f>IF(T_Voluntarios[[#This Row],[ROL]]="Participante",SUMIFS(T_Cuotas[[#All],[Total]],T_Cuotas[[#All],[RUN]],T_Voluntarios[[#This Row],[RUN]]),-1)</f>
        <v>-1</v>
      </c>
      <c r="AL190" s="13" t="s">
        <v>1</v>
      </c>
      <c r="AM190" s="13" t="s">
        <v>2029</v>
      </c>
      <c r="AP190" s="2" t="str">
        <f>MID(T_Voluntarios[[#This Row],[E_MAIL]],SEARCH("@",T_Voluntarios[[#This Row],[E_MAIL]],1),LEN(T_Voluntarios[[#This Row],[E_MAIL]]))</f>
        <v>@gmail.com</v>
      </c>
      <c r="AQ190" s="13" t="str">
        <f>VLOOKUP(T_Voluntarios[[#This Row],[RUN]],BBDD[],37,FALSE)</f>
        <v>25</v>
      </c>
      <c r="AR190" s="2" t="str">
        <f>VLOOKUP(T_Voluntarios[[#This Row],[RUN]],BBDD[],29,FALSE)</f>
        <v>XXXXXX</v>
      </c>
      <c r="AS190" s="2" t="str">
        <f>VLOOKUP(T_Voluntarios[[#This Row],[RUN]],BBDD[],30,FALSE)</f>
        <v>XXXXXX</v>
      </c>
      <c r="AT190" s="2" t="str">
        <f>VLOOKUP(T_Voluntarios[[#This Row],[RUN]],BBDD[],31,FALSE)</f>
        <v>XXXXXX</v>
      </c>
      <c r="AU190" s="2" t="str">
        <f>VLOOKUP(T_Voluntarios[[#This Row],[RUN]],BBDD[],32,FALSE)</f>
        <v>XXXXXX</v>
      </c>
      <c r="AV190" s="2" t="str">
        <f>VLOOKUP(T_Voluntarios[[#This Row],[RUN]],BBDD[],33,FALSE)</f>
        <v>XXXXXX</v>
      </c>
      <c r="AW190" s="2" t="str">
        <f>VLOOKUP(T_Voluntarios[[#This Row],[RUN]],BBDD[],34,FALSE)</f>
        <v>XXXXXX</v>
      </c>
      <c r="AX190" s="13" t="s">
        <v>733</v>
      </c>
      <c r="AY190" s="76">
        <f>VLOOKUP(T_Voluntarios[[#This Row],[RUN]],BBDD[],2,FALSE)</f>
        <v>45778</v>
      </c>
      <c r="AZ190" s="13" t="s">
        <v>2</v>
      </c>
    </row>
    <row r="191" spans="1:52" x14ac:dyDescent="0.3">
      <c r="A191" s="2" t="s">
        <v>445</v>
      </c>
      <c r="B191" s="2" t="str">
        <f>VLOOKUP(T_Voluntarios[[#This Row],[RUN]],BBDD[],3,FALSE)</f>
        <v>ofernandezv@gmail.com</v>
      </c>
      <c r="C191" s="2" t="str">
        <f>VLOOKUP(T_Voluntarios[[#This Row],[RUN]],BBDD[],4,FALSE)</f>
        <v>Orlando Ernesto Fernández Vásquez</v>
      </c>
      <c r="D191" s="16">
        <f>VLOOKUP(T_Voluntarios[[#This Row],[RUN]],BBDD[],5,FALSE)</f>
        <v>36526</v>
      </c>
      <c r="E191" s="2" t="str">
        <f>VLOOKUP(T_Voluntarios[[#This Row],[RUN]],BBDD[],6,FALSE)</f>
        <v>XXXXXX</v>
      </c>
      <c r="F191" s="2" t="str">
        <f>VLOOKUP(T_Voluntarios[[#This Row],[RUN]],BBDD[],7,FALSE)</f>
        <v>Xxxxxx</v>
      </c>
      <c r="G191" s="2" t="str">
        <f>VLOOKUP(T_Voluntarios[[#This Row],[RUN]],BBDD[],8,FALSE)</f>
        <v>Celular</v>
      </c>
      <c r="H191" s="2" t="str">
        <f>IF(VLOOKUP(T_Voluntarios[[#This Row],[RUN]],BBDD[],9,FALSE)=0,"Falta",VLOOKUP(T_Voluntarios[[#This Row],[RUN]],BBDD[],9,FALSE))</f>
        <v>+56990781445</v>
      </c>
      <c r="I191" s="2" t="str">
        <f>VLOOKUP(T_Voluntarios[[#This Row],[RUN]],BBDD[],10,FALSE)</f>
        <v>Equipo Organizador</v>
      </c>
      <c r="J191" s="2" t="str">
        <f>VLOOKUP(T_Voluntarios[[#This Row],[RUN]],BBDD[],11,FALSE)</f>
        <v>Andalien</v>
      </c>
      <c r="K191" s="2" t="str">
        <f>VLOOKUP(T_Voluntarios[[#This Row],[RUN]],BBDD[],12,FALSE)</f>
        <v>Equipo Organizador</v>
      </c>
      <c r="L191" s="2" t="str">
        <f>VLOOKUP(T_Voluntarios[[#This Row],[RUN]],BBDD[],15,FALSE)</f>
        <v>Rio Andalién</v>
      </c>
      <c r="M191" s="2" t="str">
        <f>VLOOKUP(T_Voluntarios[[#This Row],[RUN]],BBDD[],20,FALSE)</f>
        <v>Alimentación Tradicional</v>
      </c>
      <c r="N191" s="2" t="str">
        <f>VLOOKUP(T_Voluntarios[[#This Row],[RUN]],BBDD[],21,FALSE)</f>
        <v>Ninguna</v>
      </c>
      <c r="O191" s="2" t="str">
        <f>VLOOKUP(T_Voluntarios[[#This Row],[RUN]],BBDD[],22,FALSE)</f>
        <v>Ninguna</v>
      </c>
      <c r="P191" s="2" t="str">
        <f>VLOOKUP(T_Voluntarios[[#This Row],[RUN]],BBDD[],23,FALSE)</f>
        <v>XXXXXX</v>
      </c>
      <c r="Q191" s="2" t="str">
        <f>IF(VLOOKUP(T_Voluntarios[[#This Row],[RUN]],BBDD[],27,FALSE)=0,"",VLOOKUP(T_Voluntarios[[#This Row],[RUN]],BBDD[],27,FALSE))</f>
        <v/>
      </c>
      <c r="R191" s="2" t="str">
        <f>VLOOKUP(T_Voluntarios[[#This Row],[RUN]],BBDD[],36,FALSE)</f>
        <v>Ninguna</v>
      </c>
      <c r="S191" s="2" t="str">
        <f>VLOOKUP(T_Voluntarios[[#This Row],[RUN]],BBDD[],16,FALSE)</f>
        <v>Avanzado</v>
      </c>
      <c r="T191" s="2" t="str">
        <f>VLOOKUP(T_Voluntarios[[#This Row],[RUN]],BBDD[],17,FALSE)</f>
        <v>XXXXXX</v>
      </c>
      <c r="U191" s="2" t="str">
        <f>VLOOKUP(T_Voluntarios[[#This Row],[RUN]],BBDD[],18,FALSE)</f>
        <v>XXXXXX</v>
      </c>
      <c r="V191" s="2" t="str">
        <f>VLOOKUP(T_Voluntarios[[#This Row],[RUN]],BBDD[],19,FALSE)</f>
        <v>XXXXXX</v>
      </c>
      <c r="W191" s="13" t="str">
        <f>IF(OR(T_Voluntarios[[#This Row],[ROL]]="Formador(a)"),"SI","NO")</f>
        <v>NO</v>
      </c>
      <c r="X191" s="13" t="str">
        <f>IF(ISERROR(VLOOKUP(T_Voluntarios[[#This Row],[RUN]],BBDD_Formadores[],15,FALSE)),"NO",VLOOKUP(T_Voluntarios[[#This Row],[RUN]],BBDD_Formadores[],15,FALSE))</f>
        <v>SI</v>
      </c>
      <c r="Y191" s="13" t="str">
        <f>IF(ISERROR(VLOOKUP(T_Voluntarios[[#This Row],[RUN]],BBDD_Formadores[],16,FALSE)),"NO",VLOOKUP(T_Voluntarios[[#This Row],[RUN]],BBDD_Formadores[],16,FALSE))</f>
        <v>Scouts, Pioneros</v>
      </c>
      <c r="Z191" s="13" t="str">
        <f>IF(ISERROR(VLOOKUP(T_Voluntarios[[#This Row],[RUN]],BBDD_Formadores[],17,FALSE)),"NO",VLOOKUP(T_Voluntarios[[#This Row],[RUN]],BBDD_Formadores[],17,FALSE))</f>
        <v>Scouts, Pioneros</v>
      </c>
      <c r="AA191" s="13" t="str">
        <f>IF(ISERROR(VLOOKUP(T_Voluntarios[[#This Row],[RUN]],BBDD_Formadores[],18,FALSE)),"NO",VLOOKUP(T_Voluntarios[[#This Row],[RUN]],BBDD_Formadores[],18,FALSE))</f>
        <v>No Actualizado</v>
      </c>
      <c r="AB191" s="13">
        <v>1</v>
      </c>
      <c r="AC191" s="13" t="s">
        <v>1</v>
      </c>
      <c r="AD191" s="13" t="s">
        <v>77</v>
      </c>
      <c r="AF191" s="2" t="str">
        <f>IF(VLOOKUP(T_Voluntarios[[#This Row],[RUN]],BBDD[],25,FALSE)=0,"",VLOOKUP(T_Voluntarios[[#This Row],[RUN]],BBDD[],25,FALSE))</f>
        <v/>
      </c>
      <c r="AG191" s="2" t="str">
        <f>IF(VLOOKUP(T_Voluntarios[[#This Row],[RUN]],BBDD[],26,FALSE)=0,"",VLOOKUP(T_Voluntarios[[#This Row],[RUN]],BBDD[],26,FALSE))</f>
        <v/>
      </c>
      <c r="AH191" s="2" t="str">
        <f>IF(VLOOKUP(T_Voluntarios[[#This Row],[RUN]],BBDD[],24,FALSE)=0,"",VLOOKUP(T_Voluntarios[[#This Row],[RUN]],BBDD[],24,FALSE))</f>
        <v/>
      </c>
      <c r="AI191" s="13" t="str">
        <f>VLOOKUP(T_Voluntarios[[#This Row],[RUN]],BBDD[],28,FALSE)</f>
        <v>No</v>
      </c>
      <c r="AJ191" s="13" t="str">
        <f>VLOOKUP(T_Voluntarios[[#This Row],[RUN]],BBDD[],28,FALSE)</f>
        <v>No</v>
      </c>
      <c r="AK191" s="32">
        <f>IF(T_Voluntarios[[#This Row],[ROL]]="Participante",SUMIFS(T_Cuotas[[#All],[Total]],T_Cuotas[[#All],[RUN]],T_Voluntarios[[#This Row],[RUN]]),-1)</f>
        <v>-1</v>
      </c>
      <c r="AL191" s="13" t="s">
        <v>1</v>
      </c>
      <c r="AM191" s="13" t="s">
        <v>2029</v>
      </c>
      <c r="AP191" s="2" t="str">
        <f>MID(T_Voluntarios[[#This Row],[E_MAIL]],SEARCH("@",T_Voluntarios[[#This Row],[E_MAIL]],1),LEN(T_Voluntarios[[#This Row],[E_MAIL]]))</f>
        <v>@gmail.com</v>
      </c>
      <c r="AQ191" s="13" t="str">
        <f>VLOOKUP(T_Voluntarios[[#This Row],[RUN]],BBDD[],37,FALSE)</f>
        <v>25</v>
      </c>
      <c r="AR191" s="2" t="str">
        <f>VLOOKUP(T_Voluntarios[[#This Row],[RUN]],BBDD[],29,FALSE)</f>
        <v>XXXXXX</v>
      </c>
      <c r="AS191" s="2" t="str">
        <f>VLOOKUP(T_Voluntarios[[#This Row],[RUN]],BBDD[],30,FALSE)</f>
        <v>XXXXXX</v>
      </c>
      <c r="AT191" s="2" t="str">
        <f>VLOOKUP(T_Voluntarios[[#This Row],[RUN]],BBDD[],31,FALSE)</f>
        <v>XXXXXX</v>
      </c>
      <c r="AU191" s="2" t="str">
        <f>VLOOKUP(T_Voluntarios[[#This Row],[RUN]],BBDD[],32,FALSE)</f>
        <v>XXXXXX</v>
      </c>
      <c r="AV191" s="2" t="str">
        <f>VLOOKUP(T_Voluntarios[[#This Row],[RUN]],BBDD[],33,FALSE)</f>
        <v>XXXXXX</v>
      </c>
      <c r="AW191" s="2" t="str">
        <f>VLOOKUP(T_Voluntarios[[#This Row],[RUN]],BBDD[],34,FALSE)</f>
        <v>XXXXXX</v>
      </c>
      <c r="AX191" s="13" t="s">
        <v>733</v>
      </c>
      <c r="AY191" s="76">
        <f>VLOOKUP(T_Voluntarios[[#This Row],[RUN]],BBDD[],2,FALSE)</f>
        <v>45778</v>
      </c>
      <c r="AZ191" s="13" t="s">
        <v>2</v>
      </c>
    </row>
    <row r="192" spans="1:52" x14ac:dyDescent="0.3">
      <c r="A192" s="2" t="s">
        <v>2881</v>
      </c>
      <c r="B192" s="2" t="str">
        <f>VLOOKUP(T_Voluntarios[[#This Row],[RUN]],BBDD[],3,FALSE)</f>
        <v>fredesa.ricardo@gmail.com</v>
      </c>
      <c r="C192" s="2" t="str">
        <f>VLOOKUP(T_Voluntarios[[#This Row],[RUN]],BBDD[],4,FALSE)</f>
        <v>José Ricardo Fredes Arrepol</v>
      </c>
      <c r="D192" s="16">
        <f>VLOOKUP(T_Voluntarios[[#This Row],[RUN]],BBDD[],5,FALSE)</f>
        <v>36526</v>
      </c>
      <c r="E192" s="2" t="str">
        <f>VLOOKUP(T_Voluntarios[[#This Row],[RUN]],BBDD[],6,FALSE)</f>
        <v>XXXXXX</v>
      </c>
      <c r="F192" s="2" t="str">
        <f>VLOOKUP(T_Voluntarios[[#This Row],[RUN]],BBDD[],7,FALSE)</f>
        <v>Xxxxxx</v>
      </c>
      <c r="G192" s="2" t="str">
        <f>VLOOKUP(T_Voluntarios[[#This Row],[RUN]],BBDD[],8,FALSE)</f>
        <v>Celular</v>
      </c>
      <c r="H192" s="2" t="str">
        <f>IF(VLOOKUP(T_Voluntarios[[#This Row],[RUN]],BBDD[],9,FALSE)=0,"Falta",VLOOKUP(T_Voluntarios[[#This Row],[RUN]],BBDD[],9,FALSE))</f>
        <v>+56995078893</v>
      </c>
      <c r="I192" s="2" t="str">
        <f>VLOOKUP(T_Voluntarios[[#This Row],[RUN]],BBDD[],10,FALSE)</f>
        <v>Equipo Organizador</v>
      </c>
      <c r="J192" s="2" t="str">
        <f>VLOOKUP(T_Voluntarios[[#This Row],[RUN]],BBDD[],11,FALSE)</f>
        <v>Fresia Müller Ruiz</v>
      </c>
      <c r="K192" s="2" t="str">
        <f>VLOOKUP(T_Voluntarios[[#This Row],[RUN]],BBDD[],12,FALSE)</f>
        <v>Equipo Organizador</v>
      </c>
      <c r="L192" s="2" t="str">
        <f>VLOOKUP(T_Voluntarios[[#This Row],[RUN]],BBDD[],15,FALSE)</f>
        <v>Nahuelbuta</v>
      </c>
      <c r="M192" s="2" t="str">
        <f>VLOOKUP(T_Voluntarios[[#This Row],[RUN]],BBDD[],20,FALSE)</f>
        <v>Alimentación Tradicional</v>
      </c>
      <c r="N192" s="2" t="str">
        <f>VLOOKUP(T_Voluntarios[[#This Row],[RUN]],BBDD[],21,FALSE)</f>
        <v>Ninguna</v>
      </c>
      <c r="O192" s="2" t="str">
        <f>VLOOKUP(T_Voluntarios[[#This Row],[RUN]],BBDD[],22,FALSE)</f>
        <v>Ninguna</v>
      </c>
      <c r="P192" s="2" t="str">
        <f>VLOOKUP(T_Voluntarios[[#This Row],[RUN]],BBDD[],23,FALSE)</f>
        <v>XXXXXX</v>
      </c>
      <c r="Q192" s="2" t="str">
        <f>IF(VLOOKUP(T_Voluntarios[[#This Row],[RUN]],BBDD[],27,FALSE)=0,"",VLOOKUP(T_Voluntarios[[#This Row],[RUN]],BBDD[],27,FALSE))</f>
        <v/>
      </c>
      <c r="R192" s="2" t="str">
        <f>VLOOKUP(T_Voluntarios[[#This Row],[RUN]],BBDD[],36,FALSE)</f>
        <v>Ninguna</v>
      </c>
      <c r="S192" s="2" t="str">
        <f>VLOOKUP(T_Voluntarios[[#This Row],[RUN]],BBDD[],16,FALSE)</f>
        <v>Medio</v>
      </c>
      <c r="T192" s="2" t="str">
        <f>VLOOKUP(T_Voluntarios[[#This Row],[RUN]],BBDD[],17,FALSE)</f>
        <v>XXXXXX</v>
      </c>
      <c r="U192" s="2" t="str">
        <f>VLOOKUP(T_Voluntarios[[#This Row],[RUN]],BBDD[],18,FALSE)</f>
        <v>XXXXXX</v>
      </c>
      <c r="V192" s="2" t="str">
        <f>VLOOKUP(T_Voluntarios[[#This Row],[RUN]],BBDD[],19,FALSE)</f>
        <v>XXXXXX</v>
      </c>
      <c r="W192" s="13" t="str">
        <f>IF(OR(T_Voluntarios[[#This Row],[ROL]]="Formador(a)"),"SI","NO")</f>
        <v>NO</v>
      </c>
      <c r="X192" s="13" t="str">
        <f>IF(ISERROR(VLOOKUP(T_Voluntarios[[#This Row],[RUN]],BBDD_Formadores[],15,FALSE)),"NO",VLOOKUP(T_Voluntarios[[#This Row],[RUN]],BBDD_Formadores[],15,FALSE))</f>
        <v>NO</v>
      </c>
      <c r="Y192" s="13" t="str">
        <f>IF(ISERROR(VLOOKUP(T_Voluntarios[[#This Row],[RUN]],BBDD_Formadores[],16,FALSE)),"NO",VLOOKUP(T_Voluntarios[[#This Row],[RUN]],BBDD_Formadores[],16,FALSE))</f>
        <v>NO</v>
      </c>
      <c r="Z192" s="13" t="str">
        <f>IF(ISERROR(VLOOKUP(T_Voluntarios[[#This Row],[RUN]],BBDD_Formadores[],17,FALSE)),"NO",VLOOKUP(T_Voluntarios[[#This Row],[RUN]],BBDD_Formadores[],17,FALSE))</f>
        <v>NO</v>
      </c>
      <c r="AA192" s="13" t="str">
        <f>IF(ISERROR(VLOOKUP(T_Voluntarios[[#This Row],[RUN]],BBDD_Formadores[],18,FALSE)),"NO",VLOOKUP(T_Voluntarios[[#This Row],[RUN]],BBDD_Formadores[],18,FALSE))</f>
        <v>NO</v>
      </c>
      <c r="AB192" s="13">
        <v>1</v>
      </c>
      <c r="AC192" s="13" t="s">
        <v>1</v>
      </c>
      <c r="AD192" s="13" t="s">
        <v>77</v>
      </c>
      <c r="AF192" s="2" t="str">
        <f>IF(VLOOKUP(T_Voluntarios[[#This Row],[RUN]],BBDD[],25,FALSE)=0,"",VLOOKUP(T_Voluntarios[[#This Row],[RUN]],BBDD[],25,FALSE))</f>
        <v/>
      </c>
      <c r="AG192" s="2" t="str">
        <f>IF(VLOOKUP(T_Voluntarios[[#This Row],[RUN]],BBDD[],26,FALSE)=0,"",VLOOKUP(T_Voluntarios[[#This Row],[RUN]],BBDD[],26,FALSE))</f>
        <v/>
      </c>
      <c r="AH192" s="2" t="str">
        <f>IF(VLOOKUP(T_Voluntarios[[#This Row],[RUN]],BBDD[],24,FALSE)=0,"",VLOOKUP(T_Voluntarios[[#This Row],[RUN]],BBDD[],24,FALSE))</f>
        <v/>
      </c>
      <c r="AI192" s="13" t="str">
        <f>VLOOKUP(T_Voluntarios[[#This Row],[RUN]],BBDD[],28,FALSE)</f>
        <v>SI</v>
      </c>
      <c r="AJ192" s="13" t="str">
        <f>VLOOKUP(T_Voluntarios[[#This Row],[RUN]],BBDD[],28,FALSE)</f>
        <v>SI</v>
      </c>
      <c r="AK192" s="32">
        <f>IF(T_Voluntarios[[#This Row],[ROL]]="Participante",SUMIFS(T_Cuotas[[#All],[Total]],T_Cuotas[[#All],[RUN]],T_Voluntarios[[#This Row],[RUN]]),-1)</f>
        <v>-1</v>
      </c>
      <c r="AL192" s="13" t="s">
        <v>1</v>
      </c>
      <c r="AM192" s="13" t="s">
        <v>2029</v>
      </c>
      <c r="AP192" s="2" t="str">
        <f>MID(T_Voluntarios[[#This Row],[E_MAIL]],SEARCH("@",T_Voluntarios[[#This Row],[E_MAIL]],1),LEN(T_Voluntarios[[#This Row],[E_MAIL]]))</f>
        <v>@gmail.com</v>
      </c>
      <c r="AQ192" s="13" t="str">
        <f>VLOOKUP(T_Voluntarios[[#This Row],[RUN]],BBDD[],37,FALSE)</f>
        <v>25</v>
      </c>
      <c r="AR192" s="2" t="str">
        <f>VLOOKUP(T_Voluntarios[[#This Row],[RUN]],BBDD[],29,FALSE)</f>
        <v>XXXXXX</v>
      </c>
      <c r="AS192" s="2" t="str">
        <f>VLOOKUP(T_Voluntarios[[#This Row],[RUN]],BBDD[],30,FALSE)</f>
        <v>XXXXXX</v>
      </c>
      <c r="AT192" s="2" t="str">
        <f>VLOOKUP(T_Voluntarios[[#This Row],[RUN]],BBDD[],31,FALSE)</f>
        <v>XXXXXX</v>
      </c>
      <c r="AU192" s="2" t="str">
        <f>VLOOKUP(T_Voluntarios[[#This Row],[RUN]],BBDD[],32,FALSE)</f>
        <v>XXXXXX</v>
      </c>
      <c r="AV192" s="2" t="str">
        <f>VLOOKUP(T_Voluntarios[[#This Row],[RUN]],BBDD[],33,FALSE)</f>
        <v>XXXXXX</v>
      </c>
      <c r="AW192" s="2" t="str">
        <f>VLOOKUP(T_Voluntarios[[#This Row],[RUN]],BBDD[],34,FALSE)</f>
        <v>XXXXXX</v>
      </c>
      <c r="AX192" s="13" t="s">
        <v>733</v>
      </c>
      <c r="AY192" s="76">
        <f>VLOOKUP(T_Voluntarios[[#This Row],[RUN]],BBDD[],2,FALSE)</f>
        <v>45778</v>
      </c>
      <c r="AZ192" s="13" t="s">
        <v>2</v>
      </c>
    </row>
    <row r="193" spans="1:52" x14ac:dyDescent="0.3">
      <c r="A193" s="2" t="s">
        <v>165</v>
      </c>
      <c r="B193" s="2" t="str">
        <f>VLOOKUP(T_Voluntarios[[#This Row],[RUN]],BBDD[],3,FALSE)</f>
        <v>czvdelbiobio@guiasyscoutschile.cl</v>
      </c>
      <c r="C193" s="2" t="str">
        <f>VLOOKUP(T_Voluntarios[[#This Row],[RUN]],BBDD[],4,FALSE)</f>
        <v>Pablo Enrique Pesce Sánchez</v>
      </c>
      <c r="D193" s="16">
        <f>VLOOKUP(T_Voluntarios[[#This Row],[RUN]],BBDD[],5,FALSE)</f>
        <v>27585</v>
      </c>
      <c r="E193" s="2" t="str">
        <f>VLOOKUP(T_Voluntarios[[#This Row],[RUN]],BBDD[],6,FALSE)</f>
        <v>XXXXXX</v>
      </c>
      <c r="F193" s="2" t="str">
        <f>VLOOKUP(T_Voluntarios[[#This Row],[RUN]],BBDD[],7,FALSE)</f>
        <v>Xxxxxx</v>
      </c>
      <c r="G193" s="2" t="str">
        <f>VLOOKUP(T_Voluntarios[[#This Row],[RUN]],BBDD[],8,FALSE)</f>
        <v>Celular</v>
      </c>
      <c r="H193" s="2" t="str">
        <f>IF(VLOOKUP(T_Voluntarios[[#This Row],[RUN]],BBDD[],9,FALSE)=0,"Falta",VLOOKUP(T_Voluntarios[[#This Row],[RUN]],BBDD[],9,FALSE))</f>
        <v>+56998745724</v>
      </c>
      <c r="I193" s="2" t="str">
        <f>VLOOKUP(T_Voluntarios[[#This Row],[RUN]],BBDD[],10,FALSE)</f>
        <v>Equipo Organizador</v>
      </c>
      <c r="J193" s="2" t="str">
        <f>VLOOKUP(T_Voluntarios[[#This Row],[RUN]],BBDD[],11,FALSE)</f>
        <v>Equipo Zonal</v>
      </c>
      <c r="K193" s="2" t="str">
        <f>VLOOKUP(T_Voluntarios[[#This Row],[RUN]],BBDD[],12,FALSE)</f>
        <v>Equipo Organizador</v>
      </c>
      <c r="L193" s="2" t="str">
        <f>VLOOKUP(T_Voluntarios[[#This Row],[RUN]],BBDD[],15,FALSE)</f>
        <v>Equipo Zonal</v>
      </c>
      <c r="M193" s="2" t="str">
        <f>VLOOKUP(T_Voluntarios[[#This Row],[RUN]],BBDD[],20,FALSE)</f>
        <v>Alimentación Tradicional</v>
      </c>
      <c r="N193" s="2" t="str">
        <f>VLOOKUP(T_Voluntarios[[#This Row],[RUN]],BBDD[],21,FALSE)</f>
        <v>Ninguna</v>
      </c>
      <c r="O193" s="2" t="str">
        <f>VLOOKUP(T_Voluntarios[[#This Row],[RUN]],BBDD[],22,FALSE)</f>
        <v>Ninguna</v>
      </c>
      <c r="P193" s="2" t="str">
        <f>VLOOKUP(T_Voluntarios[[#This Row],[RUN]],BBDD[],23,FALSE)</f>
        <v>Eduardo Pereira Figueroa / +56966090996</v>
      </c>
      <c r="Q193" s="2" t="str">
        <f>IF(VLOOKUP(T_Voluntarios[[#This Row],[RUN]],BBDD[],27,FALSE)=0,"",VLOOKUP(T_Voluntarios[[#This Row],[RUN]],BBDD[],27,FALSE))</f>
        <v/>
      </c>
      <c r="R193" s="2" t="str">
        <f>VLOOKUP(T_Voluntarios[[#This Row],[RUN]],BBDD[],36,FALSE)</f>
        <v>Ninguna</v>
      </c>
      <c r="S193" s="2" t="str">
        <f>VLOOKUP(T_Voluntarios[[#This Row],[RUN]],BBDD[],16,FALSE)</f>
        <v>Medio</v>
      </c>
      <c r="T193" s="2" t="str">
        <f>VLOOKUP(T_Voluntarios[[#This Row],[RUN]],BBDD[],17,FALSE)</f>
        <v>XXXXXX</v>
      </c>
      <c r="U193" s="2" t="str">
        <f>VLOOKUP(T_Voluntarios[[#This Row],[RUN]],BBDD[],18,FALSE)</f>
        <v>XXXXXX</v>
      </c>
      <c r="V193" s="2" t="str">
        <f>VLOOKUP(T_Voluntarios[[#This Row],[RUN]],BBDD[],19,FALSE)</f>
        <v>XXXXXX</v>
      </c>
      <c r="W193" s="13" t="str">
        <f>IF(OR(T_Voluntarios[[#This Row],[ROL]]="Formador(a)"),"SI","NO")</f>
        <v>NO</v>
      </c>
      <c r="X193" s="13" t="str">
        <f>IF(ISERROR(VLOOKUP(T_Voluntarios[[#This Row],[RUN]],BBDD_Formadores[],15,FALSE)),"NO",VLOOKUP(T_Voluntarios[[#This Row],[RUN]],BBDD_Formadores[],15,FALSE))</f>
        <v>SI</v>
      </c>
      <c r="Y193" s="13" t="str">
        <f>IF(ISERROR(VLOOKUP(T_Voluntarios[[#This Row],[RUN]],BBDD_Formadores[],16,FALSE)),"NO",VLOOKUP(T_Voluntarios[[#This Row],[RUN]],BBDD_Formadores[],16,FALSE))</f>
        <v>Pioneros</v>
      </c>
      <c r="Z193" s="13" t="str">
        <f>IF(ISERROR(VLOOKUP(T_Voluntarios[[#This Row],[RUN]],BBDD_Formadores[],17,FALSE)),"NO",VLOOKUP(T_Voluntarios[[#This Row],[RUN]],BBDD_Formadores[],17,FALSE))</f>
        <v>Pioneros</v>
      </c>
      <c r="AA193" s="13" t="str">
        <f>IF(ISERROR(VLOOKUP(T_Voluntarios[[#This Row],[RUN]],BBDD_Formadores[],18,FALSE)),"NO",VLOOKUP(T_Voluntarios[[#This Row],[RUN]],BBDD_Formadores[],18,FALSE))</f>
        <v>SI</v>
      </c>
      <c r="AB193" s="13">
        <v>1</v>
      </c>
      <c r="AC193" s="13" t="s">
        <v>1</v>
      </c>
      <c r="AD193" s="13" t="s">
        <v>77</v>
      </c>
      <c r="AF193" s="2" t="str">
        <f>IF(VLOOKUP(T_Voluntarios[[#This Row],[RUN]],BBDD[],25,FALSE)=0,"",VLOOKUP(T_Voluntarios[[#This Row],[RUN]],BBDD[],25,FALSE))</f>
        <v/>
      </c>
      <c r="AG193" s="2" t="str">
        <f>IF(VLOOKUP(T_Voluntarios[[#This Row],[RUN]],BBDD[],26,FALSE)=0,"",VLOOKUP(T_Voluntarios[[#This Row],[RUN]],BBDD[],26,FALSE))</f>
        <v/>
      </c>
      <c r="AH193" s="2" t="str">
        <f>IF(VLOOKUP(T_Voluntarios[[#This Row],[RUN]],BBDD[],24,FALSE)=0,"",VLOOKUP(T_Voluntarios[[#This Row],[RUN]],BBDD[],24,FALSE))</f>
        <v/>
      </c>
      <c r="AI193" s="13" t="str">
        <f>VLOOKUP(T_Voluntarios[[#This Row],[RUN]],BBDD[],28,FALSE)</f>
        <v>No</v>
      </c>
      <c r="AJ193" s="13" t="str">
        <f>VLOOKUP(T_Voluntarios[[#This Row],[RUN]],BBDD[],28,FALSE)</f>
        <v>No</v>
      </c>
      <c r="AK193" s="32">
        <f>IF(T_Voluntarios[[#This Row],[ROL]]="Participante",SUMIFS(T_Cuotas[[#All],[Total]],T_Cuotas[[#All],[RUN]],T_Voluntarios[[#This Row],[RUN]]),-1)</f>
        <v>-1</v>
      </c>
      <c r="AL193" s="13" t="s">
        <v>1</v>
      </c>
      <c r="AM193" s="13" t="s">
        <v>2029</v>
      </c>
      <c r="AP193" s="2" t="str">
        <f>MID(T_Voluntarios[[#This Row],[E_MAIL]],SEARCH("@",T_Voluntarios[[#This Row],[E_MAIL]],1),LEN(T_Voluntarios[[#This Row],[E_MAIL]]))</f>
        <v>@guiasyscoutschile.cl</v>
      </c>
      <c r="AQ193" s="13" t="str">
        <f>VLOOKUP(T_Voluntarios[[#This Row],[RUN]],BBDD[],37,FALSE)</f>
        <v>49</v>
      </c>
      <c r="AR193" s="2" t="str">
        <f>VLOOKUP(T_Voluntarios[[#This Row],[RUN]],BBDD[],29,FALSE)</f>
        <v>XXXXXX</v>
      </c>
      <c r="AS193" s="2" t="str">
        <f>VLOOKUP(T_Voluntarios[[#This Row],[RUN]],BBDD[],30,FALSE)</f>
        <v>XXXXXX</v>
      </c>
      <c r="AT193" s="2" t="str">
        <f>VLOOKUP(T_Voluntarios[[#This Row],[RUN]],BBDD[],31,FALSE)</f>
        <v>XXXXXX</v>
      </c>
      <c r="AU193" s="2" t="str">
        <f>VLOOKUP(T_Voluntarios[[#This Row],[RUN]],BBDD[],32,FALSE)</f>
        <v>XXXXXX</v>
      </c>
      <c r="AV193" s="2" t="str">
        <f>VLOOKUP(T_Voluntarios[[#This Row],[RUN]],BBDD[],33,FALSE)</f>
        <v>XXXXXX</v>
      </c>
      <c r="AW193" s="2" t="str">
        <f>VLOOKUP(T_Voluntarios[[#This Row],[RUN]],BBDD[],34,FALSE)</f>
        <v>XXXXXX</v>
      </c>
      <c r="AX193" s="13" t="s">
        <v>733</v>
      </c>
      <c r="AY193" s="76">
        <f>VLOOKUP(T_Voluntarios[[#This Row],[RUN]],BBDD[],2,FALSE)</f>
        <v>45778</v>
      </c>
      <c r="AZ193" s="13" t="s">
        <v>2</v>
      </c>
    </row>
    <row r="194" spans="1:52" x14ac:dyDescent="0.3">
      <c r="A194" s="2" t="s">
        <v>2888</v>
      </c>
      <c r="B194" s="2" t="str">
        <f>VLOOKUP(T_Voluntarios[[#This Row],[RUN]],BBDD[],3,FALSE)</f>
        <v>czadelbiobio@guiasyscoutschile.cl</v>
      </c>
      <c r="C194" s="2" t="str">
        <f>VLOOKUP(T_Voluntarios[[#This Row],[RUN]],BBDD[],4,FALSE)</f>
        <v>Rodrigo Bustos Estrada</v>
      </c>
      <c r="D194" s="16">
        <f>VLOOKUP(T_Voluntarios[[#This Row],[RUN]],BBDD[],5,FALSE)</f>
        <v>32715</v>
      </c>
      <c r="E194" s="2" t="str">
        <f>VLOOKUP(T_Voluntarios[[#This Row],[RUN]],BBDD[],6,FALSE)</f>
        <v>XXXXXX</v>
      </c>
      <c r="F194" s="2" t="str">
        <f>VLOOKUP(T_Voluntarios[[#This Row],[RUN]],BBDD[],7,FALSE)</f>
        <v>Xxxxxx</v>
      </c>
      <c r="G194" s="2" t="str">
        <f>VLOOKUP(T_Voluntarios[[#This Row],[RUN]],BBDD[],8,FALSE)</f>
        <v>Celular</v>
      </c>
      <c r="H194" s="2" t="str">
        <f>IF(VLOOKUP(T_Voluntarios[[#This Row],[RUN]],BBDD[],9,FALSE)=0,"Falta",VLOOKUP(T_Voluntarios[[#This Row],[RUN]],BBDD[],9,FALSE))</f>
        <v>+56992178581</v>
      </c>
      <c r="I194" s="2" t="str">
        <f>VLOOKUP(T_Voluntarios[[#This Row],[RUN]],BBDD[],10,FALSE)</f>
        <v>Equipo Organizador</v>
      </c>
      <c r="J194" s="2" t="str">
        <f>VLOOKUP(T_Voluntarios[[#This Row],[RUN]],BBDD[],11,FALSE)</f>
        <v>Equipo Zonal</v>
      </c>
      <c r="K194" s="2" t="str">
        <f>VLOOKUP(T_Voluntarios[[#This Row],[RUN]],BBDD[],12,FALSE)</f>
        <v>Equipo Organizador</v>
      </c>
      <c r="L194" s="2" t="str">
        <f>VLOOKUP(T_Voluntarios[[#This Row],[RUN]],BBDD[],15,FALSE)</f>
        <v>Rio Andalién</v>
      </c>
      <c r="M194" s="2" t="str">
        <f>VLOOKUP(T_Voluntarios[[#This Row],[RUN]],BBDD[],20,FALSE)</f>
        <v>Alimentación Tradicional</v>
      </c>
      <c r="N194" s="2" t="str">
        <f>VLOOKUP(T_Voluntarios[[#This Row],[RUN]],BBDD[],21,FALSE)</f>
        <v>Ninguna</v>
      </c>
      <c r="O194" s="2" t="str">
        <f>VLOOKUP(T_Voluntarios[[#This Row],[RUN]],BBDD[],22,FALSE)</f>
        <v>Ninguna</v>
      </c>
      <c r="P194" s="2" t="str">
        <f>VLOOKUP(T_Voluntarios[[#This Row],[RUN]],BBDD[],23,FALSE)</f>
        <v>Graciela Estrada / +56987415811</v>
      </c>
      <c r="Q194" s="2" t="str">
        <f>IF(VLOOKUP(T_Voluntarios[[#This Row],[RUN]],BBDD[],27,FALSE)=0,"",VLOOKUP(T_Voluntarios[[#This Row],[RUN]],BBDD[],27,FALSE))</f>
        <v/>
      </c>
      <c r="R194" s="2" t="str">
        <f>VLOOKUP(T_Voluntarios[[#This Row],[RUN]],BBDD[],36,FALSE)</f>
        <v>Ninguna</v>
      </c>
      <c r="S194" s="2" t="str">
        <f>VLOOKUP(T_Voluntarios[[#This Row],[RUN]],BBDD[],16,FALSE)</f>
        <v>Medio</v>
      </c>
      <c r="T194" s="2" t="str">
        <f>VLOOKUP(T_Voluntarios[[#This Row],[RUN]],BBDD[],17,FALSE)</f>
        <v>XXXXXX</v>
      </c>
      <c r="U194" s="2" t="str">
        <f>VLOOKUP(T_Voluntarios[[#This Row],[RUN]],BBDD[],18,FALSE)</f>
        <v>XXXXXX</v>
      </c>
      <c r="V194" s="2" t="str">
        <f>VLOOKUP(T_Voluntarios[[#This Row],[RUN]],BBDD[],19,FALSE)</f>
        <v>XXXXXX</v>
      </c>
      <c r="W194" s="13" t="str">
        <f>IF(OR(T_Voluntarios[[#This Row],[ROL]]="Formador(a)"),"SI","NO")</f>
        <v>NO</v>
      </c>
      <c r="X194" s="13" t="str">
        <f>IF(ISERROR(VLOOKUP(T_Voluntarios[[#This Row],[RUN]],BBDD_Formadores[],15,FALSE)),"NO",VLOOKUP(T_Voluntarios[[#This Row],[RUN]],BBDD_Formadores[],15,FALSE))</f>
        <v>NO</v>
      </c>
      <c r="Y194" s="13" t="str">
        <f>IF(ISERROR(VLOOKUP(T_Voluntarios[[#This Row],[RUN]],BBDD_Formadores[],16,FALSE)),"NO",VLOOKUP(T_Voluntarios[[#This Row],[RUN]],BBDD_Formadores[],16,FALSE))</f>
        <v>NO</v>
      </c>
      <c r="Z194" s="13" t="str">
        <f>IF(ISERROR(VLOOKUP(T_Voluntarios[[#This Row],[RUN]],BBDD_Formadores[],17,FALSE)),"NO",VLOOKUP(T_Voluntarios[[#This Row],[RUN]],BBDD_Formadores[],17,FALSE))</f>
        <v>NO</v>
      </c>
      <c r="AA194" s="13" t="str">
        <f>IF(ISERROR(VLOOKUP(T_Voluntarios[[#This Row],[RUN]],BBDD_Formadores[],18,FALSE)),"NO",VLOOKUP(T_Voluntarios[[#This Row],[RUN]],BBDD_Formadores[],18,FALSE))</f>
        <v>NO</v>
      </c>
      <c r="AB194" s="13">
        <v>1</v>
      </c>
      <c r="AC194" s="13" t="s">
        <v>1</v>
      </c>
      <c r="AD194" s="13" t="s">
        <v>77</v>
      </c>
      <c r="AF194" s="2" t="str">
        <f>IF(VLOOKUP(T_Voluntarios[[#This Row],[RUN]],BBDD[],25,FALSE)=0,"",VLOOKUP(T_Voluntarios[[#This Row],[RUN]],BBDD[],25,FALSE))</f>
        <v/>
      </c>
      <c r="AG194" s="2" t="str">
        <f>IF(VLOOKUP(T_Voluntarios[[#This Row],[RUN]],BBDD[],26,FALSE)=0,"",VLOOKUP(T_Voluntarios[[#This Row],[RUN]],BBDD[],26,FALSE))</f>
        <v/>
      </c>
      <c r="AH194" s="2" t="str">
        <f>IF(VLOOKUP(T_Voluntarios[[#This Row],[RUN]],BBDD[],24,FALSE)=0,"",VLOOKUP(T_Voluntarios[[#This Row],[RUN]],BBDD[],24,FALSE))</f>
        <v/>
      </c>
      <c r="AI194" s="13" t="str">
        <f>VLOOKUP(T_Voluntarios[[#This Row],[RUN]],BBDD[],28,FALSE)</f>
        <v>No</v>
      </c>
      <c r="AJ194" s="13" t="str">
        <f>VLOOKUP(T_Voluntarios[[#This Row],[RUN]],BBDD[],28,FALSE)</f>
        <v>No</v>
      </c>
      <c r="AK194" s="32">
        <f>IF(T_Voluntarios[[#This Row],[ROL]]="Participante",SUMIFS(T_Cuotas[[#All],[Total]],T_Cuotas[[#All],[RUN]],T_Voluntarios[[#This Row],[RUN]]),-1)</f>
        <v>-1</v>
      </c>
      <c r="AL194" s="13" t="s">
        <v>1</v>
      </c>
      <c r="AM194" s="13" t="s">
        <v>2029</v>
      </c>
      <c r="AP194" s="2" t="str">
        <f>MID(T_Voluntarios[[#This Row],[E_MAIL]],SEARCH("@",T_Voluntarios[[#This Row],[E_MAIL]],1),LEN(T_Voluntarios[[#This Row],[E_MAIL]]))</f>
        <v>@guiasyscoutschile.cl</v>
      </c>
      <c r="AQ194" s="13" t="str">
        <f>VLOOKUP(T_Voluntarios[[#This Row],[RUN]],BBDD[],37,FALSE)</f>
        <v>35</v>
      </c>
      <c r="AR194" s="2" t="str">
        <f>VLOOKUP(T_Voluntarios[[#This Row],[RUN]],BBDD[],29,FALSE)</f>
        <v>XXXXXX</v>
      </c>
      <c r="AS194" s="2" t="str">
        <f>VLOOKUP(T_Voluntarios[[#This Row],[RUN]],BBDD[],30,FALSE)</f>
        <v>XXXXXX</v>
      </c>
      <c r="AT194" s="2" t="str">
        <f>VLOOKUP(T_Voluntarios[[#This Row],[RUN]],BBDD[],31,FALSE)</f>
        <v>XXXXXX</v>
      </c>
      <c r="AU194" s="2" t="str">
        <f>VLOOKUP(T_Voluntarios[[#This Row],[RUN]],BBDD[],32,FALSE)</f>
        <v>XXXXXX</v>
      </c>
      <c r="AV194" s="2" t="str">
        <f>VLOOKUP(T_Voluntarios[[#This Row],[RUN]],BBDD[],33,FALSE)</f>
        <v>XXXXXX</v>
      </c>
      <c r="AW194" s="2" t="str">
        <f>VLOOKUP(T_Voluntarios[[#This Row],[RUN]],BBDD[],34,FALSE)</f>
        <v>XXXXXX</v>
      </c>
      <c r="AX194" s="13" t="s">
        <v>733</v>
      </c>
      <c r="AY194" s="76">
        <f>VLOOKUP(T_Voluntarios[[#This Row],[RUN]],BBDD[],2,FALSE)</f>
        <v>45778</v>
      </c>
      <c r="AZ194" s="13" t="s">
        <v>2</v>
      </c>
    </row>
    <row r="195" spans="1:52" x14ac:dyDescent="0.3">
      <c r="A195" s="2" t="s">
        <v>2893</v>
      </c>
      <c r="B195" s="2" t="str">
        <f>VLOOKUP(T_Voluntarios[[#This Row],[RUN]],BBDD[],3,FALSE)</f>
        <v>k.mellaescobar@gmail.com</v>
      </c>
      <c r="C195" s="2" t="str">
        <f>VLOOKUP(T_Voluntarios[[#This Row],[RUN]],BBDD[],4,FALSE)</f>
        <v>Krishna Alexandra Mella Escobar</v>
      </c>
      <c r="D195" s="16">
        <f>VLOOKUP(T_Voluntarios[[#This Row],[RUN]],BBDD[],5,FALSE)</f>
        <v>37103</v>
      </c>
      <c r="E195" s="2" t="str">
        <f>VLOOKUP(T_Voluntarios[[#This Row],[RUN]],BBDD[],6,FALSE)</f>
        <v>applegath 549</v>
      </c>
      <c r="F195" s="2" t="str">
        <f>VLOOKUP(T_Voluntarios[[#This Row],[RUN]],BBDD[],7,FALSE)</f>
        <v>Talcahuano</v>
      </c>
      <c r="G195" s="2" t="str">
        <f>VLOOKUP(T_Voluntarios[[#This Row],[RUN]],BBDD[],8,FALSE)</f>
        <v>Celular</v>
      </c>
      <c r="H195" s="2" t="str">
        <f>IF(VLOOKUP(T_Voluntarios[[#This Row],[RUN]],BBDD[],9,FALSE)=0,"Falta",VLOOKUP(T_Voluntarios[[#This Row],[RUN]],BBDD[],9,FALSE))</f>
        <v>+56996908157</v>
      </c>
      <c r="I195" s="2" t="str">
        <f>VLOOKUP(T_Voluntarios[[#This Row],[RUN]],BBDD[],10,FALSE)</f>
        <v>Apoyo a Formadores</v>
      </c>
      <c r="J195" s="2" t="str">
        <f>VLOOKUP(T_Voluntarios[[#This Row],[RUN]],BBDD[],11,FALSE)</f>
        <v>Santa Cecilia</v>
      </c>
      <c r="K195" s="2" t="str">
        <f>VLOOKUP(T_Voluntarios[[#This Row],[RUN]],BBDD[],12,FALSE)</f>
        <v>Pioneros</v>
      </c>
      <c r="L195" s="2" t="str">
        <f>VLOOKUP(T_Voluntarios[[#This Row],[RUN]],BBDD[],15,FALSE)</f>
        <v>Talcahuano - Hualpén</v>
      </c>
      <c r="M195" s="2" t="str">
        <f>VLOOKUP(T_Voluntarios[[#This Row],[RUN]],BBDD[],20,FALSE)</f>
        <v>Alimentación Vegetariana</v>
      </c>
      <c r="N195" s="2" t="str">
        <f>VLOOKUP(T_Voluntarios[[#This Row],[RUN]],BBDD[],21,FALSE)</f>
        <v>Ninguna</v>
      </c>
      <c r="O195" s="2" t="str">
        <f>VLOOKUP(T_Voluntarios[[#This Row],[RUN]],BBDD[],22,FALSE)</f>
        <v>Ninguna</v>
      </c>
      <c r="P195" s="2" t="str">
        <f>VLOOKUP(T_Voluntarios[[#This Row],[RUN]],BBDD[],23,FALSE)</f>
        <v>Manuel +59695158572</v>
      </c>
      <c r="Q195" s="2" t="str">
        <f>IF(VLOOKUP(T_Voluntarios[[#This Row],[RUN]],BBDD[],27,FALSE)=0,"",VLOOKUP(T_Voluntarios[[#This Row],[RUN]],BBDD[],27,FALSE))</f>
        <v/>
      </c>
      <c r="R195" s="2" t="str">
        <f>VLOOKUP(T_Voluntarios[[#This Row],[RUN]],BBDD[],36,FALSE)</f>
        <v>https://drive.google.com/open?id=1JDhDDmW7SEtOZf0fXRl3OrlfI1QzdHEF</v>
      </c>
      <c r="S195" s="2" t="str">
        <f>VLOOKUP(T_Voluntarios[[#This Row],[RUN]],BBDD[],16,FALSE)</f>
        <v>Medio</v>
      </c>
      <c r="T195" s="2" t="str">
        <f>VLOOKUP(T_Voluntarios[[#This Row],[RUN]],BBDD[],17,FALSE)</f>
        <v>11110</v>
      </c>
      <c r="U195" s="2" t="str">
        <f>VLOOKUP(T_Voluntarios[[#This Row],[RUN]],BBDD[],18,FALSE)</f>
        <v>Pioneros</v>
      </c>
      <c r="V195" s="2" t="str">
        <f>VLOOKUP(T_Voluntarios[[#This Row],[RUN]],BBDD[],19,FALSE)</f>
        <v>Ninguno</v>
      </c>
      <c r="W195" s="13" t="str">
        <f>IF(OR(T_Voluntarios[[#This Row],[ROL]]="Formador(a)"),"SI","NO")</f>
        <v>NO</v>
      </c>
      <c r="X195" s="13" t="str">
        <f>IF(ISERROR(VLOOKUP(T_Voluntarios[[#This Row],[RUN]],BBDD_Formadores[],15,FALSE)),"NO",VLOOKUP(T_Voluntarios[[#This Row],[RUN]],BBDD_Formadores[],15,FALSE))</f>
        <v>NO</v>
      </c>
      <c r="Y195" s="13" t="str">
        <f>IF(ISERROR(VLOOKUP(T_Voluntarios[[#This Row],[RUN]],BBDD_Formadores[],16,FALSE)),"NO",VLOOKUP(T_Voluntarios[[#This Row],[RUN]],BBDD_Formadores[],16,FALSE))</f>
        <v>NO</v>
      </c>
      <c r="Z195" s="13" t="str">
        <f>IF(ISERROR(VLOOKUP(T_Voluntarios[[#This Row],[RUN]],BBDD_Formadores[],17,FALSE)),"NO",VLOOKUP(T_Voluntarios[[#This Row],[RUN]],BBDD_Formadores[],17,FALSE))</f>
        <v>NO</v>
      </c>
      <c r="AA195" s="13" t="str">
        <f>IF(ISERROR(VLOOKUP(T_Voluntarios[[#This Row],[RUN]],BBDD_Formadores[],18,FALSE)),"NO",VLOOKUP(T_Voluntarios[[#This Row],[RUN]],BBDD_Formadores[],18,FALSE))</f>
        <v>NO</v>
      </c>
      <c r="AB195" s="13">
        <v>1</v>
      </c>
      <c r="AC195" s="13" t="s">
        <v>1</v>
      </c>
      <c r="AD195" s="13" t="s">
        <v>77</v>
      </c>
      <c r="AF195" s="2" t="str">
        <f>IF(VLOOKUP(T_Voluntarios[[#This Row],[RUN]],BBDD[],25,FALSE)=0,"",VLOOKUP(T_Voluntarios[[#This Row],[RUN]],BBDD[],25,FALSE))</f>
        <v/>
      </c>
      <c r="AG195" s="2" t="str">
        <f>IF(VLOOKUP(T_Voluntarios[[#This Row],[RUN]],BBDD[],26,FALSE)=0,"",VLOOKUP(T_Voluntarios[[#This Row],[RUN]],BBDD[],26,FALSE))</f>
        <v/>
      </c>
      <c r="AH195" s="2" t="str">
        <f>IF(VLOOKUP(T_Voluntarios[[#This Row],[RUN]],BBDD[],24,FALSE)=0,"",VLOOKUP(T_Voluntarios[[#This Row],[RUN]],BBDD[],24,FALSE))</f>
        <v/>
      </c>
      <c r="AI195" s="13" t="str">
        <f>VLOOKUP(T_Voluntarios[[#This Row],[RUN]],BBDD[],28,FALSE)</f>
        <v>No</v>
      </c>
      <c r="AJ195" s="13" t="str">
        <f>VLOOKUP(T_Voluntarios[[#This Row],[RUN]],BBDD[],28,FALSE)</f>
        <v>No</v>
      </c>
      <c r="AK195" s="32">
        <f>IF(T_Voluntarios[[#This Row],[ROL]]="Participante",SUMIFS(T_Cuotas[[#All],[Total]],T_Cuotas[[#All],[RUN]],T_Voluntarios[[#This Row],[RUN]]),-1)</f>
        <v>-1</v>
      </c>
      <c r="AL195" s="13" t="s">
        <v>1</v>
      </c>
      <c r="AM195" s="13" t="s">
        <v>2029</v>
      </c>
      <c r="AP195" s="2" t="str">
        <f>MID(T_Voluntarios[[#This Row],[E_MAIL]],SEARCH("@",T_Voluntarios[[#This Row],[E_MAIL]],1),LEN(T_Voluntarios[[#This Row],[E_MAIL]]))</f>
        <v>@gmail.com</v>
      </c>
      <c r="AQ195" s="13" t="str">
        <f>VLOOKUP(T_Voluntarios[[#This Row],[RUN]],BBDD[],37,FALSE)</f>
        <v>23</v>
      </c>
      <c r="AR195" s="2" t="str">
        <f>VLOOKUP(T_Voluntarios[[#This Row],[RUN]],BBDD[],29,FALSE)</f>
        <v>Tecnóloga Médica</v>
      </c>
      <c r="AS195" s="2" t="str">
        <f>VLOOKUP(T_Voluntarios[[#This Row],[RUN]],BBDD[],30,FALSE)</f>
        <v>2 años</v>
      </c>
      <c r="AT195" s="2" t="str">
        <f>VLOOKUP(T_Voluntarios[[#This Row],[RUN]],BBDD[],31,FALSE)</f>
        <v>1 año</v>
      </c>
      <c r="AU195" s="2" t="str">
        <f>VLOOKUP(T_Voluntarios[[#This Row],[RUN]],BBDD[],32,FALSE)</f>
        <v>Soltero(a)</v>
      </c>
      <c r="AV195" s="2" t="str">
        <f>VLOOKUP(T_Voluntarios[[#This Row],[RUN]],BBDD[],33,FALSE)</f>
        <v>Católica</v>
      </c>
      <c r="AW195" s="2" t="str">
        <f>VLOOKUP(T_Voluntarios[[#This Row],[RUN]],BBDD[],34,FALSE)</f>
        <v>Kishi</v>
      </c>
      <c r="AX195" s="13" t="s">
        <v>733</v>
      </c>
      <c r="AY195" s="76">
        <f>VLOOKUP(T_Voluntarios[[#This Row],[RUN]],BBDD[],2,FALSE)</f>
        <v>45803.831445331787</v>
      </c>
      <c r="AZ195" s="13" t="s">
        <v>2</v>
      </c>
    </row>
    <row r="196" spans="1:52" x14ac:dyDescent="0.3">
      <c r="A196" s="2" t="s">
        <v>174</v>
      </c>
      <c r="B196" s="2" t="str">
        <f>VLOOKUP(T_Voluntarios[[#This Row],[RUN]],BBDD[],3,FALSE)</f>
        <v>painostroza@gmail.com</v>
      </c>
      <c r="C196" s="2" t="str">
        <f>VLOOKUP(T_Voluntarios[[#This Row],[RUN]],BBDD[],4,FALSE)</f>
        <v>Pamela Inostroza Ulloa</v>
      </c>
      <c r="D196" s="16">
        <f>VLOOKUP(T_Voluntarios[[#This Row],[RUN]],BBDD[],5,FALSE)</f>
        <v>28540</v>
      </c>
      <c r="E196" s="2" t="str">
        <f>VLOOKUP(T_Voluntarios[[#This Row],[RUN]],BBDD[],6,FALSE)</f>
        <v>Crisantemos 57 villa perales</v>
      </c>
      <c r="F196" s="2" t="str">
        <f>VLOOKUP(T_Voluntarios[[#This Row],[RUN]],BBDD[],7,FALSE)</f>
        <v>Talcahuano</v>
      </c>
      <c r="G196" s="2" t="str">
        <f>VLOOKUP(T_Voluntarios[[#This Row],[RUN]],BBDD[],8,FALSE)</f>
        <v>Celular</v>
      </c>
      <c r="H196" s="2" t="str">
        <f>IF(VLOOKUP(T_Voluntarios[[#This Row],[RUN]],BBDD[],9,FALSE)=0,"Falta",VLOOKUP(T_Voluntarios[[#This Row],[RUN]],BBDD[],9,FALSE))</f>
        <v>+56984597052</v>
      </c>
      <c r="I196" s="2" t="str">
        <f>VLOOKUP(T_Voluntarios[[#This Row],[RUN]],BBDD[],10,FALSE)</f>
        <v>Equipo Organizador</v>
      </c>
      <c r="J196" s="2" t="str">
        <f>VLOOKUP(T_Voluntarios[[#This Row],[RUN]],BBDD[],11,FALSE)</f>
        <v>Halcones Negros</v>
      </c>
      <c r="K196" s="2" t="str">
        <f>VLOOKUP(T_Voluntarios[[#This Row],[RUN]],BBDD[],12,FALSE)</f>
        <v>Golondrinas</v>
      </c>
      <c r="L196" s="2" t="str">
        <f>VLOOKUP(T_Voluntarios[[#This Row],[RUN]],BBDD[],15,FALSE)</f>
        <v>Talcahuano - Hualpén</v>
      </c>
      <c r="M196" s="2" t="str">
        <f>VLOOKUP(T_Voluntarios[[#This Row],[RUN]],BBDD[],20,FALSE)</f>
        <v>Alimentación Tradicional</v>
      </c>
      <c r="N196" s="2" t="str">
        <f>VLOOKUP(T_Voluntarios[[#This Row],[RUN]],BBDD[],21,FALSE)</f>
        <v>Asma</v>
      </c>
      <c r="O196" s="2" t="str">
        <f>VLOOKUP(T_Voluntarios[[#This Row],[RUN]],BBDD[],22,FALSE)</f>
        <v>Asma</v>
      </c>
      <c r="P196" s="2" t="str">
        <f>VLOOKUP(T_Voluntarios[[#This Row],[RUN]],BBDD[],23,FALSE)</f>
        <v>Patricio Alveal +56952197283</v>
      </c>
      <c r="Q196" s="2" t="str">
        <f>IF(VLOOKUP(T_Voluntarios[[#This Row],[RUN]],BBDD[],27,FALSE)=0,"",VLOOKUP(T_Voluntarios[[#This Row],[RUN]],BBDD[],27,FALSE))</f>
        <v>No</v>
      </c>
      <c r="R196" s="2" t="str">
        <f>VLOOKUP(T_Voluntarios[[#This Row],[RUN]],BBDD[],36,FALSE)</f>
        <v>https://drive.google.com/open?id=175gssUYZfDHhiyRbePuTQEO74SQGJhEs</v>
      </c>
      <c r="S196" s="2" t="str">
        <f>VLOOKUP(T_Voluntarios[[#This Row],[RUN]],BBDD[],16,FALSE)</f>
        <v>Medio</v>
      </c>
      <c r="T196" s="2" t="str">
        <f>VLOOKUP(T_Voluntarios[[#This Row],[RUN]],BBDD[],17,FALSE)</f>
        <v>9180</v>
      </c>
      <c r="U196" s="2" t="str">
        <f>VLOOKUP(T_Voluntarios[[#This Row],[RUN]],BBDD[],18,FALSE)</f>
        <v>Golondrinas</v>
      </c>
      <c r="V196" s="2" t="str">
        <f>VLOOKUP(T_Voluntarios[[#This Row],[RUN]],BBDD[],19,FALSE)</f>
        <v>Ninguno</v>
      </c>
      <c r="W196" s="13" t="str">
        <f>IF(OR(T_Voluntarios[[#This Row],[ROL]]="Formador(a)"),"SI","NO")</f>
        <v>NO</v>
      </c>
      <c r="X196" s="13" t="str">
        <f>IF(ISERROR(VLOOKUP(T_Voluntarios[[#This Row],[RUN]],BBDD_Formadores[],15,FALSE)),"NO",VLOOKUP(T_Voluntarios[[#This Row],[RUN]],BBDD_Formadores[],15,FALSE))</f>
        <v>SI</v>
      </c>
      <c r="Y196" s="13" t="str">
        <f>IF(ISERROR(VLOOKUP(T_Voluntarios[[#This Row],[RUN]],BBDD_Formadores[],16,FALSE)),"NO",VLOOKUP(T_Voluntarios[[#This Row],[RUN]],BBDD_Formadores[],16,FALSE))</f>
        <v>Golondrinas</v>
      </c>
      <c r="Z196" s="13" t="str">
        <f>IF(ISERROR(VLOOKUP(T_Voluntarios[[#This Row],[RUN]],BBDD_Formadores[],17,FALSE)),"NO",VLOOKUP(T_Voluntarios[[#This Row],[RUN]],BBDD_Formadores[],17,FALSE))</f>
        <v>Golondrinas</v>
      </c>
      <c r="AA196" s="13" t="str">
        <f>IF(ISERROR(VLOOKUP(T_Voluntarios[[#This Row],[RUN]],BBDD_Formadores[],18,FALSE)),"NO",VLOOKUP(T_Voluntarios[[#This Row],[RUN]],BBDD_Formadores[],18,FALSE))</f>
        <v>No Actualizado</v>
      </c>
      <c r="AB196" s="13">
        <v>1</v>
      </c>
      <c r="AC196" s="13" t="s">
        <v>1</v>
      </c>
      <c r="AD196" s="13" t="s">
        <v>77</v>
      </c>
      <c r="AF196" s="2" t="str">
        <f>IF(VLOOKUP(T_Voluntarios[[#This Row],[RUN]],BBDD[],25,FALSE)=0,"",VLOOKUP(T_Voluntarios[[#This Row],[RUN]],BBDD[],25,FALSE))</f>
        <v/>
      </c>
      <c r="AG196" s="2" t="str">
        <f>IF(VLOOKUP(T_Voluntarios[[#This Row],[RUN]],BBDD[],26,FALSE)=0,"",VLOOKUP(T_Voluntarios[[#This Row],[RUN]],BBDD[],26,FALSE))</f>
        <v/>
      </c>
      <c r="AH196" s="2" t="str">
        <f>IF(VLOOKUP(T_Voluntarios[[#This Row],[RUN]],BBDD[],24,FALSE)=0,"",VLOOKUP(T_Voluntarios[[#This Row],[RUN]],BBDD[],24,FALSE))</f>
        <v/>
      </c>
      <c r="AI196" s="13" t="str">
        <f>VLOOKUP(T_Voluntarios[[#This Row],[RUN]],BBDD[],28,FALSE)</f>
        <v>No</v>
      </c>
      <c r="AJ196" s="13" t="str">
        <f>VLOOKUP(T_Voluntarios[[#This Row],[RUN]],BBDD[],28,FALSE)</f>
        <v>No</v>
      </c>
      <c r="AK196" s="32">
        <f>IF(T_Voluntarios[[#This Row],[ROL]]="Participante",SUMIFS(T_Cuotas[[#All],[Total]],T_Cuotas[[#All],[RUN]],T_Voluntarios[[#This Row],[RUN]]),-1)</f>
        <v>-1</v>
      </c>
      <c r="AL196" s="13" t="s">
        <v>1</v>
      </c>
      <c r="AM196" s="13" t="s">
        <v>2029</v>
      </c>
      <c r="AP196" s="2" t="str">
        <f>MID(T_Voluntarios[[#This Row],[E_MAIL]],SEARCH("@",T_Voluntarios[[#This Row],[E_MAIL]],1),LEN(T_Voluntarios[[#This Row],[E_MAIL]]))</f>
        <v>@gmail.com</v>
      </c>
      <c r="AQ196" s="13" t="str">
        <f>VLOOKUP(T_Voluntarios[[#This Row],[RUN]],BBDD[],37,FALSE)</f>
        <v>47</v>
      </c>
      <c r="AR196" s="2" t="str">
        <f>VLOOKUP(T_Voluntarios[[#This Row],[RUN]],BBDD[],29,FALSE)</f>
        <v>Ingeniera Informática</v>
      </c>
      <c r="AS196" s="2" t="str">
        <f>VLOOKUP(T_Voluntarios[[#This Row],[RUN]],BBDD[],30,FALSE)</f>
        <v>5 años</v>
      </c>
      <c r="AT196" s="2" t="str">
        <f>VLOOKUP(T_Voluntarios[[#This Row],[RUN]],BBDD[],31,FALSE)</f>
        <v>15 años</v>
      </c>
      <c r="AU196" s="2" t="str">
        <f>VLOOKUP(T_Voluntarios[[#This Row],[RUN]],BBDD[],32,FALSE)</f>
        <v>Casado(a)</v>
      </c>
      <c r="AV196" s="2" t="str">
        <f>VLOOKUP(T_Voluntarios[[#This Row],[RUN]],BBDD[],33,FALSE)</f>
        <v>catolico</v>
      </c>
      <c r="AW196" s="2" t="str">
        <f>VLOOKUP(T_Voluntarios[[#This Row],[RUN]],BBDD[],34,FALSE)</f>
        <v>Pame</v>
      </c>
      <c r="AX196" s="13" t="s">
        <v>733</v>
      </c>
      <c r="AY196" s="76">
        <f>VLOOKUP(T_Voluntarios[[#This Row],[RUN]],BBDD[],2,FALSE)</f>
        <v>45803.922927623455</v>
      </c>
      <c r="AZ196" s="13" t="s">
        <v>2</v>
      </c>
    </row>
    <row r="197" spans="1:52" x14ac:dyDescent="0.3">
      <c r="A197" s="2" t="s">
        <v>2862</v>
      </c>
      <c r="B197" s="2" t="str">
        <f>VLOOKUP(T_Voluntarios[[#This Row],[RUN]],BBDD[],3,FALSE)</f>
        <v>fabiansep11@gmail.com</v>
      </c>
      <c r="C197" s="2" t="str">
        <f>VLOOKUP(T_Voluntarios[[#This Row],[RUN]],BBDD[],4,FALSE)</f>
        <v>Fabián Alejandro Sepúlveda Aguilera</v>
      </c>
      <c r="D197" s="16">
        <f>VLOOKUP(T_Voluntarios[[#This Row],[RUN]],BBDD[],5,FALSE)</f>
        <v>34507</v>
      </c>
      <c r="E197" s="2" t="str">
        <f>VLOOKUP(T_Voluntarios[[#This Row],[RUN]],BBDD[],6,FALSE)</f>
        <v>villa alcalde Navas psj cau-cau 931</v>
      </c>
      <c r="F197" s="2" t="str">
        <f>VLOOKUP(T_Voluntarios[[#This Row],[RUN]],BBDD[],7,FALSE)</f>
        <v>Chillán</v>
      </c>
      <c r="G197" s="2" t="str">
        <f>VLOOKUP(T_Voluntarios[[#This Row],[RUN]],BBDD[],8,FALSE)</f>
        <v>Celular</v>
      </c>
      <c r="H197" s="2" t="str">
        <f>IF(VLOOKUP(T_Voluntarios[[#This Row],[RUN]],BBDD[],9,FALSE)=0,"Falta",VLOOKUP(T_Voluntarios[[#This Row],[RUN]],BBDD[],9,FALSE))</f>
        <v>+56948539347</v>
      </c>
      <c r="I197" s="2" t="str">
        <f>VLOOKUP(T_Voluntarios[[#This Row],[RUN]],BBDD[],10,FALSE)</f>
        <v>Participante</v>
      </c>
      <c r="J197" s="2" t="str">
        <f>VLOOKUP(T_Voluntarios[[#This Row],[RUN]],BBDD[],11,FALSE)</f>
        <v>Terranova</v>
      </c>
      <c r="K197" s="2" t="str">
        <f>VLOOKUP(T_Voluntarios[[#This Row],[RUN]],BBDD[],12,FALSE)</f>
        <v>Scouts</v>
      </c>
      <c r="L197" s="2" t="str">
        <f>VLOOKUP(T_Voluntarios[[#This Row],[RUN]],BBDD[],15,FALSE)</f>
        <v>Zona Ñuble</v>
      </c>
      <c r="M197" s="2" t="str">
        <f>VLOOKUP(T_Voluntarios[[#This Row],[RUN]],BBDD[],20,FALSE)</f>
        <v>Alimentación Tradicional</v>
      </c>
      <c r="N197" s="2" t="str">
        <f>VLOOKUP(T_Voluntarios[[#This Row],[RUN]],BBDD[],21,FALSE)</f>
        <v>Ninguna</v>
      </c>
      <c r="O197" s="2" t="str">
        <f>VLOOKUP(T_Voluntarios[[#This Row],[RUN]],BBDD[],22,FALSE)</f>
        <v>Ninguna</v>
      </c>
      <c r="P197" s="2" t="str">
        <f>VLOOKUP(T_Voluntarios[[#This Row],[RUN]],BBDD[],23,FALSE)</f>
        <v>Jaime - +56940714170</v>
      </c>
      <c r="Q197" s="2" t="str">
        <f>IF(VLOOKUP(T_Voluntarios[[#This Row],[RUN]],BBDD[],27,FALSE)=0,"",VLOOKUP(T_Voluntarios[[#This Row],[RUN]],BBDD[],27,FALSE))</f>
        <v/>
      </c>
      <c r="R197" s="2" t="str">
        <f>VLOOKUP(T_Voluntarios[[#This Row],[RUN]],BBDD[],36,FALSE)</f>
        <v>https://drive.google.com/open?id=1OciRevPa-K6uY9ZN9bYHLNg3qreci5NT</v>
      </c>
      <c r="S197" s="2" t="str">
        <f>VLOOKUP(T_Voluntarios[[#This Row],[RUN]],BBDD[],16,FALSE)</f>
        <v>Inicial</v>
      </c>
      <c r="T197" s="2" t="str">
        <f>VLOOKUP(T_Voluntarios[[#This Row],[RUN]],BBDD[],17,FALSE)</f>
        <v>Ninguno</v>
      </c>
      <c r="U197" s="2" t="str">
        <f>VLOOKUP(T_Voluntarios[[#This Row],[RUN]],BBDD[],18,FALSE)</f>
        <v>Ninguno</v>
      </c>
      <c r="V197" s="2" t="str">
        <f>VLOOKUP(T_Voluntarios[[#This Row],[RUN]],BBDD[],19,FALSE)</f>
        <v>Ninguno</v>
      </c>
      <c r="W197" s="13" t="str">
        <f>IF(OR(T_Voluntarios[[#This Row],[ROL]]="Formador(a)"),"SI","NO")</f>
        <v>NO</v>
      </c>
      <c r="X197" s="13" t="str">
        <f>IF(ISERROR(VLOOKUP(T_Voluntarios[[#This Row],[RUN]],BBDD_Formadores[],15,FALSE)),"NO",VLOOKUP(T_Voluntarios[[#This Row],[RUN]],BBDD_Formadores[],15,FALSE))</f>
        <v>NO</v>
      </c>
      <c r="Y197" s="13" t="str">
        <f>IF(ISERROR(VLOOKUP(T_Voluntarios[[#This Row],[RUN]],BBDD_Formadores[],16,FALSE)),"NO",VLOOKUP(T_Voluntarios[[#This Row],[RUN]],BBDD_Formadores[],16,FALSE))</f>
        <v>NO</v>
      </c>
      <c r="Z197" s="13" t="str">
        <f>IF(ISERROR(VLOOKUP(T_Voluntarios[[#This Row],[RUN]],BBDD_Formadores[],17,FALSE)),"NO",VLOOKUP(T_Voluntarios[[#This Row],[RUN]],BBDD_Formadores[],17,FALSE))</f>
        <v>NO</v>
      </c>
      <c r="AA197" s="13" t="str">
        <f>IF(ISERROR(VLOOKUP(T_Voluntarios[[#This Row],[RUN]],BBDD_Formadores[],18,FALSE)),"NO",VLOOKUP(T_Voluntarios[[#This Row],[RUN]],BBDD_Formadores[],18,FALSE))</f>
        <v>NO</v>
      </c>
      <c r="AB197" s="13">
        <v>1</v>
      </c>
      <c r="AC197" s="13" t="s">
        <v>1</v>
      </c>
      <c r="AD197" s="13" t="s">
        <v>77</v>
      </c>
      <c r="AF197" s="2" t="str">
        <f>IF(VLOOKUP(T_Voluntarios[[#This Row],[RUN]],BBDD[],25,FALSE)=0,"",VLOOKUP(T_Voluntarios[[#This Row],[RUN]],BBDD[],25,FALSE))</f>
        <v/>
      </c>
      <c r="AG197" s="2" t="str">
        <f>IF(VLOOKUP(T_Voluntarios[[#This Row],[RUN]],BBDD[],26,FALSE)=0,"",VLOOKUP(T_Voluntarios[[#This Row],[RUN]],BBDD[],26,FALSE))</f>
        <v/>
      </c>
      <c r="AH197" s="2" t="str">
        <f>IF(VLOOKUP(T_Voluntarios[[#This Row],[RUN]],BBDD[],24,FALSE)=0,"",VLOOKUP(T_Voluntarios[[#This Row],[RUN]],BBDD[],24,FALSE))</f>
        <v/>
      </c>
      <c r="AI197" s="13" t="str">
        <f>VLOOKUP(T_Voluntarios[[#This Row],[RUN]],BBDD[],28,FALSE)</f>
        <v>SI</v>
      </c>
      <c r="AJ197" s="13" t="str">
        <f>VLOOKUP(T_Voluntarios[[#This Row],[RUN]],BBDD[],28,FALSE)</f>
        <v>SI</v>
      </c>
      <c r="AK197" s="32">
        <f>IF(T_Voluntarios[[#This Row],[ROL]]="Participante",SUMIFS(T_Cuotas[[#All],[Total]],T_Cuotas[[#All],[RUN]],T_Voluntarios[[#This Row],[RUN]]),-1)</f>
        <v>50000</v>
      </c>
      <c r="AL197" s="13" t="s">
        <v>1</v>
      </c>
      <c r="AM197" s="13" t="s">
        <v>2029</v>
      </c>
      <c r="AP197" s="2" t="str">
        <f>MID(T_Voluntarios[[#This Row],[E_MAIL]],SEARCH("@",T_Voluntarios[[#This Row],[E_MAIL]],1),LEN(T_Voluntarios[[#This Row],[E_MAIL]]))</f>
        <v>@gmail.com</v>
      </c>
      <c r="AQ197" s="13" t="str">
        <f>VLOOKUP(T_Voluntarios[[#This Row],[RUN]],BBDD[],37,FALSE)</f>
        <v>31</v>
      </c>
      <c r="AR197" s="2" t="str">
        <f>VLOOKUP(T_Voluntarios[[#This Row],[RUN]],BBDD[],29,FALSE)</f>
        <v>mueblista</v>
      </c>
      <c r="AS197" s="2" t="str">
        <f>VLOOKUP(T_Voluntarios[[#This Row],[RUN]],BBDD[],30,FALSE)</f>
        <v>5 años</v>
      </c>
      <c r="AT197" s="2" t="str">
        <f>VLOOKUP(T_Voluntarios[[#This Row],[RUN]],BBDD[],31,FALSE)</f>
        <v>6 años</v>
      </c>
      <c r="AU197" s="2" t="str">
        <f>VLOOKUP(T_Voluntarios[[#This Row],[RUN]],BBDD[],32,FALSE)</f>
        <v>Soltero(a)</v>
      </c>
      <c r="AV197" s="2" t="str">
        <f>VLOOKUP(T_Voluntarios[[#This Row],[RUN]],BBDD[],33,FALSE)</f>
        <v>Ninguna</v>
      </c>
      <c r="AW197" s="2" t="str">
        <f>VLOOKUP(T_Voluntarios[[#This Row],[RUN]],BBDD[],34,FALSE)</f>
        <v>Fabián</v>
      </c>
      <c r="AX197" s="13" t="s">
        <v>733</v>
      </c>
      <c r="AY197" s="76">
        <f>VLOOKUP(T_Voluntarios[[#This Row],[RUN]],BBDD[],2,FALSE)</f>
        <v>45804.921342206791</v>
      </c>
      <c r="AZ197" s="13" t="s">
        <v>3402</v>
      </c>
    </row>
    <row r="198" spans="1:52" x14ac:dyDescent="0.3">
      <c r="A198" s="2" t="s">
        <v>2910</v>
      </c>
      <c r="B198" s="2" t="str">
        <f>VLOOKUP(T_Voluntarios[[#This Row],[RUN]],BBDD[],3,FALSE)</f>
        <v>fletelier@guiasyscoutschile.cl</v>
      </c>
      <c r="C198" s="2" t="str">
        <f>VLOOKUP(T_Voluntarios[[#This Row],[RUN]],BBDD[],4,FALSE)</f>
        <v>Fabiola Letelier Álvarez</v>
      </c>
      <c r="D198" s="16">
        <f>VLOOKUP(T_Voluntarios[[#This Row],[RUN]],BBDD[],5,FALSE)</f>
        <v>31246</v>
      </c>
      <c r="E198" s="2" t="str">
        <f>VLOOKUP(T_Voluntarios[[#This Row],[RUN]],BBDD[],6,FALSE)</f>
        <v>Los Hualles S/N, Chancoyan</v>
      </c>
      <c r="F198" s="2" t="str">
        <f>VLOOKUP(T_Voluntarios[[#This Row],[RUN]],BBDD[],7,FALSE)</f>
        <v>Valdivia</v>
      </c>
      <c r="G198" s="2" t="str">
        <f>VLOOKUP(T_Voluntarios[[#This Row],[RUN]],BBDD[],8,FALSE)</f>
        <v>Celular</v>
      </c>
      <c r="H198" s="2" t="str">
        <f>IF(VLOOKUP(T_Voluntarios[[#This Row],[RUN]],BBDD[],9,FALSE)=0,"Falta",VLOOKUP(T_Voluntarios[[#This Row],[RUN]],BBDD[],9,FALSE))</f>
        <v>+56963413456</v>
      </c>
      <c r="I198" s="2" t="str">
        <f>VLOOKUP(T_Voluntarios[[#This Row],[RUN]],BBDD[],10,FALSE)</f>
        <v>Formador(a)</v>
      </c>
      <c r="J198" s="2" t="str">
        <f>VLOOKUP(T_Voluntarios[[#This Row],[RUN]],BBDD[],11,FALSE)</f>
        <v>Dr. Clemente Holzapfel</v>
      </c>
      <c r="K198" s="2" t="str">
        <f>VLOOKUP(T_Voluntarios[[#This Row],[RUN]],BBDD[],12,FALSE)</f>
        <v>Caminantes</v>
      </c>
      <c r="L198" s="2" t="str">
        <f>VLOOKUP(T_Voluntarios[[#This Row],[RUN]],BBDD[],15,FALSE)</f>
        <v>Zona de los Rios</v>
      </c>
      <c r="M198" s="2" t="str">
        <f>VLOOKUP(T_Voluntarios[[#This Row],[RUN]],BBDD[],20,FALSE)</f>
        <v>Alimentación Tradicional</v>
      </c>
      <c r="N198" s="2" t="str">
        <f>VLOOKUP(T_Voluntarios[[#This Row],[RUN]],BBDD[],21,FALSE)</f>
        <v>Sin Lactosa</v>
      </c>
      <c r="O198" s="2" t="str">
        <f>VLOOKUP(T_Voluntarios[[#This Row],[RUN]],BBDD[],22,FALSE)</f>
        <v>Ninguna</v>
      </c>
      <c r="P198" s="2" t="str">
        <f>VLOOKUP(T_Voluntarios[[#This Row],[RUN]],BBDD[],23,FALSE)</f>
        <v>Fernando Fuentes 978096807</v>
      </c>
      <c r="Q198" s="2" t="str">
        <f>IF(VLOOKUP(T_Voluntarios[[#This Row],[RUN]],BBDD[],27,FALSE)=0,"",VLOOKUP(T_Voluntarios[[#This Row],[RUN]],BBDD[],27,FALSE))</f>
        <v>No</v>
      </c>
      <c r="R198" s="2" t="str">
        <f>VLOOKUP(T_Voluntarios[[#This Row],[RUN]],BBDD[],36,FALSE)</f>
        <v>https://drive.google.com/open?id=1CeN4esPggpbco0zeq5Mf_3T1VEaj7YUo</v>
      </c>
      <c r="S198" s="2" t="str">
        <f>VLOOKUP(T_Voluntarios[[#This Row],[RUN]],BBDD[],16,FALSE)</f>
        <v>Avanzado</v>
      </c>
      <c r="T198" s="2" t="str">
        <f>VLOOKUP(T_Voluntarios[[#This Row],[RUN]],BBDD[],17,FALSE)</f>
        <v>9529</v>
      </c>
      <c r="U198" s="2" t="str">
        <f>VLOOKUP(T_Voluntarios[[#This Row],[RUN]],BBDD[],18,FALSE)</f>
        <v>Caminantes</v>
      </c>
      <c r="V198" s="2" t="str">
        <f>VLOOKUP(T_Voluntarios[[#This Row],[RUN]],BBDD[],19,FALSE)</f>
        <v>Caminantes</v>
      </c>
      <c r="W198" s="13" t="str">
        <f>IF(OR(T_Voluntarios[[#This Row],[ROL]]="Formador(a)"),"SI","NO")</f>
        <v>SI</v>
      </c>
      <c r="X198" s="13" t="str">
        <f>IF(ISERROR(VLOOKUP(T_Voluntarios[[#This Row],[RUN]],BBDD_Formadores[],15,FALSE)),"NO",VLOOKUP(T_Voluntarios[[#This Row],[RUN]],BBDD_Formadores[],15,FALSE))</f>
        <v>NO</v>
      </c>
      <c r="Y198" s="13" t="str">
        <f>IF(ISERROR(VLOOKUP(T_Voluntarios[[#This Row],[RUN]],BBDD_Formadores[],16,FALSE)),"NO",VLOOKUP(T_Voluntarios[[#This Row],[RUN]],BBDD_Formadores[],16,FALSE))</f>
        <v>NO</v>
      </c>
      <c r="Z198" s="13" t="str">
        <f>IF(ISERROR(VLOOKUP(T_Voluntarios[[#This Row],[RUN]],BBDD_Formadores[],17,FALSE)),"NO",VLOOKUP(T_Voluntarios[[#This Row],[RUN]],BBDD_Formadores[],17,FALSE))</f>
        <v>NO</v>
      </c>
      <c r="AA198" s="13" t="str">
        <f>IF(ISERROR(VLOOKUP(T_Voluntarios[[#This Row],[RUN]],BBDD_Formadores[],18,FALSE)),"NO",VLOOKUP(T_Voluntarios[[#This Row],[RUN]],BBDD_Formadores[],18,FALSE))</f>
        <v>NO</v>
      </c>
      <c r="AB198" s="13">
        <v>1</v>
      </c>
      <c r="AC198" s="13" t="s">
        <v>1</v>
      </c>
      <c r="AD198" s="13" t="s">
        <v>77</v>
      </c>
      <c r="AF198" s="2" t="str">
        <f>IF(VLOOKUP(T_Voluntarios[[#This Row],[RUN]],BBDD[],25,FALSE)=0,"",VLOOKUP(T_Voluntarios[[#This Row],[RUN]],BBDD[],25,FALSE))</f>
        <v>changan</v>
      </c>
      <c r="AG198" s="2" t="str">
        <f>IF(VLOOKUP(T_Voluntarios[[#This Row],[RUN]],BBDD[],26,FALSE)=0,"",VLOOKUP(T_Voluntarios[[#This Row],[RUN]],BBDD[],26,FALSE))</f>
        <v>Hunter 4x4</v>
      </c>
      <c r="AH198" s="2" t="str">
        <f>IF(VLOOKUP(T_Voluntarios[[#This Row],[RUN]],BBDD[],24,FALSE)=0,"",VLOOKUP(T_Voluntarios[[#This Row],[RUN]],BBDD[],24,FALSE))</f>
        <v>PYLW89</v>
      </c>
      <c r="AI198" s="13" t="str">
        <f>VLOOKUP(T_Voluntarios[[#This Row],[RUN]],BBDD[],28,FALSE)</f>
        <v>SI</v>
      </c>
      <c r="AJ198" s="13" t="str">
        <f>VLOOKUP(T_Voluntarios[[#This Row],[RUN]],BBDD[],28,FALSE)</f>
        <v>SI</v>
      </c>
      <c r="AK198" s="32">
        <f>IF(T_Voluntarios[[#This Row],[ROL]]="Participante",SUMIFS(T_Cuotas[[#All],[Total]],T_Cuotas[[#All],[RUN]],T_Voluntarios[[#This Row],[RUN]]),-1)</f>
        <v>-1</v>
      </c>
      <c r="AL198" s="13" t="s">
        <v>1</v>
      </c>
      <c r="AM198" s="13" t="s">
        <v>2029</v>
      </c>
      <c r="AP198" s="2" t="str">
        <f>MID(T_Voluntarios[[#This Row],[E_MAIL]],SEARCH("@",T_Voluntarios[[#This Row],[E_MAIL]],1),LEN(T_Voluntarios[[#This Row],[E_MAIL]]))</f>
        <v>@guiasyscoutschile.cl</v>
      </c>
      <c r="AQ198" s="13" t="str">
        <f>VLOOKUP(T_Voluntarios[[#This Row],[RUN]],BBDD[],37,FALSE)</f>
        <v>39</v>
      </c>
      <c r="AR198" s="2" t="str">
        <f>VLOOKUP(T_Voluntarios[[#This Row],[RUN]],BBDD[],29,FALSE)</f>
        <v>Contador Auditor</v>
      </c>
      <c r="AS198" s="2" t="str">
        <f>VLOOKUP(T_Voluntarios[[#This Row],[RUN]],BBDD[],30,FALSE)</f>
        <v>8 años</v>
      </c>
      <c r="AT198" s="2" t="str">
        <f>VLOOKUP(T_Voluntarios[[#This Row],[RUN]],BBDD[],31,FALSE)</f>
        <v>17 años</v>
      </c>
      <c r="AU198" s="2" t="str">
        <f>VLOOKUP(T_Voluntarios[[#This Row],[RUN]],BBDD[],32,FALSE)</f>
        <v>Soltero(a)</v>
      </c>
      <c r="AV198" s="2" t="str">
        <f>VLOOKUP(T_Voluntarios[[#This Row],[RUN]],BBDD[],33,FALSE)</f>
        <v>Ninguna</v>
      </c>
      <c r="AW198" s="2" t="str">
        <f>VLOOKUP(T_Voluntarios[[#This Row],[RUN]],BBDD[],34,FALSE)</f>
        <v>Faby</v>
      </c>
      <c r="AX198" s="13" t="s">
        <v>733</v>
      </c>
      <c r="AY198" s="76">
        <f>VLOOKUP(T_Voluntarios[[#This Row],[RUN]],BBDD[],2,FALSE)</f>
        <v>45804.984215007717</v>
      </c>
      <c r="AZ198" s="13" t="s">
        <v>2</v>
      </c>
    </row>
    <row r="199" spans="1:52" x14ac:dyDescent="0.3">
      <c r="A199" s="2" t="s">
        <v>2955</v>
      </c>
      <c r="B199" s="2" t="str">
        <f>VLOOKUP(T_Voluntarios[[#This Row],[RUN]],BBDD[],3,FALSE)</f>
        <v>mayra.amigo@gmail.com</v>
      </c>
      <c r="C199" s="2" t="str">
        <f>VLOOKUP(T_Voluntarios[[#This Row],[RUN]],BBDD[],4,FALSE)</f>
        <v>Mayra Amigo Cortez</v>
      </c>
      <c r="D199" s="16">
        <f>VLOOKUP(T_Voluntarios[[#This Row],[RUN]],BBDD[],5,FALSE)</f>
        <v>31912</v>
      </c>
      <c r="E199" s="2" t="str">
        <f>VLOOKUP(T_Voluntarios[[#This Row],[RUN]],BBDD[],6,FALSE)</f>
        <v>Andrés Bello 322</v>
      </c>
      <c r="F199" s="2" t="str">
        <f>VLOOKUP(T_Voluntarios[[#This Row],[RUN]],BBDD[],7,FALSE)</f>
        <v>El Carmen</v>
      </c>
      <c r="G199" s="2" t="str">
        <f>VLOOKUP(T_Voluntarios[[#This Row],[RUN]],BBDD[],8,FALSE)</f>
        <v>Celular</v>
      </c>
      <c r="H199" s="2" t="str">
        <f>IF(VLOOKUP(T_Voluntarios[[#This Row],[RUN]],BBDD[],9,FALSE)=0,"Falta",VLOOKUP(T_Voluntarios[[#This Row],[RUN]],BBDD[],9,FALSE))</f>
        <v>+56954094654</v>
      </c>
      <c r="I199" s="2" t="str">
        <f>VLOOKUP(T_Voluntarios[[#This Row],[RUN]],BBDD[],10,FALSE)</f>
        <v>Equipo de Servicio</v>
      </c>
      <c r="J199" s="2" t="str">
        <f>VLOOKUP(T_Voluntarios[[#This Row],[RUN]],BBDD[],11,FALSE)</f>
        <v>La Montaña</v>
      </c>
      <c r="K199" s="2" t="str">
        <f>VLOOKUP(T_Voluntarios[[#This Row],[RUN]],BBDD[],12,FALSE)</f>
        <v>Guias</v>
      </c>
      <c r="L199" s="2" t="str">
        <f>VLOOKUP(T_Voluntarios[[#This Row],[RUN]],BBDD[],15,FALSE)</f>
        <v>Zona Ñuble</v>
      </c>
      <c r="M199" s="2" t="str">
        <f>VLOOKUP(T_Voluntarios[[#This Row],[RUN]],BBDD[],20,FALSE)</f>
        <v>Alimentación Tradicional</v>
      </c>
      <c r="N199" s="2" t="str">
        <f>VLOOKUP(T_Voluntarios[[#This Row],[RUN]],BBDD[],21,FALSE)</f>
        <v>Ninguna</v>
      </c>
      <c r="O199" s="2" t="str">
        <f>VLOOKUP(T_Voluntarios[[#This Row],[RUN]],BBDD[],22,FALSE)</f>
        <v>Ninguna</v>
      </c>
      <c r="P199" s="2" t="str">
        <f>VLOOKUP(T_Voluntarios[[#This Row],[RUN]],BBDD[],23,FALSE)</f>
        <v>Carmen Cortez 89112305</v>
      </c>
      <c r="Q199" s="2" t="str">
        <f>IF(VLOOKUP(T_Voluntarios[[#This Row],[RUN]],BBDD[],27,FALSE)=0,"",VLOOKUP(T_Voluntarios[[#This Row],[RUN]],BBDD[],27,FALSE))</f>
        <v>Tratamiento saxenda, requiere refrigeración</v>
      </c>
      <c r="R199" s="2" t="str">
        <f>VLOOKUP(T_Voluntarios[[#This Row],[RUN]],BBDD[],36,FALSE)</f>
        <v>https://drive.google.com/open?id=1-rcv7vRoDx4UhBZmS_1ojYlb03qFeOLs</v>
      </c>
      <c r="S199" s="2" t="str">
        <f>VLOOKUP(T_Voluntarios[[#This Row],[RUN]],BBDD[],16,FALSE)</f>
        <v>Medio</v>
      </c>
      <c r="T199" s="2" t="str">
        <f>VLOOKUP(T_Voluntarios[[#This Row],[RUN]],BBDD[],17,FALSE)</f>
        <v>8763</v>
      </c>
      <c r="U199" s="2" t="str">
        <f>VLOOKUP(T_Voluntarios[[#This Row],[RUN]],BBDD[],18,FALSE)</f>
        <v>Guias</v>
      </c>
      <c r="V199" s="2" t="str">
        <f>VLOOKUP(T_Voluntarios[[#This Row],[RUN]],BBDD[],19,FALSE)</f>
        <v>Ninguno</v>
      </c>
      <c r="W199" s="13" t="str">
        <f>IF(OR(T_Voluntarios[[#This Row],[ROL]]="Formador(a)"),"SI","NO")</f>
        <v>NO</v>
      </c>
      <c r="X199" s="13" t="str">
        <f>IF(ISERROR(VLOOKUP(T_Voluntarios[[#This Row],[RUN]],BBDD_Formadores[],15,FALSE)),"NO",VLOOKUP(T_Voluntarios[[#This Row],[RUN]],BBDD_Formadores[],15,FALSE))</f>
        <v>NO</v>
      </c>
      <c r="Y199" s="13" t="str">
        <f>IF(ISERROR(VLOOKUP(T_Voluntarios[[#This Row],[RUN]],BBDD_Formadores[],16,FALSE)),"NO",VLOOKUP(T_Voluntarios[[#This Row],[RUN]],BBDD_Formadores[],16,FALSE))</f>
        <v>NO</v>
      </c>
      <c r="Z199" s="13" t="str">
        <f>IF(ISERROR(VLOOKUP(T_Voluntarios[[#This Row],[RUN]],BBDD_Formadores[],17,FALSE)),"NO",VLOOKUP(T_Voluntarios[[#This Row],[RUN]],BBDD_Formadores[],17,FALSE))</f>
        <v>NO</v>
      </c>
      <c r="AA199" s="13" t="str">
        <f>IF(ISERROR(VLOOKUP(T_Voluntarios[[#This Row],[RUN]],BBDD_Formadores[],18,FALSE)),"NO",VLOOKUP(T_Voluntarios[[#This Row],[RUN]],BBDD_Formadores[],18,FALSE))</f>
        <v>NO</v>
      </c>
      <c r="AB199" s="13">
        <v>1</v>
      </c>
      <c r="AC199" s="13" t="s">
        <v>1</v>
      </c>
      <c r="AD199" s="13" t="s">
        <v>77</v>
      </c>
      <c r="AF199" s="2" t="str">
        <f>IF(VLOOKUP(T_Voluntarios[[#This Row],[RUN]],BBDD[],25,FALSE)=0,"",VLOOKUP(T_Voluntarios[[#This Row],[RUN]],BBDD[],25,FALSE))</f>
        <v>Volkswaguen</v>
      </c>
      <c r="AG199" s="2" t="str">
        <f>IF(VLOOKUP(T_Voluntarios[[#This Row],[RUN]],BBDD[],26,FALSE)=0,"",VLOOKUP(T_Voluntarios[[#This Row],[RUN]],BBDD[],26,FALSE))</f>
        <v>Gol</v>
      </c>
      <c r="AH199" s="2" t="str">
        <f>IF(VLOOKUP(T_Voluntarios[[#This Row],[RUN]],BBDD[],24,FALSE)=0,"",VLOOKUP(T_Voluntarios[[#This Row],[RUN]],BBDD[],24,FALSE))</f>
        <v>SGSH-13</v>
      </c>
      <c r="AI199" s="13" t="str">
        <f>VLOOKUP(T_Voluntarios[[#This Row],[RUN]],BBDD[],28,FALSE)</f>
        <v>SI</v>
      </c>
      <c r="AJ199" s="13" t="str">
        <f>VLOOKUP(T_Voluntarios[[#This Row],[RUN]],BBDD[],28,FALSE)</f>
        <v>SI</v>
      </c>
      <c r="AK199" s="32">
        <f>IF(T_Voluntarios[[#This Row],[ROL]]="Participante",SUMIFS(T_Cuotas[[#All],[Total]],T_Cuotas[[#All],[RUN]],T_Voluntarios[[#This Row],[RUN]]),-1)</f>
        <v>-1</v>
      </c>
      <c r="AL199" s="13" t="s">
        <v>1</v>
      </c>
      <c r="AM199" s="13" t="s">
        <v>2029</v>
      </c>
      <c r="AP199" s="2" t="str">
        <f>MID(T_Voluntarios[[#This Row],[E_MAIL]],SEARCH("@",T_Voluntarios[[#This Row],[E_MAIL]],1),LEN(T_Voluntarios[[#This Row],[E_MAIL]]))</f>
        <v>@gmail.com</v>
      </c>
      <c r="AQ199" s="13" t="str">
        <f>VLOOKUP(T_Voluntarios[[#This Row],[RUN]],BBDD[],37,FALSE)</f>
        <v>38</v>
      </c>
      <c r="AR199" s="2" t="str">
        <f>VLOOKUP(T_Voluntarios[[#This Row],[RUN]],BBDD[],29,FALSE)</f>
        <v>Contador Auditor</v>
      </c>
      <c r="AS199" s="2" t="str">
        <f>VLOOKUP(T_Voluntarios[[#This Row],[RUN]],BBDD[],30,FALSE)</f>
        <v>7 años</v>
      </c>
      <c r="AT199" s="2" t="str">
        <f>VLOOKUP(T_Voluntarios[[#This Row],[RUN]],BBDD[],31,FALSE)</f>
        <v>14 años</v>
      </c>
      <c r="AU199" s="2" t="str">
        <f>VLOOKUP(T_Voluntarios[[#This Row],[RUN]],BBDD[],32,FALSE)</f>
        <v>Soltero(a)</v>
      </c>
      <c r="AV199" s="2" t="str">
        <f>VLOOKUP(T_Voluntarios[[#This Row],[RUN]],BBDD[],33,FALSE)</f>
        <v>Ninguna</v>
      </c>
      <c r="AW199" s="2" t="str">
        <f>VLOOKUP(T_Voluntarios[[#This Row],[RUN]],BBDD[],34,FALSE)</f>
        <v>Mayra</v>
      </c>
      <c r="AX199" s="13" t="s">
        <v>733</v>
      </c>
      <c r="AY199" s="76">
        <f>VLOOKUP(T_Voluntarios[[#This Row],[RUN]],BBDD[],2,FALSE)</f>
        <v>45809.780166898148</v>
      </c>
      <c r="AZ199" s="13" t="s">
        <v>2</v>
      </c>
    </row>
    <row r="200" spans="1:52" x14ac:dyDescent="0.3">
      <c r="A200" s="2" t="s">
        <v>2945</v>
      </c>
      <c r="B200" s="2" t="str">
        <f>VLOOKUP(T_Voluntarios[[#This Row],[RUN]],BBDD[],3,FALSE)</f>
        <v>belenpinovives1@gmail.com</v>
      </c>
      <c r="C200" s="2" t="str">
        <f>VLOOKUP(T_Voluntarios[[#This Row],[RUN]],BBDD[],4,FALSE)</f>
        <v>Belén Antonella Pino Vives</v>
      </c>
      <c r="D200" s="16">
        <f>VLOOKUP(T_Voluntarios[[#This Row],[RUN]],BBDD[],5,FALSE)</f>
        <v>38454</v>
      </c>
      <c r="E200" s="2" t="str">
        <f>VLOOKUP(T_Voluntarios[[#This Row],[RUN]],BBDD[],6,FALSE)</f>
        <v>Valencia 1061, Valle Escondido Paicavi</v>
      </c>
      <c r="F200" s="2" t="str">
        <f>VLOOKUP(T_Voluntarios[[#This Row],[RUN]],BBDD[],7,FALSE)</f>
        <v>Concepción</v>
      </c>
      <c r="G200" s="2" t="str">
        <f>VLOOKUP(T_Voluntarios[[#This Row],[RUN]],BBDD[],8,FALSE)</f>
        <v>Celular</v>
      </c>
      <c r="H200" s="2" t="str">
        <f>IF(VLOOKUP(T_Voluntarios[[#This Row],[RUN]],BBDD[],9,FALSE)=0,"Falta",VLOOKUP(T_Voluntarios[[#This Row],[RUN]],BBDD[],9,FALSE))</f>
        <v>+56933510891</v>
      </c>
      <c r="I200" s="2" t="str">
        <f>VLOOKUP(T_Voluntarios[[#This Row],[RUN]],BBDD[],10,FALSE)</f>
        <v>Equipo de Salud</v>
      </c>
      <c r="J200" s="2" t="str">
        <f>VLOOKUP(T_Voluntarios[[#This Row],[RUN]],BBDD[],11,FALSE)</f>
        <v>Salesianos Concepción</v>
      </c>
      <c r="K200" s="2" t="str">
        <f>VLOOKUP(T_Voluntarios[[#This Row],[RUN]],BBDD[],12,FALSE)</f>
        <v>Golondrinas</v>
      </c>
      <c r="L200" s="2" t="str">
        <f>VLOOKUP(T_Voluntarios[[#This Row],[RUN]],BBDD[],15,FALSE)</f>
        <v>Rio Andalién</v>
      </c>
      <c r="M200" s="2" t="str">
        <f>VLOOKUP(T_Voluntarios[[#This Row],[RUN]],BBDD[],20,FALSE)</f>
        <v>Alimentación Vegetariana</v>
      </c>
      <c r="N200" s="2" t="str">
        <f>VLOOKUP(T_Voluntarios[[#This Row],[RUN]],BBDD[],21,FALSE)</f>
        <v>Intolerante a la lactosa</v>
      </c>
      <c r="O200" s="2" t="str">
        <f>VLOOKUP(T_Voluntarios[[#This Row],[RUN]],BBDD[],22,FALSE)</f>
        <v>Ninguna</v>
      </c>
      <c r="P200" s="2" t="str">
        <f>VLOOKUP(T_Voluntarios[[#This Row],[RUN]],BBDD[],23,FALSE)</f>
        <v>Daniel Pino, +56962262374</v>
      </c>
      <c r="Q200" s="2" t="str">
        <f>IF(VLOOKUP(T_Voluntarios[[#This Row],[RUN]],BBDD[],27,FALSE)=0,"",VLOOKUP(T_Voluntarios[[#This Row],[RUN]],BBDD[],27,FALSE))</f>
        <v/>
      </c>
      <c r="R200" s="2" t="str">
        <f>VLOOKUP(T_Voluntarios[[#This Row],[RUN]],BBDD[],36,FALSE)</f>
        <v>https://drive.google.com/open?id=1yhj2p2QNurKF7P522dkB_T9IXVGPjHHC</v>
      </c>
      <c r="S200" s="2" t="str">
        <f>VLOOKUP(T_Voluntarios[[#This Row],[RUN]],BBDD[],16,FALSE)</f>
        <v>Ninguno</v>
      </c>
      <c r="T200" s="2" t="str">
        <f>VLOOKUP(T_Voluntarios[[#This Row],[RUN]],BBDD[],17,FALSE)</f>
        <v>Ninguno</v>
      </c>
      <c r="U200" s="2" t="str">
        <f>VLOOKUP(T_Voluntarios[[#This Row],[RUN]],BBDD[],18,FALSE)</f>
        <v>Ninguno</v>
      </c>
      <c r="V200" s="2" t="str">
        <f>VLOOKUP(T_Voluntarios[[#This Row],[RUN]],BBDD[],19,FALSE)</f>
        <v>Ninguno</v>
      </c>
      <c r="W200" s="13" t="str">
        <f>IF(OR(T_Voluntarios[[#This Row],[ROL]]="Formador(a)"),"SI","NO")</f>
        <v>NO</v>
      </c>
      <c r="X200" s="13" t="str">
        <f>IF(ISERROR(VLOOKUP(T_Voluntarios[[#This Row],[RUN]],BBDD_Formadores[],15,FALSE)),"NO",VLOOKUP(T_Voluntarios[[#This Row],[RUN]],BBDD_Formadores[],15,FALSE))</f>
        <v>NO</v>
      </c>
      <c r="Y200" s="13" t="str">
        <f>IF(ISERROR(VLOOKUP(T_Voluntarios[[#This Row],[RUN]],BBDD_Formadores[],16,FALSE)),"NO",VLOOKUP(T_Voluntarios[[#This Row],[RUN]],BBDD_Formadores[],16,FALSE))</f>
        <v>NO</v>
      </c>
      <c r="Z200" s="13" t="str">
        <f>IF(ISERROR(VLOOKUP(T_Voluntarios[[#This Row],[RUN]],BBDD_Formadores[],17,FALSE)),"NO",VLOOKUP(T_Voluntarios[[#This Row],[RUN]],BBDD_Formadores[],17,FALSE))</f>
        <v>NO</v>
      </c>
      <c r="AA200" s="13" t="str">
        <f>IF(ISERROR(VLOOKUP(T_Voluntarios[[#This Row],[RUN]],BBDD_Formadores[],18,FALSE)),"NO",VLOOKUP(T_Voluntarios[[#This Row],[RUN]],BBDD_Formadores[],18,FALSE))</f>
        <v>NO</v>
      </c>
      <c r="AB200" s="13">
        <v>1</v>
      </c>
      <c r="AC200" s="13" t="s">
        <v>1</v>
      </c>
      <c r="AD200" s="13" t="s">
        <v>77</v>
      </c>
      <c r="AF200" s="2" t="str">
        <f>IF(VLOOKUP(T_Voluntarios[[#This Row],[RUN]],BBDD[],25,FALSE)=0,"",VLOOKUP(T_Voluntarios[[#This Row],[RUN]],BBDD[],25,FALSE))</f>
        <v/>
      </c>
      <c r="AG200" s="2" t="str">
        <f>IF(VLOOKUP(T_Voluntarios[[#This Row],[RUN]],BBDD[],26,FALSE)=0,"",VLOOKUP(T_Voluntarios[[#This Row],[RUN]],BBDD[],26,FALSE))</f>
        <v/>
      </c>
      <c r="AH200" s="2" t="str">
        <f>IF(VLOOKUP(T_Voluntarios[[#This Row],[RUN]],BBDD[],24,FALSE)=0,"",VLOOKUP(T_Voluntarios[[#This Row],[RUN]],BBDD[],24,FALSE))</f>
        <v/>
      </c>
      <c r="AI200" s="13" t="str">
        <f>VLOOKUP(T_Voluntarios[[#This Row],[RUN]],BBDD[],28,FALSE)</f>
        <v>No</v>
      </c>
      <c r="AJ200" s="13" t="str">
        <f>VLOOKUP(T_Voluntarios[[#This Row],[RUN]],BBDD[],28,FALSE)</f>
        <v>No</v>
      </c>
      <c r="AK200" s="32">
        <f>IF(T_Voluntarios[[#This Row],[ROL]]="Participante",SUMIFS(T_Cuotas[[#All],[Total]],T_Cuotas[[#All],[RUN]],T_Voluntarios[[#This Row],[RUN]]),-1)</f>
        <v>-1</v>
      </c>
      <c r="AL200" s="13" t="s">
        <v>1</v>
      </c>
      <c r="AM200" s="13" t="s">
        <v>2029</v>
      </c>
      <c r="AP200" s="2" t="str">
        <f>MID(T_Voluntarios[[#This Row],[E_MAIL]],SEARCH("@",T_Voluntarios[[#This Row],[E_MAIL]],1),LEN(T_Voluntarios[[#This Row],[E_MAIL]]))</f>
        <v>@gmail.com</v>
      </c>
      <c r="AQ200" s="13" t="str">
        <f>VLOOKUP(T_Voluntarios[[#This Row],[RUN]],BBDD[],37,FALSE)</f>
        <v>20</v>
      </c>
      <c r="AR200" s="2" t="str">
        <f>VLOOKUP(T_Voluntarios[[#This Row],[RUN]],BBDD[],29,FALSE)</f>
        <v>Odontología</v>
      </c>
      <c r="AS200" s="2" t="str">
        <f>VLOOKUP(T_Voluntarios[[#This Row],[RUN]],BBDD[],30,FALSE)</f>
        <v>7 años</v>
      </c>
      <c r="AT200" s="2" t="str">
        <f>VLOOKUP(T_Voluntarios[[#This Row],[RUN]],BBDD[],31,FALSE)</f>
        <v>3 meses</v>
      </c>
      <c r="AU200" s="2" t="str">
        <f>VLOOKUP(T_Voluntarios[[#This Row],[RUN]],BBDD[],32,FALSE)</f>
        <v>Soltero(a)</v>
      </c>
      <c r="AV200" s="2" t="str">
        <f>VLOOKUP(T_Voluntarios[[#This Row],[RUN]],BBDD[],33,FALSE)</f>
        <v>Ninguna</v>
      </c>
      <c r="AW200" s="2" t="str">
        <f>VLOOKUP(T_Voluntarios[[#This Row],[RUN]],BBDD[],34,FALSE)</f>
        <v>Belén Pino</v>
      </c>
      <c r="AX200" s="13" t="s">
        <v>733</v>
      </c>
      <c r="AY200" s="76">
        <f>VLOOKUP(T_Voluntarios[[#This Row],[RUN]],BBDD[],2,FALSE)</f>
        <v>45810.864486419756</v>
      </c>
      <c r="AZ200" s="13" t="s">
        <v>2</v>
      </c>
    </row>
    <row r="201" spans="1:52" x14ac:dyDescent="0.3">
      <c r="A201" s="2" t="s">
        <v>2936</v>
      </c>
      <c r="B201" s="2" t="str">
        <f>VLOOKUP(T_Voluntarios[[#This Row],[RUN]],BBDD[],3,FALSE)</f>
        <v>sagnerantonio1312@gmail.com</v>
      </c>
      <c r="C201" s="2" t="str">
        <f>VLOOKUP(T_Voluntarios[[#This Row],[RUN]],BBDD[],4,FALSE)</f>
        <v>Antonio Felipe Sagner Puschmann</v>
      </c>
      <c r="D201" s="16">
        <f>VLOOKUP(T_Voluntarios[[#This Row],[RUN]],BBDD[],5,FALSE)</f>
        <v>36974</v>
      </c>
      <c r="E201" s="2" t="str">
        <f>VLOOKUP(T_Voluntarios[[#This Row],[RUN]],BBDD[],6,FALSE)</f>
        <v>Las Violetas 1756</v>
      </c>
      <c r="F201" s="2" t="str">
        <f>VLOOKUP(T_Voluntarios[[#This Row],[RUN]],BBDD[],7,FALSE)</f>
        <v>San Pedro De La Paz</v>
      </c>
      <c r="G201" s="2" t="str">
        <f>VLOOKUP(T_Voluntarios[[#This Row],[RUN]],BBDD[],8,FALSE)</f>
        <v>Celular</v>
      </c>
      <c r="H201" s="2" t="str">
        <f>IF(VLOOKUP(T_Voluntarios[[#This Row],[RUN]],BBDD[],9,FALSE)=0,"Falta",VLOOKUP(T_Voluntarios[[#This Row],[RUN]],BBDD[],9,FALSE))</f>
        <v>+56921751597</v>
      </c>
      <c r="I201" s="2" t="str">
        <f>VLOOKUP(T_Voluntarios[[#This Row],[RUN]],BBDD[],10,FALSE)</f>
        <v>Participante</v>
      </c>
      <c r="J201" s="2" t="str">
        <f>VLOOKUP(T_Voluntarios[[#This Row],[RUN]],BBDD[],11,FALSE)</f>
        <v>Rucapeñihue</v>
      </c>
      <c r="K201" s="2" t="str">
        <f>VLOOKUP(T_Voluntarios[[#This Row],[RUN]],BBDD[],12,FALSE)</f>
        <v>Golondrinas</v>
      </c>
      <c r="L201" s="2" t="str">
        <f>VLOOKUP(T_Voluntarios[[#This Row],[RUN]],BBDD[],15,FALSE)</f>
        <v>Concepción</v>
      </c>
      <c r="M201" s="2" t="str">
        <f>VLOOKUP(T_Voluntarios[[#This Row],[RUN]],BBDD[],20,FALSE)</f>
        <v>Alimentación Tradicional</v>
      </c>
      <c r="N201" s="2" t="str">
        <f>VLOOKUP(T_Voluntarios[[#This Row],[RUN]],BBDD[],21,FALSE)</f>
        <v>Ninguna</v>
      </c>
      <c r="O201" s="2" t="str">
        <f>VLOOKUP(T_Voluntarios[[#This Row],[RUN]],BBDD[],22,FALSE)</f>
        <v>Ninguna</v>
      </c>
      <c r="P201" s="2" t="str">
        <f>VLOOKUP(T_Voluntarios[[#This Row],[RUN]],BBDD[],23,FALSE)</f>
        <v>Sonia Puschman 997923810</v>
      </c>
      <c r="Q201" s="2" t="str">
        <f>IF(VLOOKUP(T_Voluntarios[[#This Row],[RUN]],BBDD[],27,FALSE)=0,"",VLOOKUP(T_Voluntarios[[#This Row],[RUN]],BBDD[],27,FALSE))</f>
        <v/>
      </c>
      <c r="R201" s="2" t="str">
        <f>VLOOKUP(T_Voluntarios[[#This Row],[RUN]],BBDD[],36,FALSE)</f>
        <v>https://drive.google.com/open?id=19arpsOd4EiFWcqD8oijed1lCfkupQD3v</v>
      </c>
      <c r="S201" s="2" t="str">
        <f>VLOOKUP(T_Voluntarios[[#This Row],[RUN]],BBDD[],16,FALSE)</f>
        <v>Inicial</v>
      </c>
      <c r="T201" s="2" t="str">
        <f>VLOOKUP(T_Voluntarios[[#This Row],[RUN]],BBDD[],17,FALSE)</f>
        <v>Ninguno</v>
      </c>
      <c r="U201" s="2" t="str">
        <f>VLOOKUP(T_Voluntarios[[#This Row],[RUN]],BBDD[],18,FALSE)</f>
        <v>Ninguno</v>
      </c>
      <c r="V201" s="2" t="str">
        <f>VLOOKUP(T_Voluntarios[[#This Row],[RUN]],BBDD[],19,FALSE)</f>
        <v>Ninguno</v>
      </c>
      <c r="W201" s="13" t="str">
        <f>IF(OR(T_Voluntarios[[#This Row],[ROL]]="Formador(a)"),"SI","NO")</f>
        <v>NO</v>
      </c>
      <c r="X201" s="13" t="str">
        <f>IF(ISERROR(VLOOKUP(T_Voluntarios[[#This Row],[RUN]],BBDD_Formadores[],15,FALSE)),"NO",VLOOKUP(T_Voluntarios[[#This Row],[RUN]],BBDD_Formadores[],15,FALSE))</f>
        <v>NO</v>
      </c>
      <c r="Y201" s="13" t="str">
        <f>IF(ISERROR(VLOOKUP(T_Voluntarios[[#This Row],[RUN]],BBDD_Formadores[],16,FALSE)),"NO",VLOOKUP(T_Voluntarios[[#This Row],[RUN]],BBDD_Formadores[],16,FALSE))</f>
        <v>NO</v>
      </c>
      <c r="Z201" s="13" t="str">
        <f>IF(ISERROR(VLOOKUP(T_Voluntarios[[#This Row],[RUN]],BBDD_Formadores[],17,FALSE)),"NO",VLOOKUP(T_Voluntarios[[#This Row],[RUN]],BBDD_Formadores[],17,FALSE))</f>
        <v>NO</v>
      </c>
      <c r="AA201" s="13" t="str">
        <f>IF(ISERROR(VLOOKUP(T_Voluntarios[[#This Row],[RUN]],BBDD_Formadores[],18,FALSE)),"NO",VLOOKUP(T_Voluntarios[[#This Row],[RUN]],BBDD_Formadores[],18,FALSE))</f>
        <v>NO</v>
      </c>
      <c r="AB201" s="13">
        <v>1</v>
      </c>
      <c r="AC201" s="13" t="s">
        <v>1</v>
      </c>
      <c r="AD201" s="13" t="s">
        <v>77</v>
      </c>
      <c r="AF201" s="2" t="str">
        <f>IF(VLOOKUP(T_Voluntarios[[#This Row],[RUN]],BBDD[],25,FALSE)=0,"",VLOOKUP(T_Voluntarios[[#This Row],[RUN]],BBDD[],25,FALSE))</f>
        <v/>
      </c>
      <c r="AG201" s="2" t="str">
        <f>IF(VLOOKUP(T_Voluntarios[[#This Row],[RUN]],BBDD[],26,FALSE)=0,"",VLOOKUP(T_Voluntarios[[#This Row],[RUN]],BBDD[],26,FALSE))</f>
        <v/>
      </c>
      <c r="AH201" s="2" t="str">
        <f>IF(VLOOKUP(T_Voluntarios[[#This Row],[RUN]],BBDD[],24,FALSE)=0,"",VLOOKUP(T_Voluntarios[[#This Row],[RUN]],BBDD[],24,FALSE))</f>
        <v/>
      </c>
      <c r="AI201" s="13" t="str">
        <f>VLOOKUP(T_Voluntarios[[#This Row],[RUN]],BBDD[],28,FALSE)</f>
        <v>No</v>
      </c>
      <c r="AJ201" s="13" t="str">
        <f>VLOOKUP(T_Voluntarios[[#This Row],[RUN]],BBDD[],28,FALSE)</f>
        <v>No</v>
      </c>
      <c r="AK201" s="32">
        <f>IF(T_Voluntarios[[#This Row],[ROL]]="Participante",SUMIFS(T_Cuotas[[#All],[Total]],T_Cuotas[[#All],[RUN]],T_Voluntarios[[#This Row],[RUN]]),-1)</f>
        <v>36500</v>
      </c>
      <c r="AL201" s="13" t="s">
        <v>1</v>
      </c>
      <c r="AM201" s="13" t="s">
        <v>2029</v>
      </c>
      <c r="AP201" s="2" t="str">
        <f>MID(T_Voluntarios[[#This Row],[E_MAIL]],SEARCH("@",T_Voluntarios[[#This Row],[E_MAIL]],1),LEN(T_Voluntarios[[#This Row],[E_MAIL]]))</f>
        <v>@gmail.com</v>
      </c>
      <c r="AQ201" s="13" t="str">
        <f>VLOOKUP(T_Voluntarios[[#This Row],[RUN]],BBDD[],37,FALSE)</f>
        <v>24</v>
      </c>
      <c r="AR201" s="2" t="str">
        <f>VLOOKUP(T_Voluntarios[[#This Row],[RUN]],BBDD[],29,FALSE)</f>
        <v>Estudiante</v>
      </c>
      <c r="AS201" s="2" t="str">
        <f>VLOOKUP(T_Voluntarios[[#This Row],[RUN]],BBDD[],30,FALSE)</f>
        <v>10 años</v>
      </c>
      <c r="AT201" s="2" t="str">
        <f>VLOOKUP(T_Voluntarios[[#This Row],[RUN]],BBDD[],31,FALSE)</f>
        <v>4 hrs los sabados</v>
      </c>
      <c r="AU201" s="2" t="str">
        <f>VLOOKUP(T_Voluntarios[[#This Row],[RUN]],BBDD[],32,FALSE)</f>
        <v>Soltero(a)</v>
      </c>
      <c r="AV201" s="2" t="str">
        <f>VLOOKUP(T_Voluntarios[[#This Row],[RUN]],BBDD[],33,FALSE)</f>
        <v>Ninguna</v>
      </c>
      <c r="AW201" s="2" t="str">
        <f>VLOOKUP(T_Voluntarios[[#This Row],[RUN]],BBDD[],34,FALSE)</f>
        <v>Sagner</v>
      </c>
      <c r="AX201" s="13" t="s">
        <v>733</v>
      </c>
      <c r="AY201" s="76">
        <f>VLOOKUP(T_Voluntarios[[#This Row],[RUN]],BBDD[],2,FALSE)</f>
        <v>45811.618994251541</v>
      </c>
      <c r="AZ201" s="13" t="s">
        <v>3403</v>
      </c>
    </row>
    <row r="202" spans="1:52" x14ac:dyDescent="0.3">
      <c r="A202" s="2" t="s">
        <v>2969</v>
      </c>
      <c r="B202" s="2" t="str">
        <f>VLOOKUP(T_Voluntarios[[#This Row],[RUN]],BBDD[],3,FALSE)</f>
        <v>nicolgaticamartinez@gmail.com</v>
      </c>
      <c r="C202" s="2" t="str">
        <f>VLOOKUP(T_Voluntarios[[#This Row],[RUN]],BBDD[],4,FALSE)</f>
        <v>Catalina Gatica Martínez</v>
      </c>
      <c r="D202" s="16">
        <f>VLOOKUP(T_Voluntarios[[#This Row],[RUN]],BBDD[],5,FALSE)</f>
        <v>36337</v>
      </c>
      <c r="E202" s="2" t="str">
        <f>VLOOKUP(T_Voluntarios[[#This Row],[RUN]],BBDD[],6,FALSE)</f>
        <v>Avenida Santa María 7450, Depto A 301</v>
      </c>
      <c r="F202" s="2" t="str">
        <f>VLOOKUP(T_Voluntarios[[#This Row],[RUN]],BBDD[],7,FALSE)</f>
        <v>Hualpén</v>
      </c>
      <c r="G202" s="2" t="str">
        <f>VLOOKUP(T_Voluntarios[[#This Row],[RUN]],BBDD[],8,FALSE)</f>
        <v>Celular</v>
      </c>
      <c r="H202" s="2" t="str">
        <f>IF(VLOOKUP(T_Voluntarios[[#This Row],[RUN]],BBDD[],9,FALSE)=0,"Falta",VLOOKUP(T_Voluntarios[[#This Row],[RUN]],BBDD[],9,FALSE))</f>
        <v>+56973698952</v>
      </c>
      <c r="I202" s="2" t="str">
        <f>VLOOKUP(T_Voluntarios[[#This Row],[RUN]],BBDD[],10,FALSE)</f>
        <v>Participante</v>
      </c>
      <c r="J202" s="2" t="str">
        <f>VLOOKUP(T_Voluntarios[[#This Row],[RUN]],BBDD[],11,FALSE)</f>
        <v>Alcatipay</v>
      </c>
      <c r="K202" s="2" t="str">
        <f>VLOOKUP(T_Voluntarios[[#This Row],[RUN]],BBDD[],12,FALSE)</f>
        <v>Pioneros</v>
      </c>
      <c r="L202" s="2" t="str">
        <f>VLOOKUP(T_Voluntarios[[#This Row],[RUN]],BBDD[],15,FALSE)</f>
        <v>Talcahuano - Hualpén</v>
      </c>
      <c r="M202" s="2" t="str">
        <f>VLOOKUP(T_Voluntarios[[#This Row],[RUN]],BBDD[],20,FALSE)</f>
        <v>Alimentación Vegetariana</v>
      </c>
      <c r="N202" s="2" t="str">
        <f>VLOOKUP(T_Voluntarios[[#This Row],[RUN]],BBDD[],21,FALSE)</f>
        <v>Ninguna</v>
      </c>
      <c r="O202" s="2" t="str">
        <f>VLOOKUP(T_Voluntarios[[#This Row],[RUN]],BBDD[],22,FALSE)</f>
        <v>Embarazo</v>
      </c>
      <c r="P202" s="2" t="str">
        <f>VLOOKUP(T_Voluntarios[[#This Row],[RUN]],BBDD[],23,FALSE)</f>
        <v>Cristóbal Muñoz Delgado, +56965500416</v>
      </c>
      <c r="Q202" s="2" t="str">
        <f>IF(VLOOKUP(T_Voluntarios[[#This Row],[RUN]],BBDD[],27,FALSE)=0,"",VLOOKUP(T_Voluntarios[[#This Row],[RUN]],BBDD[],27,FALSE))</f>
        <v/>
      </c>
      <c r="R202" s="2" t="str">
        <f>VLOOKUP(T_Voluntarios[[#This Row],[RUN]],BBDD[],36,FALSE)</f>
        <v>https://drive.google.com/open?id=1I_FjB17IgF14GiLGQ_ssHB7mOMEnJuEQ</v>
      </c>
      <c r="S202" s="2" t="str">
        <f>VLOOKUP(T_Voluntarios[[#This Row],[RUN]],BBDD[],16,FALSE)</f>
        <v>Inicial</v>
      </c>
      <c r="T202" s="2" t="str">
        <f>VLOOKUP(T_Voluntarios[[#This Row],[RUN]],BBDD[],17,FALSE)</f>
        <v>Ninguno</v>
      </c>
      <c r="U202" s="2" t="str">
        <f>VLOOKUP(T_Voluntarios[[#This Row],[RUN]],BBDD[],18,FALSE)</f>
        <v>Ninguno</v>
      </c>
      <c r="V202" s="2" t="str">
        <f>VLOOKUP(T_Voluntarios[[#This Row],[RUN]],BBDD[],19,FALSE)</f>
        <v>Ninguno</v>
      </c>
      <c r="W202" s="13" t="str">
        <f>IF(OR(T_Voluntarios[[#This Row],[ROL]]="Formador(a)"),"SI","NO")</f>
        <v>NO</v>
      </c>
      <c r="X202" s="13" t="str">
        <f>IF(ISERROR(VLOOKUP(T_Voluntarios[[#This Row],[RUN]],BBDD_Formadores[],15,FALSE)),"NO",VLOOKUP(T_Voluntarios[[#This Row],[RUN]],BBDD_Formadores[],15,FALSE))</f>
        <v>NO</v>
      </c>
      <c r="Y202" s="13" t="str">
        <f>IF(ISERROR(VLOOKUP(T_Voluntarios[[#This Row],[RUN]],BBDD_Formadores[],16,FALSE)),"NO",VLOOKUP(T_Voluntarios[[#This Row],[RUN]],BBDD_Formadores[],16,FALSE))</f>
        <v>NO</v>
      </c>
      <c r="Z202" s="13" t="str">
        <f>IF(ISERROR(VLOOKUP(T_Voluntarios[[#This Row],[RUN]],BBDD_Formadores[],17,FALSE)),"NO",VLOOKUP(T_Voluntarios[[#This Row],[RUN]],BBDD_Formadores[],17,FALSE))</f>
        <v>NO</v>
      </c>
      <c r="AA202" s="13" t="str">
        <f>IF(ISERROR(VLOOKUP(T_Voluntarios[[#This Row],[RUN]],BBDD_Formadores[],18,FALSE)),"NO",VLOOKUP(T_Voluntarios[[#This Row],[RUN]],BBDD_Formadores[],18,FALSE))</f>
        <v>NO</v>
      </c>
      <c r="AB202" s="13">
        <v>1</v>
      </c>
      <c r="AC202" s="13" t="s">
        <v>1597</v>
      </c>
      <c r="AD202" s="13" t="s">
        <v>78</v>
      </c>
      <c r="AF202" s="2" t="str">
        <f>IF(VLOOKUP(T_Voluntarios[[#This Row],[RUN]],BBDD[],25,FALSE)=0,"",VLOOKUP(T_Voluntarios[[#This Row],[RUN]],BBDD[],25,FALSE))</f>
        <v>Volkswagen</v>
      </c>
      <c r="AG202" s="2" t="str">
        <f>IF(VLOOKUP(T_Voluntarios[[#This Row],[RUN]],BBDD[],26,FALSE)=0,"",VLOOKUP(T_Voluntarios[[#This Row],[RUN]],BBDD[],26,FALSE))</f>
        <v>Amarok</v>
      </c>
      <c r="AH202" s="2" t="str">
        <f>IF(VLOOKUP(T_Voluntarios[[#This Row],[RUN]],BBDD[],24,FALSE)=0,"",VLOOKUP(T_Voluntarios[[#This Row],[RUN]],BBDD[],24,FALSE))</f>
        <v>FJPG60</v>
      </c>
      <c r="AI202" s="13" t="str">
        <f>VLOOKUP(T_Voluntarios[[#This Row],[RUN]],BBDD[],28,FALSE)</f>
        <v>No</v>
      </c>
      <c r="AJ202" s="13" t="str">
        <f>VLOOKUP(T_Voluntarios[[#This Row],[RUN]],BBDD[],28,FALSE)</f>
        <v>No</v>
      </c>
      <c r="AK202" s="32">
        <f>IF(T_Voluntarios[[#This Row],[ROL]]="Participante",SUMIFS(T_Cuotas[[#All],[Total]],T_Cuotas[[#All],[RUN]],T_Voluntarios[[#This Row],[RUN]]),-1)</f>
        <v>0</v>
      </c>
      <c r="AL202" s="13" t="s">
        <v>78</v>
      </c>
      <c r="AM202" s="13" t="s">
        <v>733</v>
      </c>
      <c r="AP202" s="2" t="str">
        <f>MID(T_Voluntarios[[#This Row],[E_MAIL]],SEARCH("@",T_Voluntarios[[#This Row],[E_MAIL]],1),LEN(T_Voluntarios[[#This Row],[E_MAIL]]))</f>
        <v>@gmail.com</v>
      </c>
      <c r="AQ202" s="13" t="str">
        <f>VLOOKUP(T_Voluntarios[[#This Row],[RUN]],BBDD[],37,FALSE)</f>
        <v>26</v>
      </c>
      <c r="AR202" s="2" t="str">
        <f>VLOOKUP(T_Voluntarios[[#This Row],[RUN]],BBDD[],29,FALSE)</f>
        <v>Enfermera</v>
      </c>
      <c r="AS202" s="2" t="str">
        <f>VLOOKUP(T_Voluntarios[[#This Row],[RUN]],BBDD[],30,FALSE)</f>
        <v>0</v>
      </c>
      <c r="AT202" s="2" t="str">
        <f>VLOOKUP(T_Voluntarios[[#This Row],[RUN]],BBDD[],31,FALSE)</f>
        <v>Como parte del movimiento 3 años, en otras actividades grupales, voluntariados, entre otros, desde los 15 años</v>
      </c>
      <c r="AU202" s="2" t="str">
        <f>VLOOKUP(T_Voluntarios[[#This Row],[RUN]],BBDD[],32,FALSE)</f>
        <v>Soltero(a)</v>
      </c>
      <c r="AV202" s="2" t="str">
        <f>VLOOKUP(T_Voluntarios[[#This Row],[RUN]],BBDD[],33,FALSE)</f>
        <v>Ninguna</v>
      </c>
      <c r="AW202" s="2" t="str">
        <f>VLOOKUP(T_Voluntarios[[#This Row],[RUN]],BBDD[],34,FALSE)</f>
        <v>Cata G</v>
      </c>
      <c r="AX202" s="13" t="s">
        <v>733</v>
      </c>
      <c r="AY202" s="76">
        <f>VLOOKUP(T_Voluntarios[[#This Row],[RUN]],BBDD[],2,FALSE)</f>
        <v>45813.793141319446</v>
      </c>
      <c r="AZ202" s="13" t="s">
        <v>2</v>
      </c>
    </row>
    <row r="203" spans="1:52" x14ac:dyDescent="0.3">
      <c r="A203" s="2" t="s">
        <v>388</v>
      </c>
      <c r="B203" s="2" t="str">
        <f>VLOOKUP(T_Voluntarios[[#This Row],[RUN]],BBDD[],3,FALSE)</f>
        <v>cabreracamilapaz@gmail.com</v>
      </c>
      <c r="C203" s="2" t="str">
        <f>VLOOKUP(T_Voluntarios[[#This Row],[RUN]],BBDD[],4,FALSE)</f>
        <v>Camila Cabrera Menares</v>
      </c>
      <c r="D203" s="16">
        <f>VLOOKUP(T_Voluntarios[[#This Row],[RUN]],BBDD[],5,FALSE)</f>
        <v>33121</v>
      </c>
      <c r="E203" s="2" t="str">
        <f>VLOOKUP(T_Voluntarios[[#This Row],[RUN]],BBDD[],6,FALSE)</f>
        <v>Augusto Iglesias 481</v>
      </c>
      <c r="F203" s="2" t="str">
        <f>VLOOKUP(T_Voluntarios[[#This Row],[RUN]],BBDD[],7,FALSE)</f>
        <v>Talcahuano</v>
      </c>
      <c r="G203" s="2" t="str">
        <f>VLOOKUP(T_Voluntarios[[#This Row],[RUN]],BBDD[],8,FALSE)</f>
        <v>Celular</v>
      </c>
      <c r="H203" s="2" t="str">
        <f>IF(VLOOKUP(T_Voluntarios[[#This Row],[RUN]],BBDD[],9,FALSE)=0,"Falta",VLOOKUP(T_Voluntarios[[#This Row],[RUN]],BBDD[],9,FALSE))</f>
        <v>+56942050953</v>
      </c>
      <c r="I203" s="2" t="str">
        <f>VLOOKUP(T_Voluntarios[[#This Row],[RUN]],BBDD[],10,FALSE)</f>
        <v>Formador(a)</v>
      </c>
      <c r="J203" s="2" t="str">
        <f>VLOOKUP(T_Voluntarios[[#This Row],[RUN]],BBDD[],11,FALSE)</f>
        <v>Santa Cecilia</v>
      </c>
      <c r="K203" s="2" t="str">
        <f>VLOOKUP(T_Voluntarios[[#This Row],[RUN]],BBDD[],12,FALSE)</f>
        <v>Golondrinas</v>
      </c>
      <c r="L203" s="2" t="str">
        <f>VLOOKUP(T_Voluntarios[[#This Row],[RUN]],BBDD[],15,FALSE)</f>
        <v>Talcahuano - Hualpén</v>
      </c>
      <c r="M203" s="2" t="str">
        <f>VLOOKUP(T_Voluntarios[[#This Row],[RUN]],BBDD[],20,FALSE)</f>
        <v>Alimentación Tradicional</v>
      </c>
      <c r="N203" s="2" t="str">
        <f>VLOOKUP(T_Voluntarios[[#This Row],[RUN]],BBDD[],21,FALSE)</f>
        <v>Ninguna</v>
      </c>
      <c r="O203" s="2" t="str">
        <f>VLOOKUP(T_Voluntarios[[#This Row],[RUN]],BBDD[],22,FALSE)</f>
        <v>Ninguna</v>
      </c>
      <c r="P203" s="2" t="str">
        <f>VLOOKUP(T_Voluntarios[[#This Row],[RUN]],BBDD[],23,FALSE)</f>
        <v>María Eugenia Menares +56977682858</v>
      </c>
      <c r="Q203" s="2" t="str">
        <f>IF(VLOOKUP(T_Voluntarios[[#This Row],[RUN]],BBDD[],27,FALSE)=0,"",VLOOKUP(T_Voluntarios[[#This Row],[RUN]],BBDD[],27,FALSE))</f>
        <v/>
      </c>
      <c r="R203" s="2" t="str">
        <f>VLOOKUP(T_Voluntarios[[#This Row],[RUN]],BBDD[],36,FALSE)</f>
        <v>https://drive.google.com/open?id=1rwP7mPMZwnN5zNB0PpSEj3T2iaIvPqOj</v>
      </c>
      <c r="S203" s="2" t="str">
        <f>VLOOKUP(T_Voluntarios[[#This Row],[RUN]],BBDD[],16,FALSE)</f>
        <v>Medio</v>
      </c>
      <c r="T203" s="2" t="str">
        <f>VLOOKUP(T_Voluntarios[[#This Row],[RUN]],BBDD[],17,FALSE)</f>
        <v>8681</v>
      </c>
      <c r="U203" s="2" t="str">
        <f>VLOOKUP(T_Voluntarios[[#This Row],[RUN]],BBDD[],18,FALSE)</f>
        <v>Golondrinas</v>
      </c>
      <c r="V203" s="2" t="str">
        <f>VLOOKUP(T_Voluntarios[[#This Row],[RUN]],BBDD[],19,FALSE)</f>
        <v>Ninguno</v>
      </c>
      <c r="W203" s="13" t="str">
        <f>IF(OR(T_Voluntarios[[#This Row],[ROL]]="Formador(a)"),"SI","NO")</f>
        <v>SI</v>
      </c>
      <c r="X203" s="13" t="str">
        <f>IF(ISERROR(VLOOKUP(T_Voluntarios[[#This Row],[RUN]],BBDD_Formadores[],15,FALSE)),"NO",VLOOKUP(T_Voluntarios[[#This Row],[RUN]],BBDD_Formadores[],15,FALSE))</f>
        <v>SI</v>
      </c>
      <c r="Y203" s="13" t="str">
        <f>IF(ISERROR(VLOOKUP(T_Voluntarios[[#This Row],[RUN]],BBDD_Formadores[],16,FALSE)),"NO",VLOOKUP(T_Voluntarios[[#This Row],[RUN]],BBDD_Formadores[],16,FALSE))</f>
        <v>Golondrinas</v>
      </c>
      <c r="Z203" s="13" t="str">
        <f>IF(ISERROR(VLOOKUP(T_Voluntarios[[#This Row],[RUN]],BBDD_Formadores[],17,FALSE)),"NO",VLOOKUP(T_Voluntarios[[#This Row],[RUN]],BBDD_Formadores[],17,FALSE))</f>
        <v>Golondrinas</v>
      </c>
      <c r="AA203" s="13" t="str">
        <f>IF(ISERROR(VLOOKUP(T_Voluntarios[[#This Row],[RUN]],BBDD_Formadores[],18,FALSE)),"NO",VLOOKUP(T_Voluntarios[[#This Row],[RUN]],BBDD_Formadores[],18,FALSE))</f>
        <v>No Actualizado</v>
      </c>
      <c r="AB203" s="13">
        <v>1</v>
      </c>
      <c r="AC203" s="13" t="s">
        <v>1</v>
      </c>
      <c r="AD203" s="13" t="s">
        <v>77</v>
      </c>
      <c r="AF203" s="2" t="str">
        <f>IF(VLOOKUP(T_Voluntarios[[#This Row],[RUN]],BBDD[],25,FALSE)=0,"",VLOOKUP(T_Voluntarios[[#This Row],[RUN]],BBDD[],25,FALSE))</f>
        <v/>
      </c>
      <c r="AG203" s="2" t="str">
        <f>IF(VLOOKUP(T_Voluntarios[[#This Row],[RUN]],BBDD[],26,FALSE)=0,"",VLOOKUP(T_Voluntarios[[#This Row],[RUN]],BBDD[],26,FALSE))</f>
        <v/>
      </c>
      <c r="AH203" s="2" t="str">
        <f>IF(VLOOKUP(T_Voluntarios[[#This Row],[RUN]],BBDD[],24,FALSE)=0,"",VLOOKUP(T_Voluntarios[[#This Row],[RUN]],BBDD[],24,FALSE))</f>
        <v/>
      </c>
      <c r="AI203" s="13" t="str">
        <f>VLOOKUP(T_Voluntarios[[#This Row],[RUN]],BBDD[],28,FALSE)</f>
        <v>No</v>
      </c>
      <c r="AJ203" s="13" t="str">
        <f>VLOOKUP(T_Voluntarios[[#This Row],[RUN]],BBDD[],28,FALSE)</f>
        <v>No</v>
      </c>
      <c r="AK203" s="32">
        <f>IF(T_Voluntarios[[#This Row],[ROL]]="Participante",SUMIFS(T_Cuotas[[#All],[Total]],T_Cuotas[[#All],[RUN]],T_Voluntarios[[#This Row],[RUN]]),-1)</f>
        <v>-1</v>
      </c>
      <c r="AL203" s="13" t="s">
        <v>1</v>
      </c>
      <c r="AM203" s="13" t="s">
        <v>2029</v>
      </c>
      <c r="AP203" s="2" t="str">
        <f>MID(T_Voluntarios[[#This Row],[E_MAIL]],SEARCH("@",T_Voluntarios[[#This Row],[E_MAIL]],1),LEN(T_Voluntarios[[#This Row],[E_MAIL]]))</f>
        <v>@gmail.com</v>
      </c>
      <c r="AQ203" s="13" t="str">
        <f>VLOOKUP(T_Voluntarios[[#This Row],[RUN]],BBDD[],37,FALSE)</f>
        <v>34</v>
      </c>
      <c r="AR203" s="2" t="str">
        <f>VLOOKUP(T_Voluntarios[[#This Row],[RUN]],BBDD[],29,FALSE)</f>
        <v>profesora</v>
      </c>
      <c r="AS203" s="2" t="str">
        <f>VLOOKUP(T_Voluntarios[[#This Row],[RUN]],BBDD[],30,FALSE)</f>
        <v>12</v>
      </c>
      <c r="AT203" s="2" t="str">
        <f>VLOOKUP(T_Voluntarios[[#This Row],[RUN]],BBDD[],31,FALSE)</f>
        <v>15</v>
      </c>
      <c r="AU203" s="2" t="str">
        <f>VLOOKUP(T_Voluntarios[[#This Row],[RUN]],BBDD[],32,FALSE)</f>
        <v>Casado(a)</v>
      </c>
      <c r="AV203" s="2" t="str">
        <f>VLOOKUP(T_Voluntarios[[#This Row],[RUN]],BBDD[],33,FALSE)</f>
        <v>Catolica</v>
      </c>
      <c r="AW203" s="2" t="str">
        <f>VLOOKUP(T_Voluntarios[[#This Row],[RUN]],BBDD[],34,FALSE)</f>
        <v>Cami Cabrera</v>
      </c>
      <c r="AX203" s="13" t="s">
        <v>733</v>
      </c>
      <c r="AY203" s="76">
        <f>VLOOKUP(T_Voluntarios[[#This Row],[RUN]],BBDD[],2,FALSE)</f>
        <v>45813.943196141976</v>
      </c>
      <c r="AZ203" s="13" t="s">
        <v>2</v>
      </c>
    </row>
    <row r="204" spans="1:52" x14ac:dyDescent="0.3">
      <c r="A204" s="2" t="s">
        <v>2991</v>
      </c>
      <c r="B204" s="2" t="str">
        <f>VLOOKUP(T_Voluntarios[[#This Row],[RUN]],BBDD[],3,FALSE)</f>
        <v>vicentelara2@gmail.com</v>
      </c>
      <c r="C204" s="2" t="str">
        <f>VLOOKUP(T_Voluntarios[[#This Row],[RUN]],BBDD[],4,FALSE)</f>
        <v>Vicente Ignacio Lara Gutiérrez</v>
      </c>
      <c r="D204" s="16">
        <f>VLOOKUP(T_Voluntarios[[#This Row],[RUN]],BBDD[],5,FALSE)</f>
        <v>36101</v>
      </c>
      <c r="E204" s="2" t="str">
        <f>VLOOKUP(T_Voluntarios[[#This Row],[RUN]],BBDD[],6,FALSE)</f>
        <v>Bulgaria 1385</v>
      </c>
      <c r="F204" s="2" t="str">
        <f>VLOOKUP(T_Voluntarios[[#This Row],[RUN]],BBDD[],7,FALSE)</f>
        <v>Hualpén</v>
      </c>
      <c r="G204" s="2" t="str">
        <f>VLOOKUP(T_Voluntarios[[#This Row],[RUN]],BBDD[],8,FALSE)</f>
        <v>Celular</v>
      </c>
      <c r="H204" s="2" t="str">
        <f>IF(VLOOKUP(T_Voluntarios[[#This Row],[RUN]],BBDD[],9,FALSE)=0,"Falta",VLOOKUP(T_Voluntarios[[#This Row],[RUN]],BBDD[],9,FALSE))</f>
        <v>+56937890998</v>
      </c>
      <c r="I204" s="2" t="str">
        <f>VLOOKUP(T_Voluntarios[[#This Row],[RUN]],BBDD[],10,FALSE)</f>
        <v>Participante</v>
      </c>
      <c r="J204" s="2" t="str">
        <f>VLOOKUP(T_Voluntarios[[#This Row],[RUN]],BBDD[],11,FALSE)</f>
        <v>Espíritu Santo</v>
      </c>
      <c r="K204" s="2" t="str">
        <f>VLOOKUP(T_Voluntarios[[#This Row],[RUN]],BBDD[],12,FALSE)</f>
        <v>Caminantes</v>
      </c>
      <c r="L204" s="2" t="str">
        <f>VLOOKUP(T_Voluntarios[[#This Row],[RUN]],BBDD[],15,FALSE)</f>
        <v>Talcahuano - Hualpén</v>
      </c>
      <c r="M204" s="2" t="str">
        <f>VLOOKUP(T_Voluntarios[[#This Row],[RUN]],BBDD[],20,FALSE)</f>
        <v>Alimentación Tradicional</v>
      </c>
      <c r="N204" s="2" t="str">
        <f>VLOOKUP(T_Voluntarios[[#This Row],[RUN]],BBDD[],21,FALSE)</f>
        <v>Ninguna</v>
      </c>
      <c r="O204" s="2" t="str">
        <f>VLOOKUP(T_Voluntarios[[#This Row],[RUN]],BBDD[],22,FALSE)</f>
        <v>Ninguna</v>
      </c>
      <c r="P204" s="2" t="str">
        <f>VLOOKUP(T_Voluntarios[[#This Row],[RUN]],BBDD[],23,FALSE)</f>
        <v>Catalina 967130567</v>
      </c>
      <c r="Q204" s="2" t="str">
        <f>IF(VLOOKUP(T_Voluntarios[[#This Row],[RUN]],BBDD[],27,FALSE)=0,"",VLOOKUP(T_Voluntarios[[#This Row],[RUN]],BBDD[],27,FALSE))</f>
        <v/>
      </c>
      <c r="R204" s="2" t="str">
        <f>VLOOKUP(T_Voluntarios[[#This Row],[RUN]],BBDD[],36,FALSE)</f>
        <v>https://drive.google.com/open?id=1MZjBrfLWLDDosOo2c6qyAMNIBRvQbgQJ</v>
      </c>
      <c r="S204" s="2" t="str">
        <f>VLOOKUP(T_Voluntarios[[#This Row],[RUN]],BBDD[],16,FALSE)</f>
        <v>Inicial</v>
      </c>
      <c r="T204" s="2" t="str">
        <f>VLOOKUP(T_Voluntarios[[#This Row],[RUN]],BBDD[],17,FALSE)</f>
        <v>Ninguno</v>
      </c>
      <c r="U204" s="2" t="str">
        <f>VLOOKUP(T_Voluntarios[[#This Row],[RUN]],BBDD[],18,FALSE)</f>
        <v>Ninguno</v>
      </c>
      <c r="V204" s="2" t="str">
        <f>VLOOKUP(T_Voluntarios[[#This Row],[RUN]],BBDD[],19,FALSE)</f>
        <v>Ninguno</v>
      </c>
      <c r="W204" s="13" t="str">
        <f>IF(OR(T_Voluntarios[[#This Row],[ROL]]="Formador(a)"),"SI","NO")</f>
        <v>NO</v>
      </c>
      <c r="X204" s="13" t="str">
        <f>IF(ISERROR(VLOOKUP(T_Voluntarios[[#This Row],[RUN]],BBDD_Formadores[],15,FALSE)),"NO",VLOOKUP(T_Voluntarios[[#This Row],[RUN]],BBDD_Formadores[],15,FALSE))</f>
        <v>NO</v>
      </c>
      <c r="Y204" s="13" t="str">
        <f>IF(ISERROR(VLOOKUP(T_Voluntarios[[#This Row],[RUN]],BBDD_Formadores[],16,FALSE)),"NO",VLOOKUP(T_Voluntarios[[#This Row],[RUN]],BBDD_Formadores[],16,FALSE))</f>
        <v>NO</v>
      </c>
      <c r="Z204" s="13" t="str">
        <f>IF(ISERROR(VLOOKUP(T_Voluntarios[[#This Row],[RUN]],BBDD_Formadores[],17,FALSE)),"NO",VLOOKUP(T_Voluntarios[[#This Row],[RUN]],BBDD_Formadores[],17,FALSE))</f>
        <v>NO</v>
      </c>
      <c r="AA204" s="13" t="str">
        <f>IF(ISERROR(VLOOKUP(T_Voluntarios[[#This Row],[RUN]],BBDD_Formadores[],18,FALSE)),"NO",VLOOKUP(T_Voluntarios[[#This Row],[RUN]],BBDD_Formadores[],18,FALSE))</f>
        <v>NO</v>
      </c>
      <c r="AB204" s="13">
        <v>1</v>
      </c>
      <c r="AC204" s="13" t="s">
        <v>1</v>
      </c>
      <c r="AD204" s="13" t="s">
        <v>77</v>
      </c>
      <c r="AF204" s="2" t="str">
        <f>IF(VLOOKUP(T_Voluntarios[[#This Row],[RUN]],BBDD[],25,FALSE)=0,"",VLOOKUP(T_Voluntarios[[#This Row],[RUN]],BBDD[],25,FALSE))</f>
        <v/>
      </c>
      <c r="AG204" s="2" t="str">
        <f>IF(VLOOKUP(T_Voluntarios[[#This Row],[RUN]],BBDD[],26,FALSE)=0,"",VLOOKUP(T_Voluntarios[[#This Row],[RUN]],BBDD[],26,FALSE))</f>
        <v/>
      </c>
      <c r="AH204" s="2" t="str">
        <f>IF(VLOOKUP(T_Voluntarios[[#This Row],[RUN]],BBDD[],24,FALSE)=0,"",VLOOKUP(T_Voluntarios[[#This Row],[RUN]],BBDD[],24,FALSE))</f>
        <v/>
      </c>
      <c r="AI204" s="13" t="str">
        <f>VLOOKUP(T_Voluntarios[[#This Row],[RUN]],BBDD[],28,FALSE)</f>
        <v>SI</v>
      </c>
      <c r="AJ204" s="13" t="str">
        <f>VLOOKUP(T_Voluntarios[[#This Row],[RUN]],BBDD[],28,FALSE)</f>
        <v>SI</v>
      </c>
      <c r="AK204" s="32">
        <f>IF(T_Voluntarios[[#This Row],[ROL]]="Participante",SUMIFS(T_Cuotas[[#All],[Total]],T_Cuotas[[#All],[RUN]],T_Voluntarios[[#This Row],[RUN]]),-1)</f>
        <v>50000</v>
      </c>
      <c r="AL204" s="13" t="s">
        <v>1</v>
      </c>
      <c r="AM204" s="13" t="s">
        <v>2029</v>
      </c>
      <c r="AP204" s="2" t="str">
        <f>MID(T_Voluntarios[[#This Row],[E_MAIL]],SEARCH("@",T_Voluntarios[[#This Row],[E_MAIL]],1),LEN(T_Voluntarios[[#This Row],[E_MAIL]]))</f>
        <v>@gmail.com</v>
      </c>
      <c r="AQ204" s="13" t="str">
        <f>VLOOKUP(T_Voluntarios[[#This Row],[RUN]],BBDD[],37,FALSE)</f>
        <v>26</v>
      </c>
      <c r="AR204" s="2" t="str">
        <f>VLOOKUP(T_Voluntarios[[#This Row],[RUN]],BBDD[],29,FALSE)</f>
        <v>Arquitecto</v>
      </c>
      <c r="AS204" s="2" t="str">
        <f>VLOOKUP(T_Voluntarios[[#This Row],[RUN]],BBDD[],30,FALSE)</f>
        <v>Si, 1 año</v>
      </c>
      <c r="AT204" s="2" t="str">
        <f>VLOOKUP(T_Voluntarios[[#This Row],[RUN]],BBDD[],31,FALSE)</f>
        <v>No</v>
      </c>
      <c r="AU204" s="2" t="str">
        <f>VLOOKUP(T_Voluntarios[[#This Row],[RUN]],BBDD[],32,FALSE)</f>
        <v>Soltero(a)</v>
      </c>
      <c r="AV204" s="2" t="str">
        <f>VLOOKUP(T_Voluntarios[[#This Row],[RUN]],BBDD[],33,FALSE)</f>
        <v>Ninguna</v>
      </c>
      <c r="AW204" s="2" t="str">
        <f>VLOOKUP(T_Voluntarios[[#This Row],[RUN]],BBDD[],34,FALSE)</f>
        <v>Vicho</v>
      </c>
      <c r="AX204" s="13" t="s">
        <v>733</v>
      </c>
      <c r="AY204" s="76">
        <f>VLOOKUP(T_Voluntarios[[#This Row],[RUN]],BBDD[],2,FALSE)</f>
        <v>45815.884053125003</v>
      </c>
      <c r="AZ204" s="13" t="s">
        <v>3403</v>
      </c>
    </row>
    <row r="205" spans="1:52" x14ac:dyDescent="0.3">
      <c r="A205" s="2" t="s">
        <v>3005</v>
      </c>
      <c r="B205" s="2" t="str">
        <f>VLOOKUP(T_Voluntarios[[#This Row],[RUN]],BBDD[],3,FALSE)</f>
        <v>luciaqueveq@gmail.com</v>
      </c>
      <c r="C205" s="2" t="str">
        <f>VLOOKUP(T_Voluntarios[[#This Row],[RUN]],BBDD[],4,FALSE)</f>
        <v>Lucila Del Carmen Aqueveque Jara</v>
      </c>
      <c r="D205" s="16">
        <f>VLOOKUP(T_Voluntarios[[#This Row],[RUN]],BBDD[],5,FALSE)</f>
        <v>32054</v>
      </c>
      <c r="E205" s="2" t="str">
        <f>VLOOKUP(T_Voluntarios[[#This Row],[RUN]],BBDD[],6,FALSE)</f>
        <v>Bellavista 305</v>
      </c>
      <c r="F205" s="2" t="str">
        <f>VLOOKUP(T_Voluntarios[[#This Row],[RUN]],BBDD[],7,FALSE)</f>
        <v>Talcahuano</v>
      </c>
      <c r="G205" s="2" t="str">
        <f>VLOOKUP(T_Voluntarios[[#This Row],[RUN]],BBDD[],8,FALSE)</f>
        <v>Celular</v>
      </c>
      <c r="H205" s="2" t="str">
        <f>IF(VLOOKUP(T_Voluntarios[[#This Row],[RUN]],BBDD[],9,FALSE)=0,"Falta",VLOOKUP(T_Voluntarios[[#This Row],[RUN]],BBDD[],9,FALSE))</f>
        <v>+56977509011</v>
      </c>
      <c r="I205" s="2" t="str">
        <f>VLOOKUP(T_Voluntarios[[#This Row],[RUN]],BBDD[],10,FALSE)</f>
        <v>Participante</v>
      </c>
      <c r="J205" s="2" t="str">
        <f>VLOOKUP(T_Voluntarios[[#This Row],[RUN]],BBDD[],11,FALSE)</f>
        <v>Espíritu Santo</v>
      </c>
      <c r="K205" s="2" t="str">
        <f>VLOOKUP(T_Voluntarios[[#This Row],[RUN]],BBDD[],12,FALSE)</f>
        <v>Pioneros</v>
      </c>
      <c r="L205" s="2" t="str">
        <f>VLOOKUP(T_Voluntarios[[#This Row],[RUN]],BBDD[],15,FALSE)</f>
        <v>Talcahuano - Hualpén</v>
      </c>
      <c r="M205" s="2" t="str">
        <f>VLOOKUP(T_Voluntarios[[#This Row],[RUN]],BBDD[],20,FALSE)</f>
        <v>Alimentación Tradicional</v>
      </c>
      <c r="N205" s="2" t="str">
        <f>VLOOKUP(T_Voluntarios[[#This Row],[RUN]],BBDD[],21,FALSE)</f>
        <v>Al diclofenaco y ketoprofeno</v>
      </c>
      <c r="O205" s="2" t="str">
        <f>VLOOKUP(T_Voluntarios[[#This Row],[RUN]],BBDD[],22,FALSE)</f>
        <v>Ninguna</v>
      </c>
      <c r="P205" s="2" t="str">
        <f>VLOOKUP(T_Voluntarios[[#This Row],[RUN]],BBDD[],23,FALSE)</f>
        <v>Hector collilef  +56975219133</v>
      </c>
      <c r="Q205" s="2" t="str">
        <f>IF(VLOOKUP(T_Voluntarios[[#This Row],[RUN]],BBDD[],27,FALSE)=0,"",VLOOKUP(T_Voluntarios[[#This Row],[RUN]],BBDD[],27,FALSE))</f>
        <v>Voy a realizar el curso con mi bebe de 4 meses ya que no tengo quien la cuide pero me interesa mucho realizar el curso y formarme</v>
      </c>
      <c r="R205" s="2" t="str">
        <f>VLOOKUP(T_Voluntarios[[#This Row],[RUN]],BBDD[],36,FALSE)</f>
        <v>https://drive.google.com/open?id=1Xf9gkIieZjmv7_2Ju1J08JRGIOPddcxj</v>
      </c>
      <c r="S205" s="2" t="str">
        <f>VLOOKUP(T_Voluntarios[[#This Row],[RUN]],BBDD[],16,FALSE)</f>
        <v>Inicial</v>
      </c>
      <c r="T205" s="2" t="str">
        <f>VLOOKUP(T_Voluntarios[[#This Row],[RUN]],BBDD[],17,FALSE)</f>
        <v>Ninguno</v>
      </c>
      <c r="U205" s="2" t="str">
        <f>VLOOKUP(T_Voluntarios[[#This Row],[RUN]],BBDD[],18,FALSE)</f>
        <v>Ninguno</v>
      </c>
      <c r="V205" s="2" t="str">
        <f>VLOOKUP(T_Voluntarios[[#This Row],[RUN]],BBDD[],19,FALSE)</f>
        <v>Ninguno</v>
      </c>
      <c r="W205" s="13" t="str">
        <f>IF(OR(T_Voluntarios[[#This Row],[ROL]]="Formador(a)"),"SI","NO")</f>
        <v>NO</v>
      </c>
      <c r="X205" s="13" t="str">
        <f>IF(ISERROR(VLOOKUP(T_Voluntarios[[#This Row],[RUN]],BBDD_Formadores[],15,FALSE)),"NO",VLOOKUP(T_Voluntarios[[#This Row],[RUN]],BBDD_Formadores[],15,FALSE))</f>
        <v>NO</v>
      </c>
      <c r="Y205" s="13" t="str">
        <f>IF(ISERROR(VLOOKUP(T_Voluntarios[[#This Row],[RUN]],BBDD_Formadores[],16,FALSE)),"NO",VLOOKUP(T_Voluntarios[[#This Row],[RUN]],BBDD_Formadores[],16,FALSE))</f>
        <v>NO</v>
      </c>
      <c r="Z205" s="13" t="str">
        <f>IF(ISERROR(VLOOKUP(T_Voluntarios[[#This Row],[RUN]],BBDD_Formadores[],17,FALSE)),"NO",VLOOKUP(T_Voluntarios[[#This Row],[RUN]],BBDD_Formadores[],17,FALSE))</f>
        <v>NO</v>
      </c>
      <c r="AA205" s="13" t="str">
        <f>IF(ISERROR(VLOOKUP(T_Voluntarios[[#This Row],[RUN]],BBDD_Formadores[],18,FALSE)),"NO",VLOOKUP(T_Voluntarios[[#This Row],[RUN]],BBDD_Formadores[],18,FALSE))</f>
        <v>NO</v>
      </c>
      <c r="AB205" s="13">
        <v>1</v>
      </c>
      <c r="AC205" s="13" t="s">
        <v>1</v>
      </c>
      <c r="AD205" s="13" t="s">
        <v>77</v>
      </c>
      <c r="AF205" s="2" t="str">
        <f>IF(VLOOKUP(T_Voluntarios[[#This Row],[RUN]],BBDD[],25,FALSE)=0,"",VLOOKUP(T_Voluntarios[[#This Row],[RUN]],BBDD[],25,FALSE))</f>
        <v>Nissan</v>
      </c>
      <c r="AG205" s="2" t="str">
        <f>IF(VLOOKUP(T_Voluntarios[[#This Row],[RUN]],BBDD[],26,FALSE)=0,"",VLOOKUP(T_Voluntarios[[#This Row],[RUN]],BBDD[],26,FALSE))</f>
        <v>March</v>
      </c>
      <c r="AH205" s="2" t="str">
        <f>IF(VLOOKUP(T_Voluntarios[[#This Row],[RUN]],BBDD[],24,FALSE)=0,"",VLOOKUP(T_Voluntarios[[#This Row],[RUN]],BBDD[],24,FALSE))</f>
        <v>KCKR70</v>
      </c>
      <c r="AI205" s="13" t="str">
        <f>VLOOKUP(T_Voluntarios[[#This Row],[RUN]],BBDD[],28,FALSE)</f>
        <v>No</v>
      </c>
      <c r="AJ205" s="13" t="str">
        <f>VLOOKUP(T_Voluntarios[[#This Row],[RUN]],BBDD[],28,FALSE)</f>
        <v>No</v>
      </c>
      <c r="AK205" s="32">
        <f>IF(T_Voluntarios[[#This Row],[ROL]]="Participante",SUMIFS(T_Cuotas[[#All],[Total]],T_Cuotas[[#All],[RUN]],T_Voluntarios[[#This Row],[RUN]]),-1)</f>
        <v>50000</v>
      </c>
      <c r="AL205" s="13" t="s">
        <v>1</v>
      </c>
      <c r="AM205" s="13" t="s">
        <v>2029</v>
      </c>
      <c r="AP205" s="2" t="str">
        <f>MID(T_Voluntarios[[#This Row],[E_MAIL]],SEARCH("@",T_Voluntarios[[#This Row],[E_MAIL]],1),LEN(T_Voluntarios[[#This Row],[E_MAIL]]))</f>
        <v>@gmail.com</v>
      </c>
      <c r="AQ205" s="13" t="str">
        <f>VLOOKUP(T_Voluntarios[[#This Row],[RUN]],BBDD[],37,FALSE)</f>
        <v>37</v>
      </c>
      <c r="AR205" s="2" t="str">
        <f>VLOOKUP(T_Voluntarios[[#This Row],[RUN]],BBDD[],29,FALSE)</f>
        <v>Auxiliar</v>
      </c>
      <c r="AS205" s="2" t="str">
        <f>VLOOKUP(T_Voluntarios[[#This Row],[RUN]],BBDD[],30,FALSE)</f>
        <v>Si</v>
      </c>
      <c r="AT205" s="2" t="str">
        <f>VLOOKUP(T_Voluntarios[[#This Row],[RUN]],BBDD[],31,FALSE)</f>
        <v>1año</v>
      </c>
      <c r="AU205" s="2" t="str">
        <f>VLOOKUP(T_Voluntarios[[#This Row],[RUN]],BBDD[],32,FALSE)</f>
        <v>Viudo(a)</v>
      </c>
      <c r="AV205" s="2" t="str">
        <f>VLOOKUP(T_Voluntarios[[#This Row],[RUN]],BBDD[],33,FALSE)</f>
        <v>Ninguna</v>
      </c>
      <c r="AW205" s="2" t="str">
        <f>VLOOKUP(T_Voluntarios[[#This Row],[RUN]],BBDD[],34,FALSE)</f>
        <v>Lucila</v>
      </c>
      <c r="AX205" s="13" t="s">
        <v>733</v>
      </c>
      <c r="AY205" s="76">
        <f>VLOOKUP(T_Voluntarios[[#This Row],[RUN]],BBDD[],2,FALSE)</f>
        <v>45817.547884297841</v>
      </c>
      <c r="AZ205" s="13" t="s">
        <v>3403</v>
      </c>
    </row>
    <row r="206" spans="1:52" x14ac:dyDescent="0.3">
      <c r="A206" s="2" t="s">
        <v>3018</v>
      </c>
      <c r="B206" s="2" t="str">
        <f>VLOOKUP(T_Voluntarios[[#This Row],[RUN]],BBDD[],3,FALSE)</f>
        <v>sanhueza.ambar6@gmail.com</v>
      </c>
      <c r="C206" s="2" t="str">
        <f>VLOOKUP(T_Voluntarios[[#This Row],[RUN]],BBDD[],4,FALSE)</f>
        <v>Ámbar Camila Sanhueza Sanhueza</v>
      </c>
      <c r="D206" s="16">
        <f>VLOOKUP(T_Voluntarios[[#This Row],[RUN]],BBDD[],5,FALSE)</f>
        <v>39119</v>
      </c>
      <c r="E206" s="2" t="str">
        <f>VLOOKUP(T_Voluntarios[[#This Row],[RUN]],BBDD[],6,FALSE)</f>
        <v>Maguncia 99</v>
      </c>
      <c r="F206" s="2" t="str">
        <f>VLOOKUP(T_Voluntarios[[#This Row],[RUN]],BBDD[],7,FALSE)</f>
        <v>Angol</v>
      </c>
      <c r="G206" s="2" t="str">
        <f>VLOOKUP(T_Voluntarios[[#This Row],[RUN]],BBDD[],8,FALSE)</f>
        <v>Celular</v>
      </c>
      <c r="H206" s="2" t="str">
        <f>IF(VLOOKUP(T_Voluntarios[[#This Row],[RUN]],BBDD[],9,FALSE)=0,"Falta",VLOOKUP(T_Voluntarios[[#This Row],[RUN]],BBDD[],9,FALSE))</f>
        <v>+56933992361</v>
      </c>
      <c r="I206" s="2" t="str">
        <f>VLOOKUP(T_Voluntarios[[#This Row],[RUN]],BBDD[],10,FALSE)</f>
        <v>Participante</v>
      </c>
      <c r="J206" s="2" t="str">
        <f>VLOOKUP(T_Voluntarios[[#This Row],[RUN]],BBDD[],11,FALSE)</f>
        <v>Buena Aventura</v>
      </c>
      <c r="K206" s="2" t="str">
        <f>VLOOKUP(T_Voluntarios[[#This Row],[RUN]],BBDD[],12,FALSE)</f>
        <v>Guias</v>
      </c>
      <c r="L206" s="2" t="str">
        <f>VLOOKUP(T_Voluntarios[[#This Row],[RUN]],BBDD[],15,FALSE)</f>
        <v>Biobío</v>
      </c>
      <c r="M206" s="2" t="str">
        <f>VLOOKUP(T_Voluntarios[[#This Row],[RUN]],BBDD[],20,FALSE)</f>
        <v>Alimentación Vegetariana</v>
      </c>
      <c r="N206" s="2" t="str">
        <f>VLOOKUP(T_Voluntarios[[#This Row],[RUN]],BBDD[],21,FALSE)</f>
        <v>Ninguna</v>
      </c>
      <c r="O206" s="2" t="str">
        <f>VLOOKUP(T_Voluntarios[[#This Row],[RUN]],BBDD[],22,FALSE)</f>
        <v>Asma</v>
      </c>
      <c r="P206" s="2" t="str">
        <f>VLOOKUP(T_Voluntarios[[#This Row],[RUN]],BBDD[],23,FALSE)</f>
        <v>968456922 Omar ( papá)</v>
      </c>
      <c r="Q206" s="2" t="str">
        <f>IF(VLOOKUP(T_Voluntarios[[#This Row],[RUN]],BBDD[],27,FALSE)=0,"",VLOOKUP(T_Voluntarios[[#This Row],[RUN]],BBDD[],27,FALSE))</f>
        <v>No</v>
      </c>
      <c r="R206" s="2" t="str">
        <f>VLOOKUP(T_Voluntarios[[#This Row],[RUN]],BBDD[],36,FALSE)</f>
        <v>https://drive.google.com/open?id=1l9jokT3eQAlF6cOWjdu2WewiVFvfMfPJ</v>
      </c>
      <c r="S206" s="2" t="str">
        <f>VLOOKUP(T_Voluntarios[[#This Row],[RUN]],BBDD[],16,FALSE)</f>
        <v>Inicial</v>
      </c>
      <c r="T206" s="2" t="str">
        <f>VLOOKUP(T_Voluntarios[[#This Row],[RUN]],BBDD[],17,FALSE)</f>
        <v>Ninguno</v>
      </c>
      <c r="U206" s="2" t="str">
        <f>VLOOKUP(T_Voluntarios[[#This Row],[RUN]],BBDD[],18,FALSE)</f>
        <v>Ninguno</v>
      </c>
      <c r="V206" s="2" t="str">
        <f>VLOOKUP(T_Voluntarios[[#This Row],[RUN]],BBDD[],19,FALSE)</f>
        <v>Ninguno</v>
      </c>
      <c r="W206" s="13" t="str">
        <f>IF(OR(T_Voluntarios[[#This Row],[ROL]]="Formador(a)"),"SI","NO")</f>
        <v>NO</v>
      </c>
      <c r="X206" s="13" t="str">
        <f>IF(ISERROR(VLOOKUP(T_Voluntarios[[#This Row],[RUN]],BBDD_Formadores[],15,FALSE)),"NO",VLOOKUP(T_Voluntarios[[#This Row],[RUN]],BBDD_Formadores[],15,FALSE))</f>
        <v>NO</v>
      </c>
      <c r="Y206" s="13" t="str">
        <f>IF(ISERROR(VLOOKUP(T_Voluntarios[[#This Row],[RUN]],BBDD_Formadores[],16,FALSE)),"NO",VLOOKUP(T_Voluntarios[[#This Row],[RUN]],BBDD_Formadores[],16,FALSE))</f>
        <v>NO</v>
      </c>
      <c r="Z206" s="13" t="str">
        <f>IF(ISERROR(VLOOKUP(T_Voluntarios[[#This Row],[RUN]],BBDD_Formadores[],17,FALSE)),"NO",VLOOKUP(T_Voluntarios[[#This Row],[RUN]],BBDD_Formadores[],17,FALSE))</f>
        <v>NO</v>
      </c>
      <c r="AA206" s="13" t="str">
        <f>IF(ISERROR(VLOOKUP(T_Voluntarios[[#This Row],[RUN]],BBDD_Formadores[],18,FALSE)),"NO",VLOOKUP(T_Voluntarios[[#This Row],[RUN]],BBDD_Formadores[],18,FALSE))</f>
        <v>NO</v>
      </c>
      <c r="AB206" s="13">
        <v>1</v>
      </c>
      <c r="AC206" s="13" t="s">
        <v>1</v>
      </c>
      <c r="AD206" s="13" t="s">
        <v>77</v>
      </c>
      <c r="AF206" s="2" t="str">
        <f>IF(VLOOKUP(T_Voluntarios[[#This Row],[RUN]],BBDD[],25,FALSE)=0,"",VLOOKUP(T_Voluntarios[[#This Row],[RUN]],BBDD[],25,FALSE))</f>
        <v>Kia</v>
      </c>
      <c r="AG206" s="2" t="str">
        <f>IF(VLOOKUP(T_Voluntarios[[#This Row],[RUN]],BBDD[],26,FALSE)=0,"",VLOOKUP(T_Voluntarios[[#This Row],[RUN]],BBDD[],26,FALSE))</f>
        <v>Sportaje</v>
      </c>
      <c r="AH206" s="2" t="str">
        <f>IF(VLOOKUP(T_Voluntarios[[#This Row],[RUN]],BBDD[],24,FALSE)=0,"",VLOOKUP(T_Voluntarios[[#This Row],[RUN]],BBDD[],24,FALSE))</f>
        <v>KPSB21</v>
      </c>
      <c r="AI206" s="13" t="str">
        <f>VLOOKUP(T_Voluntarios[[#This Row],[RUN]],BBDD[],28,FALSE)</f>
        <v>SI</v>
      </c>
      <c r="AJ206" s="13" t="str">
        <f>VLOOKUP(T_Voluntarios[[#This Row],[RUN]],BBDD[],28,FALSE)</f>
        <v>SI</v>
      </c>
      <c r="AK206" s="32">
        <f>IF(T_Voluntarios[[#This Row],[ROL]]="Participante",SUMIFS(T_Cuotas[[#All],[Total]],T_Cuotas[[#All],[RUN]],T_Voluntarios[[#This Row],[RUN]]),-1)</f>
        <v>50000</v>
      </c>
      <c r="AL206" s="13" t="s">
        <v>1</v>
      </c>
      <c r="AM206" s="13" t="s">
        <v>2029</v>
      </c>
      <c r="AP206" s="2" t="str">
        <f>MID(T_Voluntarios[[#This Row],[E_MAIL]],SEARCH("@",T_Voluntarios[[#This Row],[E_MAIL]],1),LEN(T_Voluntarios[[#This Row],[E_MAIL]]))</f>
        <v>@gmail.com</v>
      </c>
      <c r="AQ206" s="13" t="str">
        <f>VLOOKUP(T_Voluntarios[[#This Row],[RUN]],BBDD[],37,FALSE)</f>
        <v>18</v>
      </c>
      <c r="AR206" s="2" t="str">
        <f>VLOOKUP(T_Voluntarios[[#This Row],[RUN]],BBDD[],29,FALSE)</f>
        <v>Estudiante</v>
      </c>
      <c r="AS206" s="2" t="str">
        <f>VLOOKUP(T_Voluntarios[[#This Row],[RUN]],BBDD[],30,FALSE)</f>
        <v>7 años</v>
      </c>
      <c r="AT206" s="2" t="str">
        <f>VLOOKUP(T_Voluntarios[[#This Row],[RUN]],BBDD[],31,FALSE)</f>
        <v>2 años</v>
      </c>
      <c r="AU206" s="2" t="str">
        <f>VLOOKUP(T_Voluntarios[[#This Row],[RUN]],BBDD[],32,FALSE)</f>
        <v>Soltero(a)</v>
      </c>
      <c r="AV206" s="2" t="str">
        <f>VLOOKUP(T_Voluntarios[[#This Row],[RUN]],BBDD[],33,FALSE)</f>
        <v>Catolica</v>
      </c>
      <c r="AW206" s="2" t="str">
        <f>VLOOKUP(T_Voluntarios[[#This Row],[RUN]],BBDD[],34,FALSE)</f>
        <v>Ámbar</v>
      </c>
      <c r="AX206" s="13" t="s">
        <v>733</v>
      </c>
      <c r="AY206" s="76">
        <f>VLOOKUP(T_Voluntarios[[#This Row],[RUN]],BBDD[],2,FALSE)</f>
        <v>45819.66009818673</v>
      </c>
      <c r="AZ206" s="13" t="s">
        <v>3403</v>
      </c>
    </row>
    <row r="207" spans="1:52" x14ac:dyDescent="0.3">
      <c r="A207" s="2" t="s">
        <v>3032</v>
      </c>
      <c r="B207" s="2" t="str">
        <f>VLOOKUP(T_Voluntarios[[#This Row],[RUN]],BBDD[],3,FALSE)</f>
        <v>vicente.jgonzalezs@gmail.com</v>
      </c>
      <c r="C207" s="2" t="str">
        <f>VLOOKUP(T_Voluntarios[[#This Row],[RUN]],BBDD[],4,FALSE)</f>
        <v>Vicente Javier González Silva</v>
      </c>
      <c r="D207" s="16">
        <f>VLOOKUP(T_Voluntarios[[#This Row],[RUN]],BBDD[],5,FALSE)</f>
        <v>36182</v>
      </c>
      <c r="E207" s="2" t="str">
        <f>VLOOKUP(T_Voluntarios[[#This Row],[RUN]],BBDD[],6,FALSE)</f>
        <v>Las Margaritas 1680 depto 207</v>
      </c>
      <c r="F207" s="2" t="str">
        <f>VLOOKUP(T_Voluntarios[[#This Row],[RUN]],BBDD[],7,FALSE)</f>
        <v>San Pedro De La Paz</v>
      </c>
      <c r="G207" s="2" t="str">
        <f>VLOOKUP(T_Voluntarios[[#This Row],[RUN]],BBDD[],8,FALSE)</f>
        <v>Celular</v>
      </c>
      <c r="H207" s="2" t="str">
        <f>IF(VLOOKUP(T_Voluntarios[[#This Row],[RUN]],BBDD[],9,FALSE)=0,"Falta",VLOOKUP(T_Voluntarios[[#This Row],[RUN]],BBDD[],9,FALSE))</f>
        <v>+56977760821</v>
      </c>
      <c r="I207" s="2" t="str">
        <f>VLOOKUP(T_Voluntarios[[#This Row],[RUN]],BBDD[],10,FALSE)</f>
        <v>Apoyo a Formadores</v>
      </c>
      <c r="J207" s="2" t="str">
        <f>VLOOKUP(T_Voluntarios[[#This Row],[RUN]],BBDD[],11,FALSE)</f>
        <v>San Ignacio de Loyola</v>
      </c>
      <c r="K207" s="2" t="str">
        <f>VLOOKUP(T_Voluntarios[[#This Row],[RUN]],BBDD[],12,FALSE)</f>
        <v>Pioneros</v>
      </c>
      <c r="L207" s="2" t="str">
        <f>VLOOKUP(T_Voluntarios[[#This Row],[RUN]],BBDD[],15,FALSE)</f>
        <v>Concepción</v>
      </c>
      <c r="M207" s="2" t="str">
        <f>VLOOKUP(T_Voluntarios[[#This Row],[RUN]],BBDD[],20,FALSE)</f>
        <v>Alimentación Tradicional</v>
      </c>
      <c r="N207" s="2" t="str">
        <f>VLOOKUP(T_Voluntarios[[#This Row],[RUN]],BBDD[],21,FALSE)</f>
        <v>Ninguna</v>
      </c>
      <c r="O207" s="2" t="str">
        <f>VLOOKUP(T_Voluntarios[[#This Row],[RUN]],BBDD[],22,FALSE)</f>
        <v>Ninguna</v>
      </c>
      <c r="P207" s="2" t="str">
        <f>VLOOKUP(T_Voluntarios[[#This Row],[RUN]],BBDD[],23,FALSE)</f>
        <v>Cecilia Silva Jiménez +56977743918</v>
      </c>
      <c r="Q207" s="2" t="str">
        <f>IF(VLOOKUP(T_Voluntarios[[#This Row],[RUN]],BBDD[],27,FALSE)=0,"",VLOOKUP(T_Voluntarios[[#This Row],[RUN]],BBDD[],27,FALSE))</f>
        <v/>
      </c>
      <c r="R207" s="2" t="str">
        <f>VLOOKUP(T_Voluntarios[[#This Row],[RUN]],BBDD[],36,FALSE)</f>
        <v>https://drive.google.com/open?id=1llck8mh9qag9dsfA9WZUoA7MgGkM2x8x</v>
      </c>
      <c r="S207" s="2" t="str">
        <f>VLOOKUP(T_Voluntarios[[#This Row],[RUN]],BBDD[],16,FALSE)</f>
        <v>Medio</v>
      </c>
      <c r="T207" s="2" t="str">
        <f>VLOOKUP(T_Voluntarios[[#This Row],[RUN]],BBDD[],17,FALSE)</f>
        <v>10961</v>
      </c>
      <c r="U207" s="2" t="str">
        <f>VLOOKUP(T_Voluntarios[[#This Row],[RUN]],BBDD[],18,FALSE)</f>
        <v>Pioneros</v>
      </c>
      <c r="V207" s="2" t="str">
        <f>VLOOKUP(T_Voluntarios[[#This Row],[RUN]],BBDD[],19,FALSE)</f>
        <v>Ninguno</v>
      </c>
      <c r="W207" s="13" t="str">
        <f>IF(OR(T_Voluntarios[[#This Row],[ROL]]="Formador(a)"),"SI","NO")</f>
        <v>NO</v>
      </c>
      <c r="X207" s="13" t="str">
        <f>IF(ISERROR(VLOOKUP(T_Voluntarios[[#This Row],[RUN]],BBDD_Formadores[],15,FALSE)),"NO",VLOOKUP(T_Voluntarios[[#This Row],[RUN]],BBDD_Formadores[],15,FALSE))</f>
        <v>NO</v>
      </c>
      <c r="Y207" s="13" t="str">
        <f>IF(ISERROR(VLOOKUP(T_Voluntarios[[#This Row],[RUN]],BBDD_Formadores[],16,FALSE)),"NO",VLOOKUP(T_Voluntarios[[#This Row],[RUN]],BBDD_Formadores[],16,FALSE))</f>
        <v>NO</v>
      </c>
      <c r="Z207" s="13" t="str">
        <f>IF(ISERROR(VLOOKUP(T_Voluntarios[[#This Row],[RUN]],BBDD_Formadores[],17,FALSE)),"NO",VLOOKUP(T_Voluntarios[[#This Row],[RUN]],BBDD_Formadores[],17,FALSE))</f>
        <v>NO</v>
      </c>
      <c r="AA207" s="13" t="str">
        <f>IF(ISERROR(VLOOKUP(T_Voluntarios[[#This Row],[RUN]],BBDD_Formadores[],18,FALSE)),"NO",VLOOKUP(T_Voluntarios[[#This Row],[RUN]],BBDD_Formadores[],18,FALSE))</f>
        <v>NO</v>
      </c>
      <c r="AB207" s="13">
        <v>1</v>
      </c>
      <c r="AC207" s="13" t="s">
        <v>1</v>
      </c>
      <c r="AD207" s="13" t="s">
        <v>77</v>
      </c>
      <c r="AF207" s="2" t="str">
        <f>IF(VLOOKUP(T_Voluntarios[[#This Row],[RUN]],BBDD[],25,FALSE)=0,"",VLOOKUP(T_Voluntarios[[#This Row],[RUN]],BBDD[],25,FALSE))</f>
        <v/>
      </c>
      <c r="AG207" s="2" t="str">
        <f>IF(VLOOKUP(T_Voluntarios[[#This Row],[RUN]],BBDD[],26,FALSE)=0,"",VLOOKUP(T_Voluntarios[[#This Row],[RUN]],BBDD[],26,FALSE))</f>
        <v/>
      </c>
      <c r="AH207" s="2" t="str">
        <f>IF(VLOOKUP(T_Voluntarios[[#This Row],[RUN]],BBDD[],24,FALSE)=0,"",VLOOKUP(T_Voluntarios[[#This Row],[RUN]],BBDD[],24,FALSE))</f>
        <v/>
      </c>
      <c r="AI207" s="13" t="str">
        <f>VLOOKUP(T_Voluntarios[[#This Row],[RUN]],BBDD[],28,FALSE)</f>
        <v>No</v>
      </c>
      <c r="AJ207" s="13" t="str">
        <f>VLOOKUP(T_Voluntarios[[#This Row],[RUN]],BBDD[],28,FALSE)</f>
        <v>No</v>
      </c>
      <c r="AK207" s="32">
        <f>IF(T_Voluntarios[[#This Row],[ROL]]="Participante",SUMIFS(T_Cuotas[[#All],[Total]],T_Cuotas[[#All],[RUN]],T_Voluntarios[[#This Row],[RUN]]),-1)</f>
        <v>-1</v>
      </c>
      <c r="AL207" s="13" t="s">
        <v>1</v>
      </c>
      <c r="AM207" s="13" t="s">
        <v>2029</v>
      </c>
      <c r="AP207" s="2" t="str">
        <f>MID(T_Voluntarios[[#This Row],[E_MAIL]],SEARCH("@",T_Voluntarios[[#This Row],[E_MAIL]],1),LEN(T_Voluntarios[[#This Row],[E_MAIL]]))</f>
        <v>@gmail.com</v>
      </c>
      <c r="AQ207" s="13" t="str">
        <f>VLOOKUP(T_Voluntarios[[#This Row],[RUN]],BBDD[],37,FALSE)</f>
        <v>26</v>
      </c>
      <c r="AR207" s="2" t="str">
        <f>VLOOKUP(T_Voluntarios[[#This Row],[RUN]],BBDD[],29,FALSE)</f>
        <v>Estudiante Geofísica</v>
      </c>
      <c r="AS207" s="2" t="str">
        <f>VLOOKUP(T_Voluntarios[[#This Row],[RUN]],BBDD[],30,FALSE)</f>
        <v>11 años</v>
      </c>
      <c r="AT207" s="2" t="str">
        <f>VLOOKUP(T_Voluntarios[[#This Row],[RUN]],BBDD[],31,FALSE)</f>
        <v>4 años</v>
      </c>
      <c r="AU207" s="2" t="str">
        <f>VLOOKUP(T_Voluntarios[[#This Row],[RUN]],BBDD[],32,FALSE)</f>
        <v>Soltero(a)</v>
      </c>
      <c r="AV207" s="2" t="str">
        <f>VLOOKUP(T_Voluntarios[[#This Row],[RUN]],BBDD[],33,FALSE)</f>
        <v>Ninguna</v>
      </c>
      <c r="AW207" s="2" t="str">
        <f>VLOOKUP(T_Voluntarios[[#This Row],[RUN]],BBDD[],34,FALSE)</f>
        <v>Vicho</v>
      </c>
      <c r="AX207" s="13" t="s">
        <v>733</v>
      </c>
      <c r="AY207" s="76">
        <f>VLOOKUP(T_Voluntarios[[#This Row],[RUN]],BBDD[],2,FALSE)</f>
        <v>45820.447072145063</v>
      </c>
      <c r="AZ207" s="13" t="s">
        <v>2</v>
      </c>
    </row>
    <row r="208" spans="1:52" x14ac:dyDescent="0.3">
      <c r="A208" s="2" t="s">
        <v>3043</v>
      </c>
      <c r="B208" s="2" t="str">
        <f>VLOOKUP(T_Voluntarios[[#This Row],[RUN]],BBDD[],3,FALSE)</f>
        <v>ilpbustos@gmail.com</v>
      </c>
      <c r="C208" s="2" t="str">
        <f>VLOOKUP(T_Voluntarios[[#This Row],[RUN]],BBDD[],4,FALSE)</f>
        <v>Ignacio Andres Lopez Bustos</v>
      </c>
      <c r="D208" s="16">
        <f>VLOOKUP(T_Voluntarios[[#This Row],[RUN]],BBDD[],5,FALSE)</f>
        <v>36851</v>
      </c>
      <c r="E208" s="2" t="str">
        <f>VLOOKUP(T_Voluntarios[[#This Row],[RUN]],BBDD[],6,FALSE)</f>
        <v>Coveña 341 Higueras</v>
      </c>
      <c r="F208" s="2" t="str">
        <f>VLOOKUP(T_Voluntarios[[#This Row],[RUN]],BBDD[],7,FALSE)</f>
        <v>Talcahuano</v>
      </c>
      <c r="G208" s="2" t="str">
        <f>VLOOKUP(T_Voluntarios[[#This Row],[RUN]],BBDD[],8,FALSE)</f>
        <v>Celular</v>
      </c>
      <c r="H208" s="2" t="str">
        <f>IF(VLOOKUP(T_Voluntarios[[#This Row],[RUN]],BBDD[],9,FALSE)=0,"Falta",VLOOKUP(T_Voluntarios[[#This Row],[RUN]],BBDD[],9,FALSE))</f>
        <v>+56969030061</v>
      </c>
      <c r="I208" s="2" t="str">
        <f>VLOOKUP(T_Voluntarios[[#This Row],[RUN]],BBDD[],10,FALSE)</f>
        <v>Participante</v>
      </c>
      <c r="J208" s="2" t="str">
        <f>VLOOKUP(T_Voluntarios[[#This Row],[RUN]],BBDD[],11,FALSE)</f>
        <v>Alcatipay</v>
      </c>
      <c r="K208" s="2" t="str">
        <f>VLOOKUP(T_Voluntarios[[#This Row],[RUN]],BBDD[],12,FALSE)</f>
        <v>Pioneros</v>
      </c>
      <c r="L208" s="2" t="str">
        <f>VLOOKUP(T_Voluntarios[[#This Row],[RUN]],BBDD[],15,FALSE)</f>
        <v>Talcahuano - Hualpén</v>
      </c>
      <c r="M208" s="2" t="str">
        <f>VLOOKUP(T_Voluntarios[[#This Row],[RUN]],BBDD[],20,FALSE)</f>
        <v>Alimentación Tradicional</v>
      </c>
      <c r="N208" s="2" t="str">
        <f>VLOOKUP(T_Voluntarios[[#This Row],[RUN]],BBDD[],21,FALSE)</f>
        <v>Ninguna</v>
      </c>
      <c r="O208" s="2" t="str">
        <f>VLOOKUP(T_Voluntarios[[#This Row],[RUN]],BBDD[],22,FALSE)</f>
        <v>Ninguna</v>
      </c>
      <c r="P208" s="2" t="str">
        <f>VLOOKUP(T_Voluntarios[[#This Row],[RUN]],BBDD[],23,FALSE)</f>
        <v>Patricia Garrido / +56963537595</v>
      </c>
      <c r="Q208" s="2" t="str">
        <f>IF(VLOOKUP(T_Voluntarios[[#This Row],[RUN]],BBDD[],27,FALSE)=0,"",VLOOKUP(T_Voluntarios[[#This Row],[RUN]],BBDD[],27,FALSE))</f>
        <v/>
      </c>
      <c r="R208" s="2" t="str">
        <f>VLOOKUP(T_Voluntarios[[#This Row],[RUN]],BBDD[],36,FALSE)</f>
        <v>https://drive.google.com/open?id=1sLkI2W6kB_cZ-BmTFbIWwWmERTYRcWZG</v>
      </c>
      <c r="S208" s="2" t="str">
        <f>VLOOKUP(T_Voluntarios[[#This Row],[RUN]],BBDD[],16,FALSE)</f>
        <v>Inicial</v>
      </c>
      <c r="T208" s="2" t="str">
        <f>VLOOKUP(T_Voluntarios[[#This Row],[RUN]],BBDD[],17,FALSE)</f>
        <v>Ninguno</v>
      </c>
      <c r="U208" s="2" t="str">
        <f>VLOOKUP(T_Voluntarios[[#This Row],[RUN]],BBDD[],18,FALSE)</f>
        <v>Ninguno</v>
      </c>
      <c r="V208" s="2" t="str">
        <f>VLOOKUP(T_Voluntarios[[#This Row],[RUN]],BBDD[],19,FALSE)</f>
        <v>Ninguno</v>
      </c>
      <c r="W208" s="13" t="str">
        <f>IF(OR(T_Voluntarios[[#This Row],[ROL]]="Formador(a)"),"SI","NO")</f>
        <v>NO</v>
      </c>
      <c r="X208" s="13" t="str">
        <f>IF(ISERROR(VLOOKUP(T_Voluntarios[[#This Row],[RUN]],BBDD_Formadores[],15,FALSE)),"NO",VLOOKUP(T_Voluntarios[[#This Row],[RUN]],BBDD_Formadores[],15,FALSE))</f>
        <v>NO</v>
      </c>
      <c r="Y208" s="13" t="str">
        <f>IF(ISERROR(VLOOKUP(T_Voluntarios[[#This Row],[RUN]],BBDD_Formadores[],16,FALSE)),"NO",VLOOKUP(T_Voluntarios[[#This Row],[RUN]],BBDD_Formadores[],16,FALSE))</f>
        <v>NO</v>
      </c>
      <c r="Z208" s="13" t="str">
        <f>IF(ISERROR(VLOOKUP(T_Voluntarios[[#This Row],[RUN]],BBDD_Formadores[],17,FALSE)),"NO",VLOOKUP(T_Voluntarios[[#This Row],[RUN]],BBDD_Formadores[],17,FALSE))</f>
        <v>NO</v>
      </c>
      <c r="AA208" s="13" t="str">
        <f>IF(ISERROR(VLOOKUP(T_Voluntarios[[#This Row],[RUN]],BBDD_Formadores[],18,FALSE)),"NO",VLOOKUP(T_Voluntarios[[#This Row],[RUN]],BBDD_Formadores[],18,FALSE))</f>
        <v>NO</v>
      </c>
      <c r="AB208" s="13">
        <v>1</v>
      </c>
      <c r="AC208" s="13" t="s">
        <v>1</v>
      </c>
      <c r="AD208" s="13" t="s">
        <v>77</v>
      </c>
      <c r="AF208" s="2" t="str">
        <f>IF(VLOOKUP(T_Voluntarios[[#This Row],[RUN]],BBDD[],25,FALSE)=0,"",VLOOKUP(T_Voluntarios[[#This Row],[RUN]],BBDD[],25,FALSE))</f>
        <v/>
      </c>
      <c r="AG208" s="2" t="str">
        <f>IF(VLOOKUP(T_Voluntarios[[#This Row],[RUN]],BBDD[],26,FALSE)=0,"",VLOOKUP(T_Voluntarios[[#This Row],[RUN]],BBDD[],26,FALSE))</f>
        <v/>
      </c>
      <c r="AH208" s="2" t="str">
        <f>IF(VLOOKUP(T_Voluntarios[[#This Row],[RUN]],BBDD[],24,FALSE)=0,"",VLOOKUP(T_Voluntarios[[#This Row],[RUN]],BBDD[],24,FALSE))</f>
        <v/>
      </c>
      <c r="AI208" s="13" t="str">
        <f>VLOOKUP(T_Voluntarios[[#This Row],[RUN]],BBDD[],28,FALSE)</f>
        <v>No</v>
      </c>
      <c r="AJ208" s="13" t="str">
        <f>VLOOKUP(T_Voluntarios[[#This Row],[RUN]],BBDD[],28,FALSE)</f>
        <v>No</v>
      </c>
      <c r="AK208" s="32">
        <f>IF(T_Voluntarios[[#This Row],[ROL]]="Participante",SUMIFS(T_Cuotas[[#All],[Total]],T_Cuotas[[#All],[RUN]],T_Voluntarios[[#This Row],[RUN]]),-1)</f>
        <v>50000</v>
      </c>
      <c r="AL208" s="13" t="s">
        <v>2</v>
      </c>
      <c r="AM208" s="13" t="s">
        <v>2029</v>
      </c>
      <c r="AP208" s="2" t="str">
        <f>MID(T_Voluntarios[[#This Row],[E_MAIL]],SEARCH("@",T_Voluntarios[[#This Row],[E_MAIL]],1),LEN(T_Voluntarios[[#This Row],[E_MAIL]]))</f>
        <v>@gmail.com</v>
      </c>
      <c r="AQ208" s="13" t="str">
        <f>VLOOKUP(T_Voluntarios[[#This Row],[RUN]],BBDD[],37,FALSE)</f>
        <v>24</v>
      </c>
      <c r="AR208" s="2" t="str">
        <f>VLOOKUP(T_Voluntarios[[#This Row],[RUN]],BBDD[],29,FALSE)</f>
        <v>Estudiante</v>
      </c>
      <c r="AS208" s="2" t="str">
        <f>VLOOKUP(T_Voluntarios[[#This Row],[RUN]],BBDD[],30,FALSE)</f>
        <v>9 años</v>
      </c>
      <c r="AT208" s="2" t="str">
        <f>VLOOKUP(T_Voluntarios[[#This Row],[RUN]],BBDD[],31,FALSE)</f>
        <v>2 años</v>
      </c>
      <c r="AU208" s="2" t="str">
        <f>VLOOKUP(T_Voluntarios[[#This Row],[RUN]],BBDD[],32,FALSE)</f>
        <v>Soltero(a)</v>
      </c>
      <c r="AV208" s="2" t="str">
        <f>VLOOKUP(T_Voluntarios[[#This Row],[RUN]],BBDD[],33,FALSE)</f>
        <v>Ninguna</v>
      </c>
      <c r="AW208" s="2" t="str">
        <f>VLOOKUP(T_Voluntarios[[#This Row],[RUN]],BBDD[],34,FALSE)</f>
        <v>Cato</v>
      </c>
      <c r="AX208" s="13" t="s">
        <v>733</v>
      </c>
      <c r="AY208" s="76">
        <f>VLOOKUP(T_Voluntarios[[#This Row],[RUN]],BBDD[],2,FALSE)</f>
        <v>45823.722497106479</v>
      </c>
      <c r="AZ208" s="13" t="s">
        <v>3403</v>
      </c>
    </row>
    <row r="209" spans="1:52" x14ac:dyDescent="0.3">
      <c r="A209" s="2" t="s">
        <v>3232</v>
      </c>
      <c r="B209" s="2" t="str">
        <f>VLOOKUP(T_Voluntarios[[#This Row],[RUN]],BBDD[],3,FALSE)</f>
        <v>gonsalorivas@gmail.com</v>
      </c>
      <c r="C209" s="2" t="str">
        <f>VLOOKUP(T_Voluntarios[[#This Row],[RUN]],BBDD[],4,FALSE)</f>
        <v>Gonsalo Fabriciano Junior Rivas Betancour</v>
      </c>
      <c r="D209" s="16">
        <f>VLOOKUP(T_Voluntarios[[#This Row],[RUN]],BBDD[],5,FALSE)</f>
        <v>36740</v>
      </c>
      <c r="E209" s="2" t="str">
        <f>VLOOKUP(T_Voluntarios[[#This Row],[RUN]],BBDD[],6,FALSE)</f>
        <v>Cochrane 815</v>
      </c>
      <c r="F209" s="2" t="str">
        <f>VLOOKUP(T_Voluntarios[[#This Row],[RUN]],BBDD[],7,FALSE)</f>
        <v>Arauco</v>
      </c>
      <c r="G209" s="2" t="str">
        <f>VLOOKUP(T_Voluntarios[[#This Row],[RUN]],BBDD[],8,FALSE)</f>
        <v>Celular</v>
      </c>
      <c r="H209" s="2" t="str">
        <f>IF(VLOOKUP(T_Voluntarios[[#This Row],[RUN]],BBDD[],9,FALSE)=0,"Falta",VLOOKUP(T_Voluntarios[[#This Row],[RUN]],BBDD[],9,FALSE))</f>
        <v>+56957631673</v>
      </c>
      <c r="I209" s="2" t="str">
        <f>VLOOKUP(T_Voluntarios[[#This Row],[RUN]],BBDD[],10,FALSE)</f>
        <v>Participante</v>
      </c>
      <c r="J209" s="2" t="str">
        <f>VLOOKUP(T_Voluntarios[[#This Row],[RUN]],BBDD[],11,FALSE)</f>
        <v>Pehuen</v>
      </c>
      <c r="K209" s="2" t="str">
        <f>VLOOKUP(T_Voluntarios[[#This Row],[RUN]],BBDD[],12,FALSE)</f>
        <v>Scouts</v>
      </c>
      <c r="L209" s="2" t="str">
        <f>VLOOKUP(T_Voluntarios[[#This Row],[RUN]],BBDD[],15,FALSE)</f>
        <v>Nahuelbuta</v>
      </c>
      <c r="M209" s="2" t="str">
        <f>VLOOKUP(T_Voluntarios[[#This Row],[RUN]],BBDD[],20,FALSE)</f>
        <v>Alimentación Tradicional</v>
      </c>
      <c r="N209" s="2" t="str">
        <f>VLOOKUP(T_Voluntarios[[#This Row],[RUN]],BBDD[],21,FALSE)</f>
        <v>Ninguna</v>
      </c>
      <c r="O209" s="2" t="str">
        <f>VLOOKUP(T_Voluntarios[[#This Row],[RUN]],BBDD[],22,FALSE)</f>
        <v>Ninguna</v>
      </c>
      <c r="P209" s="2" t="str">
        <f>VLOOKUP(T_Voluntarios[[#This Row],[RUN]],BBDD[],23,FALSE)</f>
        <v>Camila Roca / +56958573099</v>
      </c>
      <c r="Q209" s="2" t="str">
        <f>IF(VLOOKUP(T_Voluntarios[[#This Row],[RUN]],BBDD[],27,FALSE)=0,"",VLOOKUP(T_Voluntarios[[#This Row],[RUN]],BBDD[],27,FALSE))</f>
        <v/>
      </c>
      <c r="R209" s="2" t="str">
        <f>VLOOKUP(T_Voluntarios[[#This Row],[RUN]],BBDD[],36,FALSE)</f>
        <v>https://drive.google.com/open?id=1bYiWmO1lyP1oshGGenFzMb2DM1h99wm9</v>
      </c>
      <c r="S209" s="2" t="str">
        <f>VLOOKUP(T_Voluntarios[[#This Row],[RUN]],BBDD[],16,FALSE)</f>
        <v>Inicial</v>
      </c>
      <c r="T209" s="2" t="str">
        <f>VLOOKUP(T_Voluntarios[[#This Row],[RUN]],BBDD[],17,FALSE)</f>
        <v>Ninguno</v>
      </c>
      <c r="U209" s="2" t="str">
        <f>VLOOKUP(T_Voluntarios[[#This Row],[RUN]],BBDD[],18,FALSE)</f>
        <v>Ninguno</v>
      </c>
      <c r="V209" s="2" t="str">
        <f>VLOOKUP(T_Voluntarios[[#This Row],[RUN]],BBDD[],19,FALSE)</f>
        <v>Ninguno</v>
      </c>
      <c r="W209" s="13" t="str">
        <f>IF(OR(T_Voluntarios[[#This Row],[ROL]]="Formador(a)"),"SI","NO")</f>
        <v>NO</v>
      </c>
      <c r="X209" s="13" t="str">
        <f>IF(ISERROR(VLOOKUP(T_Voluntarios[[#This Row],[RUN]],BBDD_Formadores[],15,FALSE)),"NO",VLOOKUP(T_Voluntarios[[#This Row],[RUN]],BBDD_Formadores[],15,FALSE))</f>
        <v>NO</v>
      </c>
      <c r="Y209" s="13" t="str">
        <f>IF(ISERROR(VLOOKUP(T_Voluntarios[[#This Row],[RUN]],BBDD_Formadores[],16,FALSE)),"NO",VLOOKUP(T_Voluntarios[[#This Row],[RUN]],BBDD_Formadores[],16,FALSE))</f>
        <v>NO</v>
      </c>
      <c r="Z209" s="13" t="str">
        <f>IF(ISERROR(VLOOKUP(T_Voluntarios[[#This Row],[RUN]],BBDD_Formadores[],17,FALSE)),"NO",VLOOKUP(T_Voluntarios[[#This Row],[RUN]],BBDD_Formadores[],17,FALSE))</f>
        <v>NO</v>
      </c>
      <c r="AA209" s="13" t="str">
        <f>IF(ISERROR(VLOOKUP(T_Voluntarios[[#This Row],[RUN]],BBDD_Formadores[],18,FALSE)),"NO",VLOOKUP(T_Voluntarios[[#This Row],[RUN]],BBDD_Formadores[],18,FALSE))</f>
        <v>NO</v>
      </c>
      <c r="AB209" s="13">
        <v>1</v>
      </c>
      <c r="AC209" s="13" t="s">
        <v>1</v>
      </c>
      <c r="AD209" s="13" t="s">
        <v>77</v>
      </c>
      <c r="AF209" s="2" t="str">
        <f>IF(VLOOKUP(T_Voluntarios[[#This Row],[RUN]],BBDD[],25,FALSE)=0,"",VLOOKUP(T_Voluntarios[[#This Row],[RUN]],BBDD[],25,FALSE))</f>
        <v>Peugeot</v>
      </c>
      <c r="AG209" s="2" t="str">
        <f>IF(VLOOKUP(T_Voluntarios[[#This Row],[RUN]],BBDD[],26,FALSE)=0,"",VLOOKUP(T_Voluntarios[[#This Row],[RUN]],BBDD[],26,FALSE))</f>
        <v>NEW 2008</v>
      </c>
      <c r="AH209" s="2" t="str">
        <f>IF(VLOOKUP(T_Voluntarios[[#This Row],[RUN]],BBDD[],24,FALSE)=0,"",VLOOKUP(T_Voluntarios[[#This Row],[RUN]],BBDD[],24,FALSE))</f>
        <v>TVZK-55</v>
      </c>
      <c r="AI209" s="13" t="str">
        <f>VLOOKUP(T_Voluntarios[[#This Row],[RUN]],BBDD[],28,FALSE)</f>
        <v>SI</v>
      </c>
      <c r="AJ209" s="13" t="str">
        <f>VLOOKUP(T_Voluntarios[[#This Row],[RUN]],BBDD[],28,FALSE)</f>
        <v>SI</v>
      </c>
      <c r="AK209" s="32">
        <f>IF(T_Voluntarios[[#This Row],[ROL]]="Participante",SUMIFS(T_Cuotas[[#All],[Total]],T_Cuotas[[#All],[RUN]],T_Voluntarios[[#This Row],[RUN]]),-1)</f>
        <v>50000</v>
      </c>
      <c r="AL209" s="13" t="s">
        <v>1</v>
      </c>
      <c r="AM209" s="13" t="s">
        <v>2029</v>
      </c>
      <c r="AP209" s="2" t="str">
        <f>MID(T_Voluntarios[[#This Row],[E_MAIL]],SEARCH("@",T_Voluntarios[[#This Row],[E_MAIL]],1),LEN(T_Voluntarios[[#This Row],[E_MAIL]]))</f>
        <v>@gmail.com</v>
      </c>
      <c r="AQ209" s="13" t="str">
        <f>VLOOKUP(T_Voluntarios[[#This Row],[RUN]],BBDD[],37,FALSE)</f>
        <v>24</v>
      </c>
      <c r="AR209" s="2" t="str">
        <f>VLOOKUP(T_Voluntarios[[#This Row],[RUN]],BBDD[],29,FALSE)</f>
        <v>TÉCNICO EN ADMINISTRACIÓN</v>
      </c>
      <c r="AS209" s="2" t="str">
        <f>VLOOKUP(T_Voluntarios[[#This Row],[RUN]],BBDD[],30,FALSE)</f>
        <v>No fui beneficiario</v>
      </c>
      <c r="AT209" s="2" t="str">
        <f>VLOOKUP(T_Voluntarios[[#This Row],[RUN]],BBDD[],31,FALSE)</f>
        <v>2 años</v>
      </c>
      <c r="AU209" s="2" t="str">
        <f>VLOOKUP(T_Voluntarios[[#This Row],[RUN]],BBDD[],32,FALSE)</f>
        <v>Soltero(a)</v>
      </c>
      <c r="AV209" s="2" t="str">
        <f>VLOOKUP(T_Voluntarios[[#This Row],[RUN]],BBDD[],33,FALSE)</f>
        <v>Ninguna</v>
      </c>
      <c r="AW209" s="2" t="str">
        <f>VLOOKUP(T_Voluntarios[[#This Row],[RUN]],BBDD[],34,FALSE)</f>
        <v>Gonsalo</v>
      </c>
      <c r="AX209" s="13" t="s">
        <v>733</v>
      </c>
      <c r="AY209" s="76">
        <f>VLOOKUP(T_Voluntarios[[#This Row],[RUN]],BBDD[],2,FALSE)</f>
        <v>45827.438925501541</v>
      </c>
      <c r="AZ209" s="13" t="s">
        <v>3403</v>
      </c>
    </row>
    <row r="226" hidden="1" x14ac:dyDescent="0.3"/>
  </sheetData>
  <conditionalFormatting sqref="A3:AX209">
    <cfRule type="expression" dxfId="172" priority="50">
      <formula>$AC3="SI - Anulado"</formula>
    </cfRule>
    <cfRule type="expression" dxfId="171" priority="51">
      <formula>$AC3="En Espera"</formula>
    </cfRule>
    <cfRule type="expression" dxfId="170" priority="52">
      <formula>$I3&lt;&gt;"Participante"</formula>
    </cfRule>
  </conditionalFormatting>
  <dataValidations count="8">
    <dataValidation type="list" allowBlank="1" showInputMessage="1" showErrorMessage="1" sqref="AO3:AO209" xr:uid="{2A7B077F-F1DA-4C22-A41F-03B4DA3847E8}">
      <formula1>Lista_Cargos</formula1>
    </dataValidation>
    <dataValidation type="list" allowBlank="1" showInputMessage="1" showErrorMessage="1" sqref="AB3:AB209" xr:uid="{3D1EDDEB-0334-4C63-9A9A-AE12FC797969}">
      <formula1>Lista_Cuenta</formula1>
    </dataValidation>
    <dataValidation type="list" allowBlank="1" showInputMessage="1" showErrorMessage="1" sqref="AC3:AC209" xr:uid="{C7713DC5-9B97-4808-A977-43C3965CAFC7}">
      <formula1>Lista_Avisado</formula1>
    </dataValidation>
    <dataValidation type="list" allowBlank="1" showInputMessage="1" showErrorMessage="1" sqref="AD3:AD209" xr:uid="{88B9FB9B-7FDE-4755-A397-7C432CA5963F}">
      <formula1>Lista_Estado</formula1>
    </dataValidation>
    <dataValidation type="list" allowBlank="1" showInputMessage="1" showErrorMessage="1" sqref="AE3:AE209" xr:uid="{49D76D42-35AA-4AE8-A998-9D9B454F3B7E}">
      <formula1>Lista_Transporte</formula1>
    </dataValidation>
    <dataValidation type="list" allowBlank="1" showInputMessage="1" showErrorMessage="1" sqref="AM3:AM209 AX3:AX209 AI3:AJ209" xr:uid="{98F56901-7DE2-4CF5-91B4-8059AF2CA56C}">
      <formula1>Lista_Cama</formula1>
    </dataValidation>
    <dataValidation type="list" allowBlank="1" showInputMessage="1" showErrorMessage="1" sqref="AL3:AL209" xr:uid="{A5ABB813-E6EB-488D-B270-D0C9C230ACCB}">
      <formula1>Lista_Registro</formula1>
    </dataValidation>
    <dataValidation type="list" allowBlank="1" showInputMessage="1" showErrorMessage="1" sqref="AZ3:AZ209" xr:uid="{B999C63D-62B0-4230-A11F-0CC4290B0DC5}">
      <formula1>Lista_Institucional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7EABE-54F1-440E-8CC1-CB86BEE49024}">
  <sheetPr codeName="Hoja4">
    <pageSetUpPr fitToPage="1"/>
  </sheetPr>
  <dimension ref="A1:M174"/>
  <sheetViews>
    <sheetView workbookViewId="0">
      <pane ySplit="4" topLeftCell="A5" activePane="bottomLeft" state="frozen"/>
      <selection pane="bottomLeft" activeCell="B5" sqref="B5"/>
    </sheetView>
  </sheetViews>
  <sheetFormatPr baseColWidth="10" defaultRowHeight="14.4" x14ac:dyDescent="0.3"/>
  <cols>
    <col min="1" max="1" width="17.21875" customWidth="1"/>
    <col min="2" max="2" width="41.33203125" bestFit="1" customWidth="1"/>
    <col min="3" max="6" width="15.88671875" style="5" bestFit="1" customWidth="1"/>
    <col min="7" max="7" width="11.44140625" style="1" bestFit="1" customWidth="1"/>
    <col min="8" max="8" width="37.5546875" bestFit="1" customWidth="1"/>
    <col min="9" max="9" width="48.6640625" bestFit="1" customWidth="1"/>
    <col min="10" max="10" width="13.88671875" bestFit="1" customWidth="1"/>
    <col min="11" max="11" width="34.6640625" bestFit="1" customWidth="1"/>
    <col min="12" max="12" width="11.44140625" customWidth="1"/>
    <col min="13" max="13" width="23" bestFit="1" customWidth="1"/>
  </cols>
  <sheetData>
    <row r="1" spans="1:13" s="19" customFormat="1" ht="26.25" customHeight="1" x14ac:dyDescent="0.3">
      <c r="A1" s="54" t="s">
        <v>191</v>
      </c>
      <c r="B1" s="51" t="s">
        <v>718</v>
      </c>
      <c r="C1" s="52">
        <v>20000</v>
      </c>
      <c r="D1" s="52">
        <v>15000</v>
      </c>
      <c r="E1" s="52">
        <v>15000</v>
      </c>
      <c r="F1" s="52">
        <f>SUM(C1:E1)</f>
        <v>50000</v>
      </c>
      <c r="G1" s="52"/>
      <c r="H1" s="53">
        <f>SUMIFS(T_Voluntarios[CUENTA],T_Voluntarios[ESTADO],"Vigente",T_Voluntarios[ROL],"Participante") - SUMIFS(T_Voluntarios[CUENTA],T_Voluntarios[ALIMENTACION],"Sin Almuerzo",T_Voluntarios[ESTADO],"Vigente",T_Voluntarios[ROL],"Participante")</f>
        <v>109</v>
      </c>
      <c r="I1" s="103" t="s">
        <v>720</v>
      </c>
      <c r="J1" s="103"/>
      <c r="K1" s="103"/>
      <c r="L1" s="103"/>
      <c r="M1" s="103"/>
    </row>
    <row r="2" spans="1:13" s="19" customFormat="1" ht="26.25" customHeight="1" x14ac:dyDescent="0.3">
      <c r="A2" s="102">
        <f>((F1*H1) + (F2*H2)) - F3</f>
        <v>-27500</v>
      </c>
      <c r="B2" s="48" t="s">
        <v>719</v>
      </c>
      <c r="C2" s="49">
        <v>20000</v>
      </c>
      <c r="D2" s="49">
        <v>16500</v>
      </c>
      <c r="E2" s="49">
        <v>0</v>
      </c>
      <c r="F2" s="49">
        <f>SUM(C2:E2)</f>
        <v>36500</v>
      </c>
      <c r="G2" s="49"/>
      <c r="H2" s="50">
        <f>SUMIFS(T_Voluntarios[CUENTA],T_Voluntarios[ALIMENTACION],"Sin Almuerzo",T_Voluntarios[ESTADO],"Vigente",T_Voluntarios[ROL],"Participante")</f>
        <v>33</v>
      </c>
      <c r="I2" s="104" t="s">
        <v>721</v>
      </c>
      <c r="J2" s="104"/>
      <c r="K2" s="104"/>
      <c r="L2" s="104"/>
      <c r="M2" s="104"/>
    </row>
    <row r="3" spans="1:13" s="19" customFormat="1" ht="28.5" customHeight="1" x14ac:dyDescent="0.3">
      <c r="A3" s="102"/>
      <c r="B3" s="20" t="s">
        <v>190</v>
      </c>
      <c r="C3" s="21">
        <f>SUM(T_Cuotas[[#All],[Cuota_1]])</f>
        <v>2881000</v>
      </c>
      <c r="D3" s="21">
        <f>SUM(T_Cuotas[[#All],[Cuota_2]])</f>
        <v>2181000</v>
      </c>
      <c r="E3" s="21">
        <f>SUM(T_Cuotas[[#All],[Cuota_3]])</f>
        <v>1620000</v>
      </c>
      <c r="F3" s="101">
        <f>SUM(T_Cuotas[[#All],[Total]])</f>
        <v>6682000</v>
      </c>
      <c r="G3" s="101"/>
      <c r="H3" s="21"/>
      <c r="I3" s="105"/>
      <c r="J3" s="105"/>
      <c r="K3" s="105"/>
      <c r="L3" s="105"/>
      <c r="M3" s="105"/>
    </row>
    <row r="4" spans="1:13" x14ac:dyDescent="0.3">
      <c r="A4" s="1" t="s">
        <v>37</v>
      </c>
      <c r="B4" s="1" t="s">
        <v>96</v>
      </c>
      <c r="C4" s="6" t="s">
        <v>98</v>
      </c>
      <c r="D4" s="6" t="s">
        <v>99</v>
      </c>
      <c r="E4" s="6" t="s">
        <v>100</v>
      </c>
      <c r="F4" s="6" t="s">
        <v>101</v>
      </c>
      <c r="G4" s="1" t="s">
        <v>269</v>
      </c>
      <c r="H4" s="1" t="s">
        <v>447</v>
      </c>
      <c r="I4" s="1" t="s">
        <v>448</v>
      </c>
      <c r="J4" s="1" t="s">
        <v>449</v>
      </c>
      <c r="K4" s="1" t="s">
        <v>239</v>
      </c>
      <c r="L4" s="1" t="s">
        <v>76</v>
      </c>
      <c r="M4" s="1" t="s">
        <v>8</v>
      </c>
    </row>
    <row r="5" spans="1:13" x14ac:dyDescent="0.3">
      <c r="A5" s="2" t="s">
        <v>722</v>
      </c>
      <c r="B5" t="str">
        <f>IF(ISERROR(VLOOKUP(T_Cuotas[[#This Row],[RUN]],T_Voluntarios[],3,FALSE)),"No Existe",VLOOKUP(T_Cuotas[[#This Row],[RUN]],T_Voluntarios[],3,FALSE))</f>
        <v>Andrea Fernanda Vidal Morales</v>
      </c>
      <c r="C5" s="5">
        <f>IF(ISERROR(VLOOKUP(T_Cuotas[[#This Row],[RUN]],Tabla_Pagos[],7,FALSE)),0,VLOOKUP(T_Cuotas[[#This Row],[RUN]],Tabla_Pagos[],7,FALSE))</f>
        <v>20000</v>
      </c>
      <c r="D5" s="5">
        <f>IF(ISERROR(VLOOKUP(T_Cuotas[[#This Row],[RUN]],Tabla_Pagos[],8,FALSE)),0,VLOOKUP(T_Cuotas[[#This Row],[RUN]],Tabla_Pagos[],8,FALSE))</f>
        <v>15000</v>
      </c>
      <c r="E5" s="5">
        <f>IF(ISERROR(VLOOKUP(T_Cuotas[[#This Row],[RUN]],Tabla_Pagos[],9,FALSE)),0,VLOOKUP(T_Cuotas[[#This Row],[RUN]],Tabla_Pagos[],9,FALSE))</f>
        <v>15000</v>
      </c>
      <c r="F5" s="5">
        <f>T_Cuotas[[#This Row],[Cuota_1]]+T_Cuotas[[#This Row],[Cuota_2]]+T_Cuotas[[#This Row],[Cuota_3]]</f>
        <v>50000</v>
      </c>
      <c r="G5" s="1">
        <f>COUNTIF(T_Cuotas[RUN],T_Cuotas[[#This Row],[RUN]])</f>
        <v>1</v>
      </c>
      <c r="H5" s="5" t="str">
        <f>IF(ISERROR(VLOOKUP(T_Cuotas[[#This Row],[RUN]],T_Voluntarios[],2,FALSE)),"No Existe",VLOOKUP(T_Cuotas[[#This Row],[RUN]],T_Voluntarios[],2,FALSE))</f>
        <v>andreavidalmo@gmail.com</v>
      </c>
      <c r="I5" s="5"/>
      <c r="J5" s="5" t="str">
        <f>IF(ISERROR(VLOOKUP(T_Cuotas[[#This Row],[RUN]],T_Voluntarios[],8,FALSE)),"No Existe",VLOOKUP(T_Cuotas[[#This Row],[RUN]],T_Voluntarios[],8,FALSE))</f>
        <v>+56933728882</v>
      </c>
      <c r="K5" s="5" t="str">
        <f>IF(ISERROR(VLOOKUP(T_Cuotas[[#This Row],[RUN]],T_Voluntarios[],10,FALSE)),"No Existe",VLOOKUP(T_Cuotas[[#This Row],[RUN]],T_Voluntarios[],10,FALSE))</f>
        <v>Huilliche</v>
      </c>
      <c r="L5" s="5" t="str">
        <f>IF(ISERROR(VLOOKUP(T_Cuotas[[#This Row],[RUN]],T_Voluntarios[],30,FALSE)),"No Existe",VLOOKUP(T_Cuotas[[#This Row],[RUN]],T_Voluntarios[],30,FALSE))</f>
        <v>Vigente</v>
      </c>
      <c r="M5" s="5" t="str">
        <f>IF(ISERROR(VLOOKUP(T_Cuotas[[#This Row],[RUN]],T_Voluntarios[],13,FALSE)),"No Existe",VLOOKUP(T_Cuotas[[#This Row],[RUN]],T_Voluntarios[],13,FALSE))</f>
        <v>Alimentación Tradicional</v>
      </c>
    </row>
    <row r="6" spans="1:13" x14ac:dyDescent="0.3">
      <c r="A6" s="2" t="s">
        <v>740</v>
      </c>
      <c r="B6" t="str">
        <f>IF(ISERROR(VLOOKUP(T_Cuotas[[#This Row],[RUN]],T_Voluntarios[],3,FALSE)),"No Existe",VLOOKUP(T_Cuotas[[#This Row],[RUN]],T_Voluntarios[],3,FALSE))</f>
        <v>Pamela Elena Pino Leiva</v>
      </c>
      <c r="C6" s="5">
        <f>IF(ISERROR(VLOOKUP(T_Cuotas[[#This Row],[RUN]],Tabla_Pagos[],7,FALSE)),0,VLOOKUP(T_Cuotas[[#This Row],[RUN]],Tabla_Pagos[],7,FALSE))</f>
        <v>20000</v>
      </c>
      <c r="D6" s="5">
        <f>IF(ISERROR(VLOOKUP(T_Cuotas[[#This Row],[RUN]],Tabla_Pagos[],8,FALSE)),0,VLOOKUP(T_Cuotas[[#This Row],[RUN]],Tabla_Pagos[],8,FALSE))</f>
        <v>15000</v>
      </c>
      <c r="E6" s="5">
        <f>IF(ISERROR(VLOOKUP(T_Cuotas[[#This Row],[RUN]],Tabla_Pagos[],9,FALSE)),0,VLOOKUP(T_Cuotas[[#This Row],[RUN]],Tabla_Pagos[],9,FALSE))</f>
        <v>15000</v>
      </c>
      <c r="F6" s="5">
        <f>T_Cuotas[[#This Row],[Cuota_1]]+T_Cuotas[[#This Row],[Cuota_2]]+T_Cuotas[[#This Row],[Cuota_3]]</f>
        <v>50000</v>
      </c>
      <c r="G6" s="1">
        <f>COUNTIF(T_Cuotas[RUN],T_Cuotas[[#This Row],[RUN]])</f>
        <v>1</v>
      </c>
      <c r="H6" s="5" t="str">
        <f>IF(ISERROR(VLOOKUP(T_Cuotas[[#This Row],[RUN]],T_Voluntarios[],2,FALSE)),"No Existe",VLOOKUP(T_Cuotas[[#This Row],[RUN]],T_Voluntarios[],2,FALSE))</f>
        <v>pamelapinol21@gmail.com</v>
      </c>
      <c r="I6" s="5"/>
      <c r="J6" s="5" t="str">
        <f>IF(ISERROR(VLOOKUP(T_Cuotas[[#This Row],[RUN]],T_Voluntarios[],8,FALSE)),"No Existe",VLOOKUP(T_Cuotas[[#This Row],[RUN]],T_Voluntarios[],8,FALSE))</f>
        <v>+56946993024</v>
      </c>
      <c r="K6" s="5" t="str">
        <f>IF(ISERROR(VLOOKUP(T_Cuotas[[#This Row],[RUN]],T_Voluntarios[],10,FALSE)),"No Existe",VLOOKUP(T_Cuotas[[#This Row],[RUN]],T_Voluntarios[],10,FALSE))</f>
        <v>Mahuidanche</v>
      </c>
      <c r="L6" s="5" t="str">
        <f>IF(ISERROR(VLOOKUP(T_Cuotas[[#This Row],[RUN]],T_Voluntarios[],30,FALSE)),"No Existe",VLOOKUP(T_Cuotas[[#This Row],[RUN]],T_Voluntarios[],30,FALSE))</f>
        <v>Vigente</v>
      </c>
      <c r="M6" s="5" t="str">
        <f>IF(ISERROR(VLOOKUP(T_Cuotas[[#This Row],[RUN]],T_Voluntarios[],13,FALSE)),"No Existe",VLOOKUP(T_Cuotas[[#This Row],[RUN]],T_Voluntarios[],13,FALSE))</f>
        <v>Alimentación Tradicional</v>
      </c>
    </row>
    <row r="7" spans="1:13" x14ac:dyDescent="0.3">
      <c r="A7" s="2" t="s">
        <v>756</v>
      </c>
      <c r="B7" t="str">
        <f>IF(ISERROR(VLOOKUP(T_Cuotas[[#This Row],[RUN]],T_Voluntarios[],3,FALSE)),"No Existe",VLOOKUP(T_Cuotas[[#This Row],[RUN]],T_Voluntarios[],3,FALSE))</f>
        <v>Noemí Rosita González Marambio</v>
      </c>
      <c r="C7" s="5">
        <f>IF(ISERROR(VLOOKUP(T_Cuotas[[#This Row],[RUN]],Tabla_Pagos[],7,FALSE)),0,VLOOKUP(T_Cuotas[[#This Row],[RUN]],Tabla_Pagos[],7,FALSE))</f>
        <v>20000</v>
      </c>
      <c r="D7" s="5">
        <f>IF(ISERROR(VLOOKUP(T_Cuotas[[#This Row],[RUN]],Tabla_Pagos[],8,FALSE)),0,VLOOKUP(T_Cuotas[[#This Row],[RUN]],Tabla_Pagos[],8,FALSE))</f>
        <v>15000</v>
      </c>
      <c r="E7" s="5">
        <f>IF(ISERROR(VLOOKUP(T_Cuotas[[#This Row],[RUN]],Tabla_Pagos[],9,FALSE)),0,VLOOKUP(T_Cuotas[[#This Row],[RUN]],Tabla_Pagos[],9,FALSE))</f>
        <v>15000</v>
      </c>
      <c r="F7" s="5">
        <f>T_Cuotas[[#This Row],[Cuota_1]]+T_Cuotas[[#This Row],[Cuota_2]]+T_Cuotas[[#This Row],[Cuota_3]]</f>
        <v>50000</v>
      </c>
      <c r="G7" s="1">
        <f>COUNTIF(T_Cuotas[RUN],T_Cuotas[[#This Row],[RUN]])</f>
        <v>1</v>
      </c>
      <c r="H7" s="5" t="str">
        <f>IF(ISERROR(VLOOKUP(T_Cuotas[[#This Row],[RUN]],T_Voluntarios[],2,FALSE)),"No Existe",VLOOKUP(T_Cuotas[[#This Row],[RUN]],T_Voluntarios[],2,FALSE))</f>
        <v>noemigonzalez644@gmail.com</v>
      </c>
      <c r="I7" s="5"/>
      <c r="J7" s="5" t="str">
        <f>IF(ISERROR(VLOOKUP(T_Cuotas[[#This Row],[RUN]],T_Voluntarios[],8,FALSE)),"No Existe",VLOOKUP(T_Cuotas[[#This Row],[RUN]],T_Voluntarios[],8,FALSE))</f>
        <v>+56956656604</v>
      </c>
      <c r="K7" s="5" t="str">
        <f>IF(ISERROR(VLOOKUP(T_Cuotas[[#This Row],[RUN]],T_Voluntarios[],10,FALSE)),"No Existe",VLOOKUP(T_Cuotas[[#This Row],[RUN]],T_Voluntarios[],10,FALSE))</f>
        <v>San Ignacio de Loyola</v>
      </c>
      <c r="L7" s="5" t="str">
        <f>IF(ISERROR(VLOOKUP(T_Cuotas[[#This Row],[RUN]],T_Voluntarios[],30,FALSE)),"No Existe",VLOOKUP(T_Cuotas[[#This Row],[RUN]],T_Voluntarios[],30,FALSE))</f>
        <v>Vigente</v>
      </c>
      <c r="M7" s="5" t="str">
        <f>IF(ISERROR(VLOOKUP(T_Cuotas[[#This Row],[RUN]],T_Voluntarios[],13,FALSE)),"No Existe",VLOOKUP(T_Cuotas[[#This Row],[RUN]],T_Voluntarios[],13,FALSE))</f>
        <v>Alimentación Tradicional</v>
      </c>
    </row>
    <row r="8" spans="1:13" x14ac:dyDescent="0.3">
      <c r="A8" s="2" t="s">
        <v>767</v>
      </c>
      <c r="B8" t="str">
        <f>IF(ISERROR(VLOOKUP(T_Cuotas[[#This Row],[RUN]],T_Voluntarios[],3,FALSE)),"No Existe",VLOOKUP(T_Cuotas[[#This Row],[RUN]],T_Voluntarios[],3,FALSE))</f>
        <v>Catalina Dannae Palma Bastías</v>
      </c>
      <c r="C8" s="5">
        <f>IF(ISERROR(VLOOKUP(T_Cuotas[[#This Row],[RUN]],Tabla_Pagos[],7,FALSE)),0,VLOOKUP(T_Cuotas[[#This Row],[RUN]],Tabla_Pagos[],7,FALSE))</f>
        <v>20000</v>
      </c>
      <c r="D8" s="5">
        <f>IF(ISERROR(VLOOKUP(T_Cuotas[[#This Row],[RUN]],Tabla_Pagos[],8,FALSE)),0,VLOOKUP(T_Cuotas[[#This Row],[RUN]],Tabla_Pagos[],8,FALSE))</f>
        <v>15000</v>
      </c>
      <c r="E8" s="5">
        <f>IF(ISERROR(VLOOKUP(T_Cuotas[[#This Row],[RUN]],Tabla_Pagos[],9,FALSE)),0,VLOOKUP(T_Cuotas[[#This Row],[RUN]],Tabla_Pagos[],9,FALSE))</f>
        <v>15000</v>
      </c>
      <c r="F8" s="5">
        <f>T_Cuotas[[#This Row],[Cuota_1]]+T_Cuotas[[#This Row],[Cuota_2]]+T_Cuotas[[#This Row],[Cuota_3]]</f>
        <v>50000</v>
      </c>
      <c r="G8" s="1">
        <f>COUNTIF(T_Cuotas[RUN],T_Cuotas[[#This Row],[RUN]])</f>
        <v>1</v>
      </c>
      <c r="H8" s="5" t="str">
        <f>IF(ISERROR(VLOOKUP(T_Cuotas[[#This Row],[RUN]],T_Voluntarios[],2,FALSE)),"No Existe",VLOOKUP(T_Cuotas[[#This Row],[RUN]],T_Voluntarios[],2,FALSE))</f>
        <v>cpalmab00@gmail.com</v>
      </c>
      <c r="I8" s="5"/>
      <c r="J8" s="5" t="str">
        <f>IF(ISERROR(VLOOKUP(T_Cuotas[[#This Row],[RUN]],T_Voluntarios[],8,FALSE)),"No Existe",VLOOKUP(T_Cuotas[[#This Row],[RUN]],T_Voluntarios[],8,FALSE))</f>
        <v>+56932294127</v>
      </c>
      <c r="K8" s="5" t="str">
        <f>IF(ISERROR(VLOOKUP(T_Cuotas[[#This Row],[RUN]],T_Voluntarios[],10,FALSE)),"No Existe",VLOOKUP(T_Cuotas[[#This Row],[RUN]],T_Voluntarios[],10,FALSE))</f>
        <v>San Ignacio de Loyola</v>
      </c>
      <c r="L8" s="5" t="str">
        <f>IF(ISERROR(VLOOKUP(T_Cuotas[[#This Row],[RUN]],T_Voluntarios[],30,FALSE)),"No Existe",VLOOKUP(T_Cuotas[[#This Row],[RUN]],T_Voluntarios[],30,FALSE))</f>
        <v>Vigente</v>
      </c>
      <c r="M8" s="5" t="str">
        <f>IF(ISERROR(VLOOKUP(T_Cuotas[[#This Row],[RUN]],T_Voluntarios[],13,FALSE)),"No Existe",VLOOKUP(T_Cuotas[[#This Row],[RUN]],T_Voluntarios[],13,FALSE))</f>
        <v>Alimentación Tradicional</v>
      </c>
    </row>
    <row r="9" spans="1:13" x14ac:dyDescent="0.3">
      <c r="A9" s="2" t="s">
        <v>781</v>
      </c>
      <c r="B9" t="str">
        <f>IF(ISERROR(VLOOKUP(T_Cuotas[[#This Row],[RUN]],T_Voluntarios[],3,FALSE)),"No Existe",VLOOKUP(T_Cuotas[[#This Row],[RUN]],T_Voluntarios[],3,FALSE))</f>
        <v>Muriel Esther González Silva</v>
      </c>
      <c r="C9" s="5">
        <f>IF(ISERROR(VLOOKUP(T_Cuotas[[#This Row],[RUN]],Tabla_Pagos[],7,FALSE)),0,VLOOKUP(T_Cuotas[[#This Row],[RUN]],Tabla_Pagos[],7,FALSE))</f>
        <v>20000</v>
      </c>
      <c r="D9" s="5">
        <f>IF(ISERROR(VLOOKUP(T_Cuotas[[#This Row],[RUN]],Tabla_Pagos[],8,FALSE)),0,VLOOKUP(T_Cuotas[[#This Row],[RUN]],Tabla_Pagos[],8,FALSE))</f>
        <v>15000</v>
      </c>
      <c r="E9" s="5">
        <f>IF(ISERROR(VLOOKUP(T_Cuotas[[#This Row],[RUN]],Tabla_Pagos[],9,FALSE)),0,VLOOKUP(T_Cuotas[[#This Row],[RUN]],Tabla_Pagos[],9,FALSE))</f>
        <v>15000</v>
      </c>
      <c r="F9" s="5">
        <f>T_Cuotas[[#This Row],[Cuota_1]]+T_Cuotas[[#This Row],[Cuota_2]]+T_Cuotas[[#This Row],[Cuota_3]]</f>
        <v>50000</v>
      </c>
      <c r="G9" s="1">
        <f>COUNTIF(T_Cuotas[RUN],T_Cuotas[[#This Row],[RUN]])</f>
        <v>1</v>
      </c>
      <c r="H9" s="5" t="str">
        <f>IF(ISERROR(VLOOKUP(T_Cuotas[[#This Row],[RUN]],T_Voluntarios[],2,FALSE)),"No Existe",VLOOKUP(T_Cuotas[[#This Row],[RUN]],T_Voluntarios[],2,FALSE))</f>
        <v>mgonzalez.biologia@gmail.com</v>
      </c>
      <c r="I9" s="5"/>
      <c r="J9" s="5" t="str">
        <f>IF(ISERROR(VLOOKUP(T_Cuotas[[#This Row],[RUN]],T_Voluntarios[],8,FALSE)),"No Existe",VLOOKUP(T_Cuotas[[#This Row],[RUN]],T_Voluntarios[],8,FALSE))</f>
        <v>+56940010332</v>
      </c>
      <c r="K9" s="5" t="str">
        <f>IF(ISERROR(VLOOKUP(T_Cuotas[[#This Row],[RUN]],T_Voluntarios[],10,FALSE)),"No Existe",VLOOKUP(T_Cuotas[[#This Row],[RUN]],T_Voluntarios[],10,FALSE))</f>
        <v>Helen Keller</v>
      </c>
      <c r="L9" s="5" t="str">
        <f>IF(ISERROR(VLOOKUP(T_Cuotas[[#This Row],[RUN]],T_Voluntarios[],30,FALSE)),"No Existe",VLOOKUP(T_Cuotas[[#This Row],[RUN]],T_Voluntarios[],30,FALSE))</f>
        <v>Vigente</v>
      </c>
      <c r="M9" s="5" t="str">
        <f>IF(ISERROR(VLOOKUP(T_Cuotas[[#This Row],[RUN]],T_Voluntarios[],13,FALSE)),"No Existe",VLOOKUP(T_Cuotas[[#This Row],[RUN]],T_Voluntarios[],13,FALSE))</f>
        <v>Alimentación Tradicional</v>
      </c>
    </row>
    <row r="10" spans="1:13" x14ac:dyDescent="0.3">
      <c r="A10" s="2" t="s">
        <v>793</v>
      </c>
      <c r="B10" t="str">
        <f>IF(ISERROR(VLOOKUP(T_Cuotas[[#This Row],[RUN]],T_Voluntarios[],3,FALSE)),"No Existe",VLOOKUP(T_Cuotas[[#This Row],[RUN]],T_Voluntarios[],3,FALSE))</f>
        <v>Catalina Belén Díaz Aguilera</v>
      </c>
      <c r="C10" s="5">
        <f>IF(ISERROR(VLOOKUP(T_Cuotas[[#This Row],[RUN]],Tabla_Pagos[],7,FALSE)),0,VLOOKUP(T_Cuotas[[#This Row],[RUN]],Tabla_Pagos[],7,FALSE))</f>
        <v>20000</v>
      </c>
      <c r="D10" s="5">
        <f>IF(ISERROR(VLOOKUP(T_Cuotas[[#This Row],[RUN]],Tabla_Pagos[],8,FALSE)),0,VLOOKUP(T_Cuotas[[#This Row],[RUN]],Tabla_Pagos[],8,FALSE))</f>
        <v>15000</v>
      </c>
      <c r="E10" s="5">
        <f>IF(ISERROR(VLOOKUP(T_Cuotas[[#This Row],[RUN]],Tabla_Pagos[],9,FALSE)),0,VLOOKUP(T_Cuotas[[#This Row],[RUN]],Tabla_Pagos[],9,FALSE))</f>
        <v>15000</v>
      </c>
      <c r="F10" s="5">
        <f>T_Cuotas[[#This Row],[Cuota_1]]+T_Cuotas[[#This Row],[Cuota_2]]+T_Cuotas[[#This Row],[Cuota_3]]</f>
        <v>50000</v>
      </c>
      <c r="G10" s="1">
        <f>COUNTIF(T_Cuotas[RUN],T_Cuotas[[#This Row],[RUN]])</f>
        <v>1</v>
      </c>
      <c r="H10" s="5" t="str">
        <f>IF(ISERROR(VLOOKUP(T_Cuotas[[#This Row],[RUN]],T_Voluntarios[],2,FALSE)),"No Existe",VLOOKUP(T_Cuotas[[#This Row],[RUN]],T_Voluntarios[],2,FALSE))</f>
        <v>cdiazaguilera12@gmail.com</v>
      </c>
      <c r="I10" s="5"/>
      <c r="J10" s="5" t="str">
        <f>IF(ISERROR(VLOOKUP(T_Cuotas[[#This Row],[RUN]],T_Voluntarios[],8,FALSE)),"No Existe",VLOOKUP(T_Cuotas[[#This Row],[RUN]],T_Voluntarios[],8,FALSE))</f>
        <v>+56956959880</v>
      </c>
      <c r="K10" s="5" t="str">
        <f>IF(ISERROR(VLOOKUP(T_Cuotas[[#This Row],[RUN]],T_Voluntarios[],10,FALSE)),"No Existe",VLOOKUP(T_Cuotas[[#This Row],[RUN]],T_Voluntarios[],10,FALSE))</f>
        <v>San Ignacio de Loyola</v>
      </c>
      <c r="L10" s="5" t="str">
        <f>IF(ISERROR(VLOOKUP(T_Cuotas[[#This Row],[RUN]],T_Voluntarios[],30,FALSE)),"No Existe",VLOOKUP(T_Cuotas[[#This Row],[RUN]],T_Voluntarios[],30,FALSE))</f>
        <v>Vigente</v>
      </c>
      <c r="M10" s="5" t="str">
        <f>IF(ISERROR(VLOOKUP(T_Cuotas[[#This Row],[RUN]],T_Voluntarios[],13,FALSE)),"No Existe",VLOOKUP(T_Cuotas[[#This Row],[RUN]],T_Voluntarios[],13,FALSE))</f>
        <v>Alimentación Tradicional</v>
      </c>
    </row>
    <row r="11" spans="1:13" x14ac:dyDescent="0.3">
      <c r="A11" s="2" t="s">
        <v>803</v>
      </c>
      <c r="B11" t="str">
        <f>IF(ISERROR(VLOOKUP(T_Cuotas[[#This Row],[RUN]],T_Voluntarios[],3,FALSE)),"No Existe",VLOOKUP(T_Cuotas[[#This Row],[RUN]],T_Voluntarios[],3,FALSE))</f>
        <v>Alejandro Antonio Quezada Huenchunao</v>
      </c>
      <c r="C11" s="5">
        <f>IF(ISERROR(VLOOKUP(T_Cuotas[[#This Row],[RUN]],Tabla_Pagos[],7,FALSE)),0,VLOOKUP(T_Cuotas[[#This Row],[RUN]],Tabla_Pagos[],7,FALSE))</f>
        <v>20000</v>
      </c>
      <c r="D11" s="5">
        <f>IF(ISERROR(VLOOKUP(T_Cuotas[[#This Row],[RUN]],Tabla_Pagos[],8,FALSE)),0,VLOOKUP(T_Cuotas[[#This Row],[RUN]],Tabla_Pagos[],8,FALSE))</f>
        <v>15000</v>
      </c>
      <c r="E11" s="5">
        <f>IF(ISERROR(VLOOKUP(T_Cuotas[[#This Row],[RUN]],Tabla_Pagos[],9,FALSE)),0,VLOOKUP(T_Cuotas[[#This Row],[RUN]],Tabla_Pagos[],9,FALSE))</f>
        <v>15000</v>
      </c>
      <c r="F11" s="5">
        <f>T_Cuotas[[#This Row],[Cuota_1]]+T_Cuotas[[#This Row],[Cuota_2]]+T_Cuotas[[#This Row],[Cuota_3]]</f>
        <v>50000</v>
      </c>
      <c r="G11" s="1">
        <f>COUNTIF(T_Cuotas[RUN],T_Cuotas[[#This Row],[RUN]])</f>
        <v>1</v>
      </c>
      <c r="H11" s="5" t="str">
        <f>IF(ISERROR(VLOOKUP(T_Cuotas[[#This Row],[RUN]],T_Voluntarios[],2,FALSE)),"No Existe",VLOOKUP(T_Cuotas[[#This Row],[RUN]],T_Voluntarios[],2,FALSE))</f>
        <v>alejandroquezadacontacto@gmail.com</v>
      </c>
      <c r="I11" s="5"/>
      <c r="J11" s="5" t="str">
        <f>IF(ISERROR(VLOOKUP(T_Cuotas[[#This Row],[RUN]],T_Voluntarios[],8,FALSE)),"No Existe",VLOOKUP(T_Cuotas[[#This Row],[RUN]],T_Voluntarios[],8,FALSE))</f>
        <v>+56933932949</v>
      </c>
      <c r="K11" s="5" t="str">
        <f>IF(ISERROR(VLOOKUP(T_Cuotas[[#This Row],[RUN]],T_Voluntarios[],10,FALSE)),"No Existe",VLOOKUP(T_Cuotas[[#This Row],[RUN]],T_Voluntarios[],10,FALSE))</f>
        <v>Mahuidanche</v>
      </c>
      <c r="L11" s="5" t="str">
        <f>IF(ISERROR(VLOOKUP(T_Cuotas[[#This Row],[RUN]],T_Voluntarios[],30,FALSE)),"No Existe",VLOOKUP(T_Cuotas[[#This Row],[RUN]],T_Voluntarios[],30,FALSE))</f>
        <v>Vigente</v>
      </c>
      <c r="M11" s="5" t="str">
        <f>IF(ISERROR(VLOOKUP(T_Cuotas[[#This Row],[RUN]],T_Voluntarios[],13,FALSE)),"No Existe",VLOOKUP(T_Cuotas[[#This Row],[RUN]],T_Voluntarios[],13,FALSE))</f>
        <v>Alimentación Tradicional</v>
      </c>
    </row>
    <row r="12" spans="1:13" x14ac:dyDescent="0.3">
      <c r="A12" s="2" t="s">
        <v>815</v>
      </c>
      <c r="B12" t="str">
        <f>IF(ISERROR(VLOOKUP(T_Cuotas[[#This Row],[RUN]],T_Voluntarios[],3,FALSE)),"No Existe",VLOOKUP(T_Cuotas[[#This Row],[RUN]],T_Voluntarios[],3,FALSE))</f>
        <v>Gonzalo Peña Sandoval</v>
      </c>
      <c r="C12" s="5">
        <f>IF(ISERROR(VLOOKUP(T_Cuotas[[#This Row],[RUN]],Tabla_Pagos[],7,FALSE)),0,VLOOKUP(T_Cuotas[[#This Row],[RUN]],Tabla_Pagos[],7,FALSE))</f>
        <v>20000</v>
      </c>
      <c r="D12" s="5">
        <f>IF(ISERROR(VLOOKUP(T_Cuotas[[#This Row],[RUN]],Tabla_Pagos[],8,FALSE)),0,VLOOKUP(T_Cuotas[[#This Row],[RUN]],Tabla_Pagos[],8,FALSE))</f>
        <v>15000</v>
      </c>
      <c r="E12" s="5">
        <f>IF(ISERROR(VLOOKUP(T_Cuotas[[#This Row],[RUN]],Tabla_Pagos[],9,FALSE)),0,VLOOKUP(T_Cuotas[[#This Row],[RUN]],Tabla_Pagos[],9,FALSE))</f>
        <v>15000</v>
      </c>
      <c r="F12" s="5">
        <f>T_Cuotas[[#This Row],[Cuota_1]]+T_Cuotas[[#This Row],[Cuota_2]]+T_Cuotas[[#This Row],[Cuota_3]]</f>
        <v>50000</v>
      </c>
      <c r="G12" s="1">
        <f>COUNTIF(T_Cuotas[RUN],T_Cuotas[[#This Row],[RUN]])</f>
        <v>1</v>
      </c>
      <c r="H12" s="5" t="str">
        <f>IF(ISERROR(VLOOKUP(T_Cuotas[[#This Row],[RUN]],T_Voluntarios[],2,FALSE)),"No Existe",VLOOKUP(T_Cuotas[[#This Row],[RUN]],T_Voluntarios[],2,FALSE))</f>
        <v>gonza.sandovalito@gmail.com</v>
      </c>
      <c r="I12" s="5"/>
      <c r="J12" s="5" t="str">
        <f>IF(ISERROR(VLOOKUP(T_Cuotas[[#This Row],[RUN]],T_Voluntarios[],8,FALSE)),"No Existe",VLOOKUP(T_Cuotas[[#This Row],[RUN]],T_Voluntarios[],8,FALSE))</f>
        <v>+56974531813</v>
      </c>
      <c r="K12" s="5" t="str">
        <f>IF(ISERROR(VLOOKUP(T_Cuotas[[#This Row],[RUN]],T_Voluntarios[],10,FALSE)),"No Existe",VLOOKUP(T_Cuotas[[#This Row],[RUN]],T_Voluntarios[],10,FALSE))</f>
        <v>Helen Keller</v>
      </c>
      <c r="L12" s="5" t="str">
        <f>IF(ISERROR(VLOOKUP(T_Cuotas[[#This Row],[RUN]],T_Voluntarios[],30,FALSE)),"No Existe",VLOOKUP(T_Cuotas[[#This Row],[RUN]],T_Voluntarios[],30,FALSE))</f>
        <v>Vigente</v>
      </c>
      <c r="M12" s="5" t="str">
        <f>IF(ISERROR(VLOOKUP(T_Cuotas[[#This Row],[RUN]],T_Voluntarios[],13,FALSE)),"No Existe",VLOOKUP(T_Cuotas[[#This Row],[RUN]],T_Voluntarios[],13,FALSE))</f>
        <v>Alimentación Tradicional</v>
      </c>
    </row>
    <row r="13" spans="1:13" hidden="1" x14ac:dyDescent="0.3">
      <c r="A13" s="2" t="s">
        <v>828</v>
      </c>
      <c r="B13" t="str">
        <f>IF(ISERROR(VLOOKUP(T_Cuotas[[#This Row],[RUN]],T_Voluntarios[],3,FALSE)),"No Existe",VLOOKUP(T_Cuotas[[#This Row],[RUN]],T_Voluntarios[],3,FALSE))</f>
        <v>Esteban Gustavo Ortiz Pezo</v>
      </c>
      <c r="C13" s="5">
        <f>IF(ISERROR(VLOOKUP(T_Cuotas[[#This Row],[RUN]],Tabla_Pagos[],7,FALSE)),0,VLOOKUP(T_Cuotas[[#This Row],[RUN]],Tabla_Pagos[],7,FALSE))</f>
        <v>0</v>
      </c>
      <c r="D13" s="5">
        <f>IF(ISERROR(VLOOKUP(T_Cuotas[[#This Row],[RUN]],Tabla_Pagos[],8,FALSE)),0,VLOOKUP(T_Cuotas[[#This Row],[RUN]],Tabla_Pagos[],8,FALSE))</f>
        <v>0</v>
      </c>
      <c r="E13" s="5">
        <f>IF(ISERROR(VLOOKUP(T_Cuotas[[#This Row],[RUN]],Tabla_Pagos[],9,FALSE)),0,VLOOKUP(T_Cuotas[[#This Row],[RUN]],Tabla_Pagos[],9,FALSE))</f>
        <v>0</v>
      </c>
      <c r="F13" s="5">
        <f>T_Cuotas[[#This Row],[Cuota_1]]+T_Cuotas[[#This Row],[Cuota_2]]+T_Cuotas[[#This Row],[Cuota_3]]</f>
        <v>0</v>
      </c>
      <c r="G13" s="1">
        <f>COUNTIF(T_Cuotas[RUN],T_Cuotas[[#This Row],[RUN]])</f>
        <v>1</v>
      </c>
      <c r="H13" s="5" t="str">
        <f>IF(ISERROR(VLOOKUP(T_Cuotas[[#This Row],[RUN]],T_Voluntarios[],2,FALSE)),"No Existe",VLOOKUP(T_Cuotas[[#This Row],[RUN]],T_Voluntarios[],2,FALSE))</f>
        <v>estebangop@gmail.com</v>
      </c>
      <c r="I13" s="5"/>
      <c r="J13" s="5" t="str">
        <f>IF(ISERROR(VLOOKUP(T_Cuotas[[#This Row],[RUN]],T_Voluntarios[],8,FALSE)),"No Existe",VLOOKUP(T_Cuotas[[#This Row],[RUN]],T_Voluntarios[],8,FALSE))</f>
        <v>+56964856859</v>
      </c>
      <c r="K13" s="5" t="str">
        <f>IF(ISERROR(VLOOKUP(T_Cuotas[[#This Row],[RUN]],T_Voluntarios[],10,FALSE)),"No Existe",VLOOKUP(T_Cuotas[[#This Row],[RUN]],T_Voluntarios[],10,FALSE))</f>
        <v>Rañileufu</v>
      </c>
      <c r="L13" s="5" t="str">
        <f>IF(ISERROR(VLOOKUP(T_Cuotas[[#This Row],[RUN]],T_Voluntarios[],30,FALSE)),"No Existe",VLOOKUP(T_Cuotas[[#This Row],[RUN]],T_Voluntarios[],30,FALSE))</f>
        <v>NO Vigente</v>
      </c>
      <c r="M13" s="5" t="str">
        <f>IF(ISERROR(VLOOKUP(T_Cuotas[[#This Row],[RUN]],T_Voluntarios[],13,FALSE)),"No Existe",VLOOKUP(T_Cuotas[[#This Row],[RUN]],T_Voluntarios[],13,FALSE))</f>
        <v>Alimentación Tradicional</v>
      </c>
    </row>
    <row r="14" spans="1:13" x14ac:dyDescent="0.3">
      <c r="A14" s="2" t="s">
        <v>838</v>
      </c>
      <c r="B14" t="str">
        <f>IF(ISERROR(VLOOKUP(T_Cuotas[[#This Row],[RUN]],T_Voluntarios[],3,FALSE)),"No Existe",VLOOKUP(T_Cuotas[[#This Row],[RUN]],T_Voluntarios[],3,FALSE))</f>
        <v>Benjamin Ignacio Herrera Acevedo</v>
      </c>
      <c r="C14" s="5">
        <f>IF(ISERROR(VLOOKUP(T_Cuotas[[#This Row],[RUN]],Tabla_Pagos[],7,FALSE)),0,VLOOKUP(T_Cuotas[[#This Row],[RUN]],Tabla_Pagos[],7,FALSE))</f>
        <v>20000</v>
      </c>
      <c r="D14" s="5">
        <f>IF(ISERROR(VLOOKUP(T_Cuotas[[#This Row],[RUN]],Tabla_Pagos[],8,FALSE)),0,VLOOKUP(T_Cuotas[[#This Row],[RUN]],Tabla_Pagos[],8,FALSE))</f>
        <v>15000</v>
      </c>
      <c r="E14" s="5">
        <f>IF(ISERROR(VLOOKUP(T_Cuotas[[#This Row],[RUN]],Tabla_Pagos[],9,FALSE)),0,VLOOKUP(T_Cuotas[[#This Row],[RUN]],Tabla_Pagos[],9,FALSE))</f>
        <v>15000</v>
      </c>
      <c r="F14" s="5">
        <f>T_Cuotas[[#This Row],[Cuota_1]]+T_Cuotas[[#This Row],[Cuota_2]]+T_Cuotas[[#This Row],[Cuota_3]]</f>
        <v>50000</v>
      </c>
      <c r="G14" s="1">
        <f>COUNTIF(T_Cuotas[RUN],T_Cuotas[[#This Row],[RUN]])</f>
        <v>1</v>
      </c>
      <c r="H14" s="5" t="str">
        <f>IF(ISERROR(VLOOKUP(T_Cuotas[[#This Row],[RUN]],T_Voluntarios[],2,FALSE)),"No Existe",VLOOKUP(T_Cuotas[[#This Row],[RUN]],T_Voluntarios[],2,FALSE))</f>
        <v>chaminherrera2.3@gmail.com</v>
      </c>
      <c r="I14" s="5"/>
      <c r="J14" s="5" t="str">
        <f>IF(ISERROR(VLOOKUP(T_Cuotas[[#This Row],[RUN]],T_Voluntarios[],8,FALSE)),"No Existe",VLOOKUP(T_Cuotas[[#This Row],[RUN]],T_Voluntarios[],8,FALSE))</f>
        <v>+56949310990</v>
      </c>
      <c r="K14" s="5" t="str">
        <f>IF(ISERROR(VLOOKUP(T_Cuotas[[#This Row],[RUN]],T_Voluntarios[],10,FALSE)),"No Existe",VLOOKUP(T_Cuotas[[#This Row],[RUN]],T_Voluntarios[],10,FALSE))</f>
        <v>Salesianos Concepción</v>
      </c>
      <c r="L14" s="5" t="str">
        <f>IF(ISERROR(VLOOKUP(T_Cuotas[[#This Row],[RUN]],T_Voluntarios[],30,FALSE)),"No Existe",VLOOKUP(T_Cuotas[[#This Row],[RUN]],T_Voluntarios[],30,FALSE))</f>
        <v>Vigente</v>
      </c>
      <c r="M14" s="5" t="str">
        <f>IF(ISERROR(VLOOKUP(T_Cuotas[[#This Row],[RUN]],T_Voluntarios[],13,FALSE)),"No Existe",VLOOKUP(T_Cuotas[[#This Row],[RUN]],T_Voluntarios[],13,FALSE))</f>
        <v>Alimentación Tradicional</v>
      </c>
    </row>
    <row r="15" spans="1:13" hidden="1" x14ac:dyDescent="0.3">
      <c r="A15" s="2" t="s">
        <v>851</v>
      </c>
      <c r="B15" t="str">
        <f>IF(ISERROR(VLOOKUP(T_Cuotas[[#This Row],[RUN]],T_Voluntarios[],3,FALSE)),"No Existe",VLOOKUP(T_Cuotas[[#This Row],[RUN]],T_Voluntarios[],3,FALSE))</f>
        <v>Nicolás Ignacio Villanueva Parodi</v>
      </c>
      <c r="C15" s="5">
        <f>IF(ISERROR(VLOOKUP(T_Cuotas[[#This Row],[RUN]],Tabla_Pagos[],7,FALSE)),0,VLOOKUP(T_Cuotas[[#This Row],[RUN]],Tabla_Pagos[],7,FALSE))</f>
        <v>0</v>
      </c>
      <c r="D15" s="5">
        <f>IF(ISERROR(VLOOKUP(T_Cuotas[[#This Row],[RUN]],Tabla_Pagos[],8,FALSE)),0,VLOOKUP(T_Cuotas[[#This Row],[RUN]],Tabla_Pagos[],8,FALSE))</f>
        <v>0</v>
      </c>
      <c r="E15" s="5">
        <f>IF(ISERROR(VLOOKUP(T_Cuotas[[#This Row],[RUN]],Tabla_Pagos[],9,FALSE)),0,VLOOKUP(T_Cuotas[[#This Row],[RUN]],Tabla_Pagos[],9,FALSE))</f>
        <v>0</v>
      </c>
      <c r="F15" s="5">
        <f>T_Cuotas[[#This Row],[Cuota_1]]+T_Cuotas[[#This Row],[Cuota_2]]+T_Cuotas[[#This Row],[Cuota_3]]</f>
        <v>0</v>
      </c>
      <c r="G15" s="1">
        <f>COUNTIF(T_Cuotas[RUN],T_Cuotas[[#This Row],[RUN]])</f>
        <v>1</v>
      </c>
      <c r="H15" s="5" t="str">
        <f>IF(ISERROR(VLOOKUP(T_Cuotas[[#This Row],[RUN]],T_Voluntarios[],2,FALSE)),"No Existe",VLOOKUP(T_Cuotas[[#This Row],[RUN]],T_Voluntarios[],2,FALSE))</f>
        <v>niigvipa@gmail.com</v>
      </c>
      <c r="I15" s="5"/>
      <c r="J15" s="5" t="str">
        <f>IF(ISERROR(VLOOKUP(T_Cuotas[[#This Row],[RUN]],T_Voluntarios[],8,FALSE)),"No Existe",VLOOKUP(T_Cuotas[[#This Row],[RUN]],T_Voluntarios[],8,FALSE))</f>
        <v>+56957805108</v>
      </c>
      <c r="K15" s="5" t="str">
        <f>IF(ISERROR(VLOOKUP(T_Cuotas[[#This Row],[RUN]],T_Voluntarios[],10,FALSE)),"No Existe",VLOOKUP(T_Cuotas[[#This Row],[RUN]],T_Voluntarios[],10,FALSE))</f>
        <v>Alfa Cruz</v>
      </c>
      <c r="L15" s="5" t="str">
        <f>IF(ISERROR(VLOOKUP(T_Cuotas[[#This Row],[RUN]],T_Voluntarios[],30,FALSE)),"No Existe",VLOOKUP(T_Cuotas[[#This Row],[RUN]],T_Voluntarios[],30,FALSE))</f>
        <v>NO Vigente</v>
      </c>
      <c r="M15" s="5" t="str">
        <f>IF(ISERROR(VLOOKUP(T_Cuotas[[#This Row],[RUN]],T_Voluntarios[],13,FALSE)),"No Existe",VLOOKUP(T_Cuotas[[#This Row],[RUN]],T_Voluntarios[],13,FALSE))</f>
        <v>Sin Almuerzo</v>
      </c>
    </row>
    <row r="16" spans="1:13" x14ac:dyDescent="0.3">
      <c r="A16" s="2" t="s">
        <v>860</v>
      </c>
      <c r="B16" t="str">
        <f>IF(ISERROR(VLOOKUP(T_Cuotas[[#This Row],[RUN]],T_Voluntarios[],3,FALSE)),"No Existe",VLOOKUP(T_Cuotas[[#This Row],[RUN]],T_Voluntarios[],3,FALSE))</f>
        <v>Ignacio Antonio González Carrasco</v>
      </c>
      <c r="C16" s="5">
        <f>IF(ISERROR(VLOOKUP(T_Cuotas[[#This Row],[RUN]],Tabla_Pagos[],7,FALSE)),0,VLOOKUP(T_Cuotas[[#This Row],[RUN]],Tabla_Pagos[],7,FALSE))</f>
        <v>20000</v>
      </c>
      <c r="D16" s="5">
        <f>IF(ISERROR(VLOOKUP(T_Cuotas[[#This Row],[RUN]],Tabla_Pagos[],8,FALSE)),0,VLOOKUP(T_Cuotas[[#This Row],[RUN]],Tabla_Pagos[],8,FALSE))</f>
        <v>15000</v>
      </c>
      <c r="E16" s="5">
        <f>IF(ISERROR(VLOOKUP(T_Cuotas[[#This Row],[RUN]],Tabla_Pagos[],9,FALSE)),0,VLOOKUP(T_Cuotas[[#This Row],[RUN]],Tabla_Pagos[],9,FALSE))</f>
        <v>15000</v>
      </c>
      <c r="F16" s="5">
        <f>T_Cuotas[[#This Row],[Cuota_1]]+T_Cuotas[[#This Row],[Cuota_2]]+T_Cuotas[[#This Row],[Cuota_3]]</f>
        <v>50000</v>
      </c>
      <c r="G16" s="1">
        <f>COUNTIF(T_Cuotas[RUN],T_Cuotas[[#This Row],[RUN]])</f>
        <v>1</v>
      </c>
      <c r="H16" s="5" t="str">
        <f>IF(ISERROR(VLOOKUP(T_Cuotas[[#This Row],[RUN]],T_Voluntarios[],2,FALSE)),"No Existe",VLOOKUP(T_Cuotas[[#This Row],[RUN]],T_Voluntarios[],2,FALSE))</f>
        <v>nachogoncar02@gmail.com</v>
      </c>
      <c r="I16" s="5"/>
      <c r="J16" s="5" t="str">
        <f>IF(ISERROR(VLOOKUP(T_Cuotas[[#This Row],[RUN]],T_Voluntarios[],8,FALSE)),"No Existe",VLOOKUP(T_Cuotas[[#This Row],[RUN]],T_Voluntarios[],8,FALSE))</f>
        <v>+56953133620</v>
      </c>
      <c r="K16" s="5" t="str">
        <f>IF(ISERROR(VLOOKUP(T_Cuotas[[#This Row],[RUN]],T_Voluntarios[],10,FALSE)),"No Existe",VLOOKUP(T_Cuotas[[#This Row],[RUN]],T_Voluntarios[],10,FALSE))</f>
        <v>Salesianos Concepción</v>
      </c>
      <c r="L16" s="5" t="str">
        <f>IF(ISERROR(VLOOKUP(T_Cuotas[[#This Row],[RUN]],T_Voluntarios[],30,FALSE)),"No Existe",VLOOKUP(T_Cuotas[[#This Row],[RUN]],T_Voluntarios[],30,FALSE))</f>
        <v>Vigente</v>
      </c>
      <c r="M16" s="5" t="str">
        <f>IF(ISERROR(VLOOKUP(T_Cuotas[[#This Row],[RUN]],T_Voluntarios[],13,FALSE)),"No Existe",VLOOKUP(T_Cuotas[[#This Row],[RUN]],T_Voluntarios[],13,FALSE))</f>
        <v>Alimentación Tradicional</v>
      </c>
    </row>
    <row r="17" spans="1:13" x14ac:dyDescent="0.3">
      <c r="A17" s="2" t="s">
        <v>871</v>
      </c>
      <c r="B17" t="str">
        <f>IF(ISERROR(VLOOKUP(T_Cuotas[[#This Row],[RUN]],T_Voluntarios[],3,FALSE)),"No Existe",VLOOKUP(T_Cuotas[[#This Row],[RUN]],T_Voluntarios[],3,FALSE))</f>
        <v>Carla Andrea Contreras Calderon</v>
      </c>
      <c r="C17" s="5">
        <f>IF(ISERROR(VLOOKUP(T_Cuotas[[#This Row],[RUN]],Tabla_Pagos[],7,FALSE)),0,VLOOKUP(T_Cuotas[[#This Row],[RUN]],Tabla_Pagos[],7,FALSE))</f>
        <v>20000</v>
      </c>
      <c r="D17" s="5">
        <f>IF(ISERROR(VLOOKUP(T_Cuotas[[#This Row],[RUN]],Tabla_Pagos[],8,FALSE)),0,VLOOKUP(T_Cuotas[[#This Row],[RUN]],Tabla_Pagos[],8,FALSE))</f>
        <v>15000</v>
      </c>
      <c r="E17" s="5">
        <f>IF(ISERROR(VLOOKUP(T_Cuotas[[#This Row],[RUN]],Tabla_Pagos[],9,FALSE)),0,VLOOKUP(T_Cuotas[[#This Row],[RUN]],Tabla_Pagos[],9,FALSE))</f>
        <v>15000</v>
      </c>
      <c r="F17" s="5">
        <f>T_Cuotas[[#This Row],[Cuota_1]]+T_Cuotas[[#This Row],[Cuota_2]]+T_Cuotas[[#This Row],[Cuota_3]]</f>
        <v>50000</v>
      </c>
      <c r="G17" s="1">
        <f>COUNTIF(T_Cuotas[RUN],T_Cuotas[[#This Row],[RUN]])</f>
        <v>1</v>
      </c>
      <c r="H17" s="5" t="str">
        <f>IF(ISERROR(VLOOKUP(T_Cuotas[[#This Row],[RUN]],T_Voluntarios[],2,FALSE)),"No Existe",VLOOKUP(T_Cuotas[[#This Row],[RUN]],T_Voluntarios[],2,FALSE))</f>
        <v>carlacontreras424@gmail.com</v>
      </c>
      <c r="I17" s="5"/>
      <c r="J17" s="5" t="str">
        <f>IF(ISERROR(VLOOKUP(T_Cuotas[[#This Row],[RUN]],T_Voluntarios[],8,FALSE)),"No Existe",VLOOKUP(T_Cuotas[[#This Row],[RUN]],T_Voluntarios[],8,FALSE))</f>
        <v>+56982309761</v>
      </c>
      <c r="K17" s="5" t="str">
        <f>IF(ISERROR(VLOOKUP(T_Cuotas[[#This Row],[RUN]],T_Voluntarios[],10,FALSE)),"No Existe",VLOOKUP(T_Cuotas[[#This Row],[RUN]],T_Voluntarios[],10,FALSE))</f>
        <v>Nuestra señora del pilar</v>
      </c>
      <c r="L17" s="5" t="str">
        <f>IF(ISERROR(VLOOKUP(T_Cuotas[[#This Row],[RUN]],T_Voluntarios[],30,FALSE)),"No Existe",VLOOKUP(T_Cuotas[[#This Row],[RUN]],T_Voluntarios[],30,FALSE))</f>
        <v>Vigente</v>
      </c>
      <c r="M17" s="5" t="str">
        <f>IF(ISERROR(VLOOKUP(T_Cuotas[[#This Row],[RUN]],T_Voluntarios[],13,FALSE)),"No Existe",VLOOKUP(T_Cuotas[[#This Row],[RUN]],T_Voluntarios[],13,FALSE))</f>
        <v>Alimentación Tradicional</v>
      </c>
    </row>
    <row r="18" spans="1:13" x14ac:dyDescent="0.3">
      <c r="A18" s="2" t="s">
        <v>884</v>
      </c>
      <c r="B18" t="str">
        <f>IF(ISERROR(VLOOKUP(T_Cuotas[[#This Row],[RUN]],T_Voluntarios[],3,FALSE)),"No Existe",VLOOKUP(T_Cuotas[[#This Row],[RUN]],T_Voluntarios[],3,FALSE))</f>
        <v>Natalie Magdalena Sepulveda Gomez</v>
      </c>
      <c r="C18" s="5">
        <f>IF(ISERROR(VLOOKUP(T_Cuotas[[#This Row],[RUN]],Tabla_Pagos[],7,FALSE)),0,VLOOKUP(T_Cuotas[[#This Row],[RUN]],Tabla_Pagos[],7,FALSE))</f>
        <v>20000</v>
      </c>
      <c r="D18" s="5">
        <f>IF(ISERROR(VLOOKUP(T_Cuotas[[#This Row],[RUN]],Tabla_Pagos[],8,FALSE)),0,VLOOKUP(T_Cuotas[[#This Row],[RUN]],Tabla_Pagos[],8,FALSE))</f>
        <v>15000</v>
      </c>
      <c r="E18" s="5">
        <f>IF(ISERROR(VLOOKUP(T_Cuotas[[#This Row],[RUN]],Tabla_Pagos[],9,FALSE)),0,VLOOKUP(T_Cuotas[[#This Row],[RUN]],Tabla_Pagos[],9,FALSE))</f>
        <v>15000</v>
      </c>
      <c r="F18" s="5">
        <f>T_Cuotas[[#This Row],[Cuota_1]]+T_Cuotas[[#This Row],[Cuota_2]]+T_Cuotas[[#This Row],[Cuota_3]]</f>
        <v>50000</v>
      </c>
      <c r="G18" s="1">
        <f>COUNTIF(T_Cuotas[RUN],T_Cuotas[[#This Row],[RUN]])</f>
        <v>1</v>
      </c>
      <c r="H18" s="5" t="str">
        <f>IF(ISERROR(VLOOKUP(T_Cuotas[[#This Row],[RUN]],T_Voluntarios[],2,FALSE)),"No Existe",VLOOKUP(T_Cuotas[[#This Row],[RUN]],T_Voluntarios[],2,FALSE))</f>
        <v>natimsg@gmail.com</v>
      </c>
      <c r="I18" s="5"/>
      <c r="J18" s="5" t="str">
        <f>IF(ISERROR(VLOOKUP(T_Cuotas[[#This Row],[RUN]],T_Voluntarios[],8,FALSE)),"No Existe",VLOOKUP(T_Cuotas[[#This Row],[RUN]],T_Voluntarios[],8,FALSE))</f>
        <v>+56969084323</v>
      </c>
      <c r="K18" s="5" t="str">
        <f>IF(ISERROR(VLOOKUP(T_Cuotas[[#This Row],[RUN]],T_Voluntarios[],10,FALSE)),"No Existe",VLOOKUP(T_Cuotas[[#This Row],[RUN]],T_Voluntarios[],10,FALSE))</f>
        <v>Nuestra señora del pilar</v>
      </c>
      <c r="L18" s="5" t="str">
        <f>IF(ISERROR(VLOOKUP(T_Cuotas[[#This Row],[RUN]],T_Voluntarios[],30,FALSE)),"No Existe",VLOOKUP(T_Cuotas[[#This Row],[RUN]],T_Voluntarios[],30,FALSE))</f>
        <v>Vigente</v>
      </c>
      <c r="M18" s="5" t="str">
        <f>IF(ISERROR(VLOOKUP(T_Cuotas[[#This Row],[RUN]],T_Voluntarios[],13,FALSE)),"No Existe",VLOOKUP(T_Cuotas[[#This Row],[RUN]],T_Voluntarios[],13,FALSE))</f>
        <v>Alimentación Tradicional</v>
      </c>
    </row>
    <row r="19" spans="1:13" x14ac:dyDescent="0.3">
      <c r="A19" s="2" t="s">
        <v>894</v>
      </c>
      <c r="B19" t="str">
        <f>IF(ISERROR(VLOOKUP(T_Cuotas[[#This Row],[RUN]],T_Voluntarios[],3,FALSE)),"No Existe",VLOOKUP(T_Cuotas[[#This Row],[RUN]],T_Voluntarios[],3,FALSE))</f>
        <v>Renato Andres Santibañez Yevilao</v>
      </c>
      <c r="C19" s="5">
        <f>IF(ISERROR(VLOOKUP(T_Cuotas[[#This Row],[RUN]],Tabla_Pagos[],7,FALSE)),0,VLOOKUP(T_Cuotas[[#This Row],[RUN]],Tabla_Pagos[],7,FALSE))</f>
        <v>20000</v>
      </c>
      <c r="D19" s="5">
        <f>IF(ISERROR(VLOOKUP(T_Cuotas[[#This Row],[RUN]],Tabla_Pagos[],8,FALSE)),0,VLOOKUP(T_Cuotas[[#This Row],[RUN]],Tabla_Pagos[],8,FALSE))</f>
        <v>15000</v>
      </c>
      <c r="E19" s="5">
        <f>IF(ISERROR(VLOOKUP(T_Cuotas[[#This Row],[RUN]],Tabla_Pagos[],9,FALSE)),0,VLOOKUP(T_Cuotas[[#This Row],[RUN]],Tabla_Pagos[],9,FALSE))</f>
        <v>15000</v>
      </c>
      <c r="F19" s="5">
        <f>T_Cuotas[[#This Row],[Cuota_1]]+T_Cuotas[[#This Row],[Cuota_2]]+T_Cuotas[[#This Row],[Cuota_3]]</f>
        <v>50000</v>
      </c>
      <c r="G19" s="1">
        <f>COUNTIF(T_Cuotas[RUN],T_Cuotas[[#This Row],[RUN]])</f>
        <v>1</v>
      </c>
      <c r="H19" s="5" t="str">
        <f>IF(ISERROR(VLOOKUP(T_Cuotas[[#This Row],[RUN]],T_Voluntarios[],2,FALSE)),"No Existe",VLOOKUP(T_Cuotas[[#This Row],[RUN]],T_Voluntarios[],2,FALSE))</f>
        <v>renatoandresantibanezy@gmail.com</v>
      </c>
      <c r="I19" s="5"/>
      <c r="J19" s="5" t="str">
        <f>IF(ISERROR(VLOOKUP(T_Cuotas[[#This Row],[RUN]],T_Voluntarios[],8,FALSE)),"No Existe",VLOOKUP(T_Cuotas[[#This Row],[RUN]],T_Voluntarios[],8,FALSE))</f>
        <v>+56934950948</v>
      </c>
      <c r="K19" s="5" t="str">
        <f>IF(ISERROR(VLOOKUP(T_Cuotas[[#This Row],[RUN]],T_Voluntarios[],10,FALSE)),"No Existe",VLOOKUP(T_Cuotas[[#This Row],[RUN]],T_Voluntarios[],10,FALSE))</f>
        <v>Salesianos Concepción</v>
      </c>
      <c r="L19" s="5" t="str">
        <f>IF(ISERROR(VLOOKUP(T_Cuotas[[#This Row],[RUN]],T_Voluntarios[],30,FALSE)),"No Existe",VLOOKUP(T_Cuotas[[#This Row],[RUN]],T_Voluntarios[],30,FALSE))</f>
        <v>Vigente</v>
      </c>
      <c r="M19" s="5" t="str">
        <f>IF(ISERROR(VLOOKUP(T_Cuotas[[#This Row],[RUN]],T_Voluntarios[],13,FALSE)),"No Existe",VLOOKUP(T_Cuotas[[#This Row],[RUN]],T_Voluntarios[],13,FALSE))</f>
        <v>Alimentación Tradicional</v>
      </c>
    </row>
    <row r="20" spans="1:13" x14ac:dyDescent="0.3">
      <c r="A20" s="2" t="s">
        <v>907</v>
      </c>
      <c r="B20" t="str">
        <f>IF(ISERROR(VLOOKUP(T_Cuotas[[#This Row],[RUN]],T_Voluntarios[],3,FALSE)),"No Existe",VLOOKUP(T_Cuotas[[#This Row],[RUN]],T_Voluntarios[],3,FALSE))</f>
        <v>José Ignacio Aravena Navarrete</v>
      </c>
      <c r="C20" s="5">
        <f>IF(ISERROR(VLOOKUP(T_Cuotas[[#This Row],[RUN]],Tabla_Pagos[],7,FALSE)),0,VLOOKUP(T_Cuotas[[#This Row],[RUN]],Tabla_Pagos[],7,FALSE))</f>
        <v>20000</v>
      </c>
      <c r="D20" s="5">
        <f>IF(ISERROR(VLOOKUP(T_Cuotas[[#This Row],[RUN]],Tabla_Pagos[],8,FALSE)),0,VLOOKUP(T_Cuotas[[#This Row],[RUN]],Tabla_Pagos[],8,FALSE))</f>
        <v>15000</v>
      </c>
      <c r="E20" s="5">
        <f>IF(ISERROR(VLOOKUP(T_Cuotas[[#This Row],[RUN]],Tabla_Pagos[],9,FALSE)),0,VLOOKUP(T_Cuotas[[#This Row],[RUN]],Tabla_Pagos[],9,FALSE))</f>
        <v>15000</v>
      </c>
      <c r="F20" s="5">
        <f>T_Cuotas[[#This Row],[Cuota_1]]+T_Cuotas[[#This Row],[Cuota_2]]+T_Cuotas[[#This Row],[Cuota_3]]</f>
        <v>50000</v>
      </c>
      <c r="G20" s="1">
        <f>COUNTIF(T_Cuotas[RUN],T_Cuotas[[#This Row],[RUN]])</f>
        <v>1</v>
      </c>
      <c r="H20" s="5" t="str">
        <f>IF(ISERROR(VLOOKUP(T_Cuotas[[#This Row],[RUN]],T_Voluntarios[],2,FALSE)),"No Existe",VLOOKUP(T_Cuotas[[#This Row],[RUN]],T_Voluntarios[],2,FALSE))</f>
        <v>josearavenavarrete@gmail.com</v>
      </c>
      <c r="I20" s="5"/>
      <c r="J20" s="5" t="str">
        <f>IF(ISERROR(VLOOKUP(T_Cuotas[[#This Row],[RUN]],T_Voluntarios[],8,FALSE)),"No Existe",VLOOKUP(T_Cuotas[[#This Row],[RUN]],T_Voluntarios[],8,FALSE))</f>
        <v>+56965518943</v>
      </c>
      <c r="K20" s="5" t="str">
        <f>IF(ISERROR(VLOOKUP(T_Cuotas[[#This Row],[RUN]],T_Voluntarios[],10,FALSE)),"No Existe",VLOOKUP(T_Cuotas[[#This Row],[RUN]],T_Voluntarios[],10,FALSE))</f>
        <v>Salesianos Concepción</v>
      </c>
      <c r="L20" s="5" t="str">
        <f>IF(ISERROR(VLOOKUP(T_Cuotas[[#This Row],[RUN]],T_Voluntarios[],30,FALSE)),"No Existe",VLOOKUP(T_Cuotas[[#This Row],[RUN]],T_Voluntarios[],30,FALSE))</f>
        <v>Vigente</v>
      </c>
      <c r="M20" s="5" t="str">
        <f>IF(ISERROR(VLOOKUP(T_Cuotas[[#This Row],[RUN]],T_Voluntarios[],13,FALSE)),"No Existe",VLOOKUP(T_Cuotas[[#This Row],[RUN]],T_Voluntarios[],13,FALSE))</f>
        <v>Alimentación Vegetariana</v>
      </c>
    </row>
    <row r="21" spans="1:13" hidden="1" x14ac:dyDescent="0.3">
      <c r="A21" s="2" t="s">
        <v>919</v>
      </c>
      <c r="B21" t="str">
        <f>IF(ISERROR(VLOOKUP(T_Cuotas[[#This Row],[RUN]],T_Voluntarios[],3,FALSE)),"No Existe",VLOOKUP(T_Cuotas[[#This Row],[RUN]],T_Voluntarios[],3,FALSE))</f>
        <v>Livio Alfredo Carrasco Duran</v>
      </c>
      <c r="C21" s="5">
        <f>IF(ISERROR(VLOOKUP(T_Cuotas[[#This Row],[RUN]],Tabla_Pagos[],7,FALSE)),0,VLOOKUP(T_Cuotas[[#This Row],[RUN]],Tabla_Pagos[],7,FALSE))</f>
        <v>0</v>
      </c>
      <c r="D21" s="5">
        <f>IF(ISERROR(VLOOKUP(T_Cuotas[[#This Row],[RUN]],Tabla_Pagos[],8,FALSE)),0,VLOOKUP(T_Cuotas[[#This Row],[RUN]],Tabla_Pagos[],8,FALSE))</f>
        <v>0</v>
      </c>
      <c r="E21" s="5">
        <f>IF(ISERROR(VLOOKUP(T_Cuotas[[#This Row],[RUN]],Tabla_Pagos[],9,FALSE)),0,VLOOKUP(T_Cuotas[[#This Row],[RUN]],Tabla_Pagos[],9,FALSE))</f>
        <v>0</v>
      </c>
      <c r="F21" s="5">
        <f>T_Cuotas[[#This Row],[Cuota_1]]+T_Cuotas[[#This Row],[Cuota_2]]+T_Cuotas[[#This Row],[Cuota_3]]</f>
        <v>0</v>
      </c>
      <c r="G21" s="1">
        <f>COUNTIF(T_Cuotas[RUN],T_Cuotas[[#This Row],[RUN]])</f>
        <v>1</v>
      </c>
      <c r="H21" s="5" t="str">
        <f>IF(ISERROR(VLOOKUP(T_Cuotas[[#This Row],[RUN]],T_Voluntarios[],2,FALSE)),"No Existe",VLOOKUP(T_Cuotas[[#This Row],[RUN]],T_Voluntarios[],2,FALSE))</f>
        <v>liviocarrasco@gmail.com</v>
      </c>
      <c r="I21" s="5"/>
      <c r="J21" s="5" t="str">
        <f>IF(ISERROR(VLOOKUP(T_Cuotas[[#This Row],[RUN]],T_Voluntarios[],8,FALSE)),"No Existe",VLOOKUP(T_Cuotas[[#This Row],[RUN]],T_Voluntarios[],8,FALSE))</f>
        <v>+56988118402</v>
      </c>
      <c r="K21" s="5" t="str">
        <f>IF(ISERROR(VLOOKUP(T_Cuotas[[#This Row],[RUN]],T_Voluntarios[],10,FALSE)),"No Existe",VLOOKUP(T_Cuotas[[#This Row],[RUN]],T_Voluntarios[],10,FALSE))</f>
        <v>San Mateo</v>
      </c>
      <c r="L21" s="5" t="str">
        <f>IF(ISERROR(VLOOKUP(T_Cuotas[[#This Row],[RUN]],T_Voluntarios[],30,FALSE)),"No Existe",VLOOKUP(T_Cuotas[[#This Row],[RUN]],T_Voluntarios[],30,FALSE))</f>
        <v>NO Vigente</v>
      </c>
      <c r="M21" s="5" t="str">
        <f>IF(ISERROR(VLOOKUP(T_Cuotas[[#This Row],[RUN]],T_Voluntarios[],13,FALSE)),"No Existe",VLOOKUP(T_Cuotas[[#This Row],[RUN]],T_Voluntarios[],13,FALSE))</f>
        <v>Alimentación Tradicional</v>
      </c>
    </row>
    <row r="22" spans="1:13" x14ac:dyDescent="0.3">
      <c r="A22" s="2" t="s">
        <v>934</v>
      </c>
      <c r="B22" t="str">
        <f>IF(ISERROR(VLOOKUP(T_Cuotas[[#This Row],[RUN]],T_Voluntarios[],3,FALSE)),"No Existe",VLOOKUP(T_Cuotas[[#This Row],[RUN]],T_Voluntarios[],3,FALSE))</f>
        <v>Ana Erilda Peña Orellana</v>
      </c>
      <c r="C22" s="5">
        <f>IF(ISERROR(VLOOKUP(T_Cuotas[[#This Row],[RUN]],Tabla_Pagos[],7,FALSE)),0,VLOOKUP(T_Cuotas[[#This Row],[RUN]],Tabla_Pagos[],7,FALSE))</f>
        <v>20000</v>
      </c>
      <c r="D22" s="5">
        <f>IF(ISERROR(VLOOKUP(T_Cuotas[[#This Row],[RUN]],Tabla_Pagos[],8,FALSE)),0,VLOOKUP(T_Cuotas[[#This Row],[RUN]],Tabla_Pagos[],8,FALSE))</f>
        <v>15000</v>
      </c>
      <c r="E22" s="5">
        <f>IF(ISERROR(VLOOKUP(T_Cuotas[[#This Row],[RUN]],Tabla_Pagos[],9,FALSE)),0,VLOOKUP(T_Cuotas[[#This Row],[RUN]],Tabla_Pagos[],9,FALSE))</f>
        <v>15000</v>
      </c>
      <c r="F22" s="5">
        <f>T_Cuotas[[#This Row],[Cuota_1]]+T_Cuotas[[#This Row],[Cuota_2]]+T_Cuotas[[#This Row],[Cuota_3]]</f>
        <v>50000</v>
      </c>
      <c r="G22" s="1">
        <f>COUNTIF(T_Cuotas[RUN],T_Cuotas[[#This Row],[RUN]])</f>
        <v>1</v>
      </c>
      <c r="H22" s="5" t="str">
        <f>IF(ISERROR(VLOOKUP(T_Cuotas[[#This Row],[RUN]],T_Voluntarios[],2,FALSE)),"No Existe",VLOOKUP(T_Cuotas[[#This Row],[RUN]],T_Voluntarios[],2,FALSE))</f>
        <v>aneri15@gmail.com</v>
      </c>
      <c r="I22" s="5"/>
      <c r="J22" s="5" t="str">
        <f>IF(ISERROR(VLOOKUP(T_Cuotas[[#This Row],[RUN]],T_Voluntarios[],8,FALSE)),"No Existe",VLOOKUP(T_Cuotas[[#This Row],[RUN]],T_Voluntarios[],8,FALSE))</f>
        <v>+56989709230</v>
      </c>
      <c r="K22" s="5" t="str">
        <f>IF(ISERROR(VLOOKUP(T_Cuotas[[#This Row],[RUN]],T_Voluntarios[],10,FALSE)),"No Existe",VLOOKUP(T_Cuotas[[#This Row],[RUN]],T_Voluntarios[],10,FALSE))</f>
        <v>Aliwen kimün</v>
      </c>
      <c r="L22" s="5" t="str">
        <f>IF(ISERROR(VLOOKUP(T_Cuotas[[#This Row],[RUN]],T_Voluntarios[],30,FALSE)),"No Existe",VLOOKUP(T_Cuotas[[#This Row],[RUN]],T_Voluntarios[],30,FALSE))</f>
        <v>Vigente</v>
      </c>
      <c r="M22" s="5" t="str">
        <f>IF(ISERROR(VLOOKUP(T_Cuotas[[#This Row],[RUN]],T_Voluntarios[],13,FALSE)),"No Existe",VLOOKUP(T_Cuotas[[#This Row],[RUN]],T_Voluntarios[],13,FALSE))</f>
        <v>Alimentación Tradicional</v>
      </c>
    </row>
    <row r="23" spans="1:13" x14ac:dyDescent="0.3">
      <c r="A23" s="2" t="s">
        <v>948</v>
      </c>
      <c r="B23" t="str">
        <f>IF(ISERROR(VLOOKUP(T_Cuotas[[#This Row],[RUN]],T_Voluntarios[],3,FALSE)),"No Existe",VLOOKUP(T_Cuotas[[#This Row],[RUN]],T_Voluntarios[],3,FALSE))</f>
        <v>Francisco Javier Latorre Zuñiga</v>
      </c>
      <c r="C23" s="5">
        <f>IF(ISERROR(VLOOKUP(T_Cuotas[[#This Row],[RUN]],Tabla_Pagos[],7,FALSE)),0,VLOOKUP(T_Cuotas[[#This Row],[RUN]],Tabla_Pagos[],7,FALSE))</f>
        <v>20000</v>
      </c>
      <c r="D23" s="5">
        <f>IF(ISERROR(VLOOKUP(T_Cuotas[[#This Row],[RUN]],Tabla_Pagos[],8,FALSE)),0,VLOOKUP(T_Cuotas[[#This Row],[RUN]],Tabla_Pagos[],8,FALSE))</f>
        <v>15000</v>
      </c>
      <c r="E23" s="5">
        <f>IF(ISERROR(VLOOKUP(T_Cuotas[[#This Row],[RUN]],Tabla_Pagos[],9,FALSE)),0,VLOOKUP(T_Cuotas[[#This Row],[RUN]],Tabla_Pagos[],9,FALSE))</f>
        <v>15000</v>
      </c>
      <c r="F23" s="5">
        <f>T_Cuotas[[#This Row],[Cuota_1]]+T_Cuotas[[#This Row],[Cuota_2]]+T_Cuotas[[#This Row],[Cuota_3]]</f>
        <v>50000</v>
      </c>
      <c r="G23" s="1">
        <f>COUNTIF(T_Cuotas[RUN],T_Cuotas[[#This Row],[RUN]])</f>
        <v>1</v>
      </c>
      <c r="H23" s="5" t="str">
        <f>IF(ISERROR(VLOOKUP(T_Cuotas[[#This Row],[RUN]],T_Voluntarios[],2,FALSE)),"No Existe",VLOOKUP(T_Cuotas[[#This Row],[RUN]],T_Voluntarios[],2,FALSE))</f>
        <v>latorrefrancisco@gmail.com</v>
      </c>
      <c r="I23" s="5"/>
      <c r="J23" s="5" t="str">
        <f>IF(ISERROR(VLOOKUP(T_Cuotas[[#This Row],[RUN]],T_Voluntarios[],8,FALSE)),"No Existe",VLOOKUP(T_Cuotas[[#This Row],[RUN]],T_Voluntarios[],8,FALSE))</f>
        <v>+56995142816</v>
      </c>
      <c r="K23" s="5" t="str">
        <f>IF(ISERROR(VLOOKUP(T_Cuotas[[#This Row],[RUN]],T_Voluntarios[],10,FALSE)),"No Existe",VLOOKUP(T_Cuotas[[#This Row],[RUN]],T_Voluntarios[],10,FALSE))</f>
        <v>Rañileufu</v>
      </c>
      <c r="L23" s="5" t="str">
        <f>IF(ISERROR(VLOOKUP(T_Cuotas[[#This Row],[RUN]],T_Voluntarios[],30,FALSE)),"No Existe",VLOOKUP(T_Cuotas[[#This Row],[RUN]],T_Voluntarios[],30,FALSE))</f>
        <v>Vigente</v>
      </c>
      <c r="M23" s="5" t="str">
        <f>IF(ISERROR(VLOOKUP(T_Cuotas[[#This Row],[RUN]],T_Voluntarios[],13,FALSE)),"No Existe",VLOOKUP(T_Cuotas[[#This Row],[RUN]],T_Voluntarios[],13,FALSE))</f>
        <v>Alimentación Tradicional</v>
      </c>
    </row>
    <row r="24" spans="1:13" x14ac:dyDescent="0.3">
      <c r="A24" s="2" t="s">
        <v>957</v>
      </c>
      <c r="B24" t="str">
        <f>IF(ISERROR(VLOOKUP(T_Cuotas[[#This Row],[RUN]],T_Voluntarios[],3,FALSE)),"No Existe",VLOOKUP(T_Cuotas[[#This Row],[RUN]],T_Voluntarios[],3,FALSE))</f>
        <v>Sebastián Alejandro Pérez Serrano</v>
      </c>
      <c r="C24" s="5">
        <f>IF(ISERROR(VLOOKUP(T_Cuotas[[#This Row],[RUN]],Tabla_Pagos[],7,FALSE)),0,VLOOKUP(T_Cuotas[[#This Row],[RUN]],Tabla_Pagos[],7,FALSE))</f>
        <v>20000</v>
      </c>
      <c r="D24" s="5">
        <f>IF(ISERROR(VLOOKUP(T_Cuotas[[#This Row],[RUN]],Tabla_Pagos[],8,FALSE)),0,VLOOKUP(T_Cuotas[[#This Row],[RUN]],Tabla_Pagos[],8,FALSE))</f>
        <v>16500</v>
      </c>
      <c r="E24" s="5">
        <f>IF(ISERROR(VLOOKUP(T_Cuotas[[#This Row],[RUN]],Tabla_Pagos[],9,FALSE)),0,VLOOKUP(T_Cuotas[[#This Row],[RUN]],Tabla_Pagos[],9,FALSE))</f>
        <v>0</v>
      </c>
      <c r="F24" s="5">
        <f>T_Cuotas[[#This Row],[Cuota_1]]+T_Cuotas[[#This Row],[Cuota_2]]+T_Cuotas[[#This Row],[Cuota_3]]</f>
        <v>36500</v>
      </c>
      <c r="G24" s="1">
        <f>COUNTIF(T_Cuotas[RUN],T_Cuotas[[#This Row],[RUN]])</f>
        <v>1</v>
      </c>
      <c r="H24" s="5" t="str">
        <f>IF(ISERROR(VLOOKUP(T_Cuotas[[#This Row],[RUN]],T_Voluntarios[],2,FALSE)),"No Existe",VLOOKUP(T_Cuotas[[#This Row],[RUN]],T_Voluntarios[],2,FALSE))</f>
        <v>sebasper2003@gmail.com</v>
      </c>
      <c r="I24" s="5"/>
      <c r="J24" s="5" t="str">
        <f>IF(ISERROR(VLOOKUP(T_Cuotas[[#This Row],[RUN]],T_Voluntarios[],8,FALSE)),"No Existe",VLOOKUP(T_Cuotas[[#This Row],[RUN]],T_Voluntarios[],8,FALSE))</f>
        <v>+56973352622</v>
      </c>
      <c r="K24" s="5" t="str">
        <f>IF(ISERROR(VLOOKUP(T_Cuotas[[#This Row],[RUN]],T_Voluntarios[],10,FALSE)),"No Existe",VLOOKUP(T_Cuotas[[#This Row],[RUN]],T_Voluntarios[],10,FALSE))</f>
        <v>Rucapeñihue</v>
      </c>
      <c r="L24" s="5" t="str">
        <f>IF(ISERROR(VLOOKUP(T_Cuotas[[#This Row],[RUN]],T_Voluntarios[],30,FALSE)),"No Existe",VLOOKUP(T_Cuotas[[#This Row],[RUN]],T_Voluntarios[],30,FALSE))</f>
        <v>Vigente</v>
      </c>
      <c r="M24" s="5" t="str">
        <f>IF(ISERROR(VLOOKUP(T_Cuotas[[#This Row],[RUN]],T_Voluntarios[],13,FALSE)),"No Existe",VLOOKUP(T_Cuotas[[#This Row],[RUN]],T_Voluntarios[],13,FALSE))</f>
        <v>Sin Almuerzo</v>
      </c>
    </row>
    <row r="25" spans="1:13" x14ac:dyDescent="0.3">
      <c r="A25" s="2" t="s">
        <v>1554</v>
      </c>
      <c r="B25" t="str">
        <f>IF(ISERROR(VLOOKUP(T_Cuotas[[#This Row],[RUN]],T_Voluntarios[],3,FALSE)),"No Existe",VLOOKUP(T_Cuotas[[#This Row],[RUN]],T_Voluntarios[],3,FALSE))</f>
        <v>Elias Neira Torres</v>
      </c>
      <c r="C25" s="5">
        <f>IF(ISERROR(VLOOKUP(T_Cuotas[[#This Row],[RUN]],Tabla_Pagos[],7,FALSE)),0,VLOOKUP(T_Cuotas[[#This Row],[RUN]],Tabla_Pagos[],7,FALSE))</f>
        <v>20000</v>
      </c>
      <c r="D25" s="5">
        <f>IF(ISERROR(VLOOKUP(T_Cuotas[[#This Row],[RUN]],Tabla_Pagos[],8,FALSE)),0,VLOOKUP(T_Cuotas[[#This Row],[RUN]],Tabla_Pagos[],8,FALSE))</f>
        <v>15000</v>
      </c>
      <c r="E25" s="5">
        <f>IF(ISERROR(VLOOKUP(T_Cuotas[[#This Row],[RUN]],Tabla_Pagos[],9,FALSE)),0,VLOOKUP(T_Cuotas[[#This Row],[RUN]],Tabla_Pagos[],9,FALSE))</f>
        <v>15000</v>
      </c>
      <c r="F25" s="5">
        <f>T_Cuotas[[#This Row],[Cuota_1]]+T_Cuotas[[#This Row],[Cuota_2]]+T_Cuotas[[#This Row],[Cuota_3]]</f>
        <v>50000</v>
      </c>
      <c r="G25" s="1">
        <f>COUNTIF(T_Cuotas[RUN],T_Cuotas[[#This Row],[RUN]])</f>
        <v>1</v>
      </c>
      <c r="H25" s="5" t="str">
        <f>IF(ISERROR(VLOOKUP(T_Cuotas[[#This Row],[RUN]],T_Voluntarios[],2,FALSE)),"No Existe",VLOOKUP(T_Cuotas[[#This Row],[RUN]],T_Voluntarios[],2,FALSE))</f>
        <v>elias.neirato@gmail.com</v>
      </c>
      <c r="I25" s="5"/>
      <c r="J25" s="5" t="str">
        <f>IF(ISERROR(VLOOKUP(T_Cuotas[[#This Row],[RUN]],T_Voluntarios[],8,FALSE)),"No Existe",VLOOKUP(T_Cuotas[[#This Row],[RUN]],T_Voluntarios[],8,FALSE))</f>
        <v>+56997800817</v>
      </c>
      <c r="K25" s="5" t="str">
        <f>IF(ISERROR(VLOOKUP(T_Cuotas[[#This Row],[RUN]],T_Voluntarios[],10,FALSE)),"No Existe",VLOOKUP(T_Cuotas[[#This Row],[RUN]],T_Voluntarios[],10,FALSE))</f>
        <v>Rañileufu</v>
      </c>
      <c r="L25" s="5" t="str">
        <f>IF(ISERROR(VLOOKUP(T_Cuotas[[#This Row],[RUN]],T_Voluntarios[],30,FALSE)),"No Existe",VLOOKUP(T_Cuotas[[#This Row],[RUN]],T_Voluntarios[],30,FALSE))</f>
        <v>Vigente</v>
      </c>
      <c r="M25" s="5" t="str">
        <f>IF(ISERROR(VLOOKUP(T_Cuotas[[#This Row],[RUN]],T_Voluntarios[],13,FALSE)),"No Existe",VLOOKUP(T_Cuotas[[#This Row],[RUN]],T_Voluntarios[],13,FALSE))</f>
        <v>Alimentación Tradicional</v>
      </c>
    </row>
    <row r="26" spans="1:13" x14ac:dyDescent="0.3">
      <c r="A26" s="2" t="s">
        <v>563</v>
      </c>
      <c r="B26" t="str">
        <f>IF(ISERROR(VLOOKUP(T_Cuotas[[#This Row],[RUN]],T_Voluntarios[],3,FALSE)),"No Existe",VLOOKUP(T_Cuotas[[#This Row],[RUN]],T_Voluntarios[],3,FALSE))</f>
        <v>Ignacio Nicolás Techeira Sepúlveda</v>
      </c>
      <c r="C26" s="5">
        <f>IF(ISERROR(VLOOKUP(T_Cuotas[[#This Row],[RUN]],Tabla_Pagos[],7,FALSE)),0,VLOOKUP(T_Cuotas[[#This Row],[RUN]],Tabla_Pagos[],7,FALSE))</f>
        <v>20000</v>
      </c>
      <c r="D26" s="5">
        <f>IF(ISERROR(VLOOKUP(T_Cuotas[[#This Row],[RUN]],Tabla_Pagos[],8,FALSE)),0,VLOOKUP(T_Cuotas[[#This Row],[RUN]],Tabla_Pagos[],8,FALSE))</f>
        <v>16500</v>
      </c>
      <c r="E26" s="5">
        <f>IF(ISERROR(VLOOKUP(T_Cuotas[[#This Row],[RUN]],Tabla_Pagos[],9,FALSE)),0,VLOOKUP(T_Cuotas[[#This Row],[RUN]],Tabla_Pagos[],9,FALSE))</f>
        <v>0</v>
      </c>
      <c r="F26" s="5">
        <f>T_Cuotas[[#This Row],[Cuota_1]]+T_Cuotas[[#This Row],[Cuota_2]]+T_Cuotas[[#This Row],[Cuota_3]]</f>
        <v>36500</v>
      </c>
      <c r="G26" s="1">
        <f>COUNTIF(T_Cuotas[RUN],T_Cuotas[[#This Row],[RUN]])</f>
        <v>1</v>
      </c>
      <c r="H26" s="5" t="str">
        <f>IF(ISERROR(VLOOKUP(T_Cuotas[[#This Row],[RUN]],T_Voluntarios[],2,FALSE)),"No Existe",VLOOKUP(T_Cuotas[[#This Row],[RUN]],T_Voluntarios[],2,FALSE))</f>
        <v>itecheira17@gmail.com</v>
      </c>
      <c r="I26" s="5"/>
      <c r="J26" s="5" t="str">
        <f>IF(ISERROR(VLOOKUP(T_Cuotas[[#This Row],[RUN]],T_Voluntarios[],8,FALSE)),"No Existe",VLOOKUP(T_Cuotas[[#This Row],[RUN]],T_Voluntarios[],8,FALSE))</f>
        <v>+56951562182</v>
      </c>
      <c r="K26" s="5" t="str">
        <f>IF(ISERROR(VLOOKUP(T_Cuotas[[#This Row],[RUN]],T_Voluntarios[],10,FALSE)),"No Existe",VLOOKUP(T_Cuotas[[#This Row],[RUN]],T_Voluntarios[],10,FALSE))</f>
        <v>Rucapeñihue</v>
      </c>
      <c r="L26" s="5" t="str">
        <f>IF(ISERROR(VLOOKUP(T_Cuotas[[#This Row],[RUN]],T_Voluntarios[],30,FALSE)),"No Existe",VLOOKUP(T_Cuotas[[#This Row],[RUN]],T_Voluntarios[],30,FALSE))</f>
        <v>Vigente</v>
      </c>
      <c r="M26" s="5" t="str">
        <f>IF(ISERROR(VLOOKUP(T_Cuotas[[#This Row],[RUN]],T_Voluntarios[],13,FALSE)),"No Existe",VLOOKUP(T_Cuotas[[#This Row],[RUN]],T_Voluntarios[],13,FALSE))</f>
        <v>Sin Almuerzo</v>
      </c>
    </row>
    <row r="27" spans="1:13" hidden="1" x14ac:dyDescent="0.3">
      <c r="A27" s="2" t="s">
        <v>989</v>
      </c>
      <c r="B27" t="str">
        <f>IF(ISERROR(VLOOKUP(T_Cuotas[[#This Row],[RUN]],T_Voluntarios[],3,FALSE)),"No Existe",VLOOKUP(T_Cuotas[[#This Row],[RUN]],T_Voluntarios[],3,FALSE))</f>
        <v>No Existe</v>
      </c>
      <c r="C27" s="5">
        <f>IF(ISERROR(VLOOKUP(T_Cuotas[[#This Row],[RUN]],Tabla_Pagos[],7,FALSE)),0,VLOOKUP(T_Cuotas[[#This Row],[RUN]],Tabla_Pagos[],7,FALSE))</f>
        <v>0</v>
      </c>
      <c r="D27" s="5">
        <f>IF(ISERROR(VLOOKUP(T_Cuotas[[#This Row],[RUN]],Tabla_Pagos[],8,FALSE)),0,VLOOKUP(T_Cuotas[[#This Row],[RUN]],Tabla_Pagos[],8,FALSE))</f>
        <v>0</v>
      </c>
      <c r="E27" s="5">
        <f>IF(ISERROR(VLOOKUP(T_Cuotas[[#This Row],[RUN]],Tabla_Pagos[],9,FALSE)),0,VLOOKUP(T_Cuotas[[#This Row],[RUN]],Tabla_Pagos[],9,FALSE))</f>
        <v>0</v>
      </c>
      <c r="F27" s="5">
        <f>T_Cuotas[[#This Row],[Cuota_1]]+T_Cuotas[[#This Row],[Cuota_2]]+T_Cuotas[[#This Row],[Cuota_3]]</f>
        <v>0</v>
      </c>
      <c r="G27" s="1">
        <f>COUNTIF(T_Cuotas[RUN],T_Cuotas[[#This Row],[RUN]])</f>
        <v>1</v>
      </c>
      <c r="H27" s="5" t="str">
        <f>IF(ISERROR(VLOOKUP(T_Cuotas[[#This Row],[RUN]],T_Voluntarios[],2,FALSE)),"No Existe",VLOOKUP(T_Cuotas[[#This Row],[RUN]],T_Voluntarios[],2,FALSE))</f>
        <v>No Existe</v>
      </c>
      <c r="I27" s="5"/>
      <c r="J27" s="5" t="str">
        <f>IF(ISERROR(VLOOKUP(T_Cuotas[[#This Row],[RUN]],T_Voluntarios[],8,FALSE)),"No Existe",VLOOKUP(T_Cuotas[[#This Row],[RUN]],T_Voluntarios[],8,FALSE))</f>
        <v>No Existe</v>
      </c>
      <c r="K27" s="5" t="str">
        <f>IF(ISERROR(VLOOKUP(T_Cuotas[[#This Row],[RUN]],T_Voluntarios[],10,FALSE)),"No Existe",VLOOKUP(T_Cuotas[[#This Row],[RUN]],T_Voluntarios[],10,FALSE))</f>
        <v>No Existe</v>
      </c>
      <c r="L27" s="5" t="str">
        <f>IF(ISERROR(VLOOKUP(T_Cuotas[[#This Row],[RUN]],T_Voluntarios[],30,FALSE)),"No Existe",VLOOKUP(T_Cuotas[[#This Row],[RUN]],T_Voluntarios[],30,FALSE))</f>
        <v>No Existe</v>
      </c>
      <c r="M27" s="5" t="str">
        <f>IF(ISERROR(VLOOKUP(T_Cuotas[[#This Row],[RUN]],T_Voluntarios[],13,FALSE)),"No Existe",VLOOKUP(T_Cuotas[[#This Row],[RUN]],T_Voluntarios[],13,FALSE))</f>
        <v>No Existe</v>
      </c>
    </row>
    <row r="28" spans="1:13" x14ac:dyDescent="0.3">
      <c r="A28" s="2" t="s">
        <v>1555</v>
      </c>
      <c r="B28" t="str">
        <f>IF(ISERROR(VLOOKUP(T_Cuotas[[#This Row],[RUN]],T_Voluntarios[],3,FALSE)),"No Existe",VLOOKUP(T_Cuotas[[#This Row],[RUN]],T_Voluntarios[],3,FALSE))</f>
        <v>Alvaro Mora Martinez</v>
      </c>
      <c r="C28" s="5">
        <f>IF(ISERROR(VLOOKUP(T_Cuotas[[#This Row],[RUN]],Tabla_Pagos[],7,FALSE)),0,VLOOKUP(T_Cuotas[[#This Row],[RUN]],Tabla_Pagos[],7,FALSE))</f>
        <v>20000</v>
      </c>
      <c r="D28" s="5">
        <f>IF(ISERROR(VLOOKUP(T_Cuotas[[#This Row],[RUN]],Tabla_Pagos[],8,FALSE)),0,VLOOKUP(T_Cuotas[[#This Row],[RUN]],Tabla_Pagos[],8,FALSE))</f>
        <v>15000</v>
      </c>
      <c r="E28" s="5">
        <f>IF(ISERROR(VLOOKUP(T_Cuotas[[#This Row],[RUN]],Tabla_Pagos[],9,FALSE)),0,VLOOKUP(T_Cuotas[[#This Row],[RUN]],Tabla_Pagos[],9,FALSE))</f>
        <v>15000</v>
      </c>
      <c r="F28" s="5">
        <f>T_Cuotas[[#This Row],[Cuota_1]]+T_Cuotas[[#This Row],[Cuota_2]]+T_Cuotas[[#This Row],[Cuota_3]]</f>
        <v>50000</v>
      </c>
      <c r="G28" s="1">
        <f>COUNTIF(T_Cuotas[RUN],T_Cuotas[[#This Row],[RUN]])</f>
        <v>1</v>
      </c>
      <c r="H28" s="5" t="str">
        <f>IF(ISERROR(VLOOKUP(T_Cuotas[[#This Row],[RUN]],T_Voluntarios[],2,FALSE)),"No Existe",VLOOKUP(T_Cuotas[[#This Row],[RUN]],T_Voluntarios[],2,FALSE))</f>
        <v>mora62813@gmail.com</v>
      </c>
      <c r="I28" s="5"/>
      <c r="J28" s="5" t="str">
        <f>IF(ISERROR(VLOOKUP(T_Cuotas[[#This Row],[RUN]],T_Voluntarios[],8,FALSE)),"No Existe",VLOOKUP(T_Cuotas[[#This Row],[RUN]],T_Voluntarios[],8,FALSE))</f>
        <v>+56966748869</v>
      </c>
      <c r="K28" s="5" t="str">
        <f>IF(ISERROR(VLOOKUP(T_Cuotas[[#This Row],[RUN]],T_Voluntarios[],10,FALSE)),"No Existe",VLOOKUP(T_Cuotas[[#This Row],[RUN]],T_Voluntarios[],10,FALSE))</f>
        <v>La Montaña</v>
      </c>
      <c r="L28" s="5" t="str">
        <f>IF(ISERROR(VLOOKUP(T_Cuotas[[#This Row],[RUN]],T_Voluntarios[],30,FALSE)),"No Existe",VLOOKUP(T_Cuotas[[#This Row],[RUN]],T_Voluntarios[],30,FALSE))</f>
        <v>Vigente</v>
      </c>
      <c r="M28" s="5" t="str">
        <f>IF(ISERROR(VLOOKUP(T_Cuotas[[#This Row],[RUN]],T_Voluntarios[],13,FALSE)),"No Existe",VLOOKUP(T_Cuotas[[#This Row],[RUN]],T_Voluntarios[],13,FALSE))</f>
        <v>Alimentación Tradicional</v>
      </c>
    </row>
    <row r="29" spans="1:13" x14ac:dyDescent="0.3">
      <c r="A29" s="2" t="s">
        <v>1556</v>
      </c>
      <c r="B29" t="str">
        <f>IF(ISERROR(VLOOKUP(T_Cuotas[[#This Row],[RUN]],T_Voluntarios[],3,FALSE)),"No Existe",VLOOKUP(T_Cuotas[[#This Row],[RUN]],T_Voluntarios[],3,FALSE))</f>
        <v>Lisbet Almendra Matamala Sandoval</v>
      </c>
      <c r="C29" s="5">
        <f>IF(ISERROR(VLOOKUP(T_Cuotas[[#This Row],[RUN]],Tabla_Pagos[],7,FALSE)),0,VLOOKUP(T_Cuotas[[#This Row],[RUN]],Tabla_Pagos[],7,FALSE))</f>
        <v>20000</v>
      </c>
      <c r="D29" s="5">
        <f>IF(ISERROR(VLOOKUP(T_Cuotas[[#This Row],[RUN]],Tabla_Pagos[],8,FALSE)),0,VLOOKUP(T_Cuotas[[#This Row],[RUN]],Tabla_Pagos[],8,FALSE))</f>
        <v>15000</v>
      </c>
      <c r="E29" s="5">
        <f>IF(ISERROR(VLOOKUP(T_Cuotas[[#This Row],[RUN]],Tabla_Pagos[],9,FALSE)),0,VLOOKUP(T_Cuotas[[#This Row],[RUN]],Tabla_Pagos[],9,FALSE))</f>
        <v>15000</v>
      </c>
      <c r="F29" s="5">
        <f>T_Cuotas[[#This Row],[Cuota_1]]+T_Cuotas[[#This Row],[Cuota_2]]+T_Cuotas[[#This Row],[Cuota_3]]</f>
        <v>50000</v>
      </c>
      <c r="G29" s="1">
        <f>COUNTIF(T_Cuotas[RUN],T_Cuotas[[#This Row],[RUN]])</f>
        <v>1</v>
      </c>
      <c r="H29" s="5" t="str">
        <f>IF(ISERROR(VLOOKUP(T_Cuotas[[#This Row],[RUN]],T_Voluntarios[],2,FALSE)),"No Existe",VLOOKUP(T_Cuotas[[#This Row],[RUN]],T_Voluntarios[],2,FALSE))</f>
        <v>lisbetmatamala2001@gmail.com</v>
      </c>
      <c r="I29" s="5"/>
      <c r="J29" s="5" t="str">
        <f>IF(ISERROR(VLOOKUP(T_Cuotas[[#This Row],[RUN]],T_Voluntarios[],8,FALSE)),"No Existe",VLOOKUP(T_Cuotas[[#This Row],[RUN]],T_Voluntarios[],8,FALSE))</f>
        <v>+56946450576</v>
      </c>
      <c r="K29" s="5" t="str">
        <f>IF(ISERROR(VLOOKUP(T_Cuotas[[#This Row],[RUN]],T_Voluntarios[],10,FALSE)),"No Existe",VLOOKUP(T_Cuotas[[#This Row],[RUN]],T_Voluntarios[],10,FALSE))</f>
        <v>La Montaña</v>
      </c>
      <c r="L29" s="5" t="str">
        <f>IF(ISERROR(VLOOKUP(T_Cuotas[[#This Row],[RUN]],T_Voluntarios[],30,FALSE)),"No Existe",VLOOKUP(T_Cuotas[[#This Row],[RUN]],T_Voluntarios[],30,FALSE))</f>
        <v>Vigente</v>
      </c>
      <c r="M29" s="5" t="str">
        <f>IF(ISERROR(VLOOKUP(T_Cuotas[[#This Row],[RUN]],T_Voluntarios[],13,FALSE)),"No Existe",VLOOKUP(T_Cuotas[[#This Row],[RUN]],T_Voluntarios[],13,FALSE))</f>
        <v>Alimentación Tradicional</v>
      </c>
    </row>
    <row r="30" spans="1:13" x14ac:dyDescent="0.3">
      <c r="A30" s="2" t="s">
        <v>1022</v>
      </c>
      <c r="B30" t="str">
        <f>IF(ISERROR(VLOOKUP(T_Cuotas[[#This Row],[RUN]],T_Voluntarios[],3,FALSE)),"No Existe",VLOOKUP(T_Cuotas[[#This Row],[RUN]],T_Voluntarios[],3,FALSE))</f>
        <v>Katherin Valeska Bañados Henriquez</v>
      </c>
      <c r="C30" s="5">
        <f>IF(ISERROR(VLOOKUP(T_Cuotas[[#This Row],[RUN]],Tabla_Pagos[],7,FALSE)),0,VLOOKUP(T_Cuotas[[#This Row],[RUN]],Tabla_Pagos[],7,FALSE))</f>
        <v>20000</v>
      </c>
      <c r="D30" s="5">
        <f>IF(ISERROR(VLOOKUP(T_Cuotas[[#This Row],[RUN]],Tabla_Pagos[],8,FALSE)),0,VLOOKUP(T_Cuotas[[#This Row],[RUN]],Tabla_Pagos[],8,FALSE))</f>
        <v>15000</v>
      </c>
      <c r="E30" s="5">
        <f>IF(ISERROR(VLOOKUP(T_Cuotas[[#This Row],[RUN]],Tabla_Pagos[],9,FALSE)),0,VLOOKUP(T_Cuotas[[#This Row],[RUN]],Tabla_Pagos[],9,FALSE))</f>
        <v>15000</v>
      </c>
      <c r="F30" s="5">
        <f>T_Cuotas[[#This Row],[Cuota_1]]+T_Cuotas[[#This Row],[Cuota_2]]+T_Cuotas[[#This Row],[Cuota_3]]</f>
        <v>50000</v>
      </c>
      <c r="G30" s="1">
        <f>COUNTIF(T_Cuotas[RUN],T_Cuotas[[#This Row],[RUN]])</f>
        <v>1</v>
      </c>
      <c r="H30" s="5" t="str">
        <f>IF(ISERROR(VLOOKUP(T_Cuotas[[#This Row],[RUN]],T_Voluntarios[],2,FALSE)),"No Existe",VLOOKUP(T_Cuotas[[#This Row],[RUN]],T_Voluntarios[],2,FALSE))</f>
        <v>khenriquezb@gmail.com</v>
      </c>
      <c r="I30" s="5"/>
      <c r="J30" s="5" t="str">
        <f>IF(ISERROR(VLOOKUP(T_Cuotas[[#This Row],[RUN]],T_Voluntarios[],8,FALSE)),"No Existe",VLOOKUP(T_Cuotas[[#This Row],[RUN]],T_Voluntarios[],8,FALSE))</f>
        <v>+56971041512</v>
      </c>
      <c r="K30" s="5" t="str">
        <f>IF(ISERROR(VLOOKUP(T_Cuotas[[#This Row],[RUN]],T_Voluntarios[],10,FALSE)),"No Existe",VLOOKUP(T_Cuotas[[#This Row],[RUN]],T_Voluntarios[],10,FALSE))</f>
        <v>Helen Keller</v>
      </c>
      <c r="L30" s="5" t="str">
        <f>IF(ISERROR(VLOOKUP(T_Cuotas[[#This Row],[RUN]],T_Voluntarios[],30,FALSE)),"No Existe",VLOOKUP(T_Cuotas[[#This Row],[RUN]],T_Voluntarios[],30,FALSE))</f>
        <v>Vigente</v>
      </c>
      <c r="M30" s="5" t="str">
        <f>IF(ISERROR(VLOOKUP(T_Cuotas[[#This Row],[RUN]],T_Voluntarios[],13,FALSE)),"No Existe",VLOOKUP(T_Cuotas[[#This Row],[RUN]],T_Voluntarios[],13,FALSE))</f>
        <v>Alimentación Tradicional</v>
      </c>
    </row>
    <row r="31" spans="1:13" x14ac:dyDescent="0.3">
      <c r="A31" s="2" t="s">
        <v>1035</v>
      </c>
      <c r="B31" t="str">
        <f>IF(ISERROR(VLOOKUP(T_Cuotas[[#This Row],[RUN]],T_Voluntarios[],3,FALSE)),"No Existe",VLOOKUP(T_Cuotas[[#This Row],[RUN]],T_Voluntarios[],3,FALSE))</f>
        <v>Anita Bravo Cortez</v>
      </c>
      <c r="C31" s="5">
        <f>IF(ISERROR(VLOOKUP(T_Cuotas[[#This Row],[RUN]],Tabla_Pagos[],7,FALSE)),0,VLOOKUP(T_Cuotas[[#This Row],[RUN]],Tabla_Pagos[],7,FALSE))</f>
        <v>20000</v>
      </c>
      <c r="D31" s="5">
        <f>IF(ISERROR(VLOOKUP(T_Cuotas[[#This Row],[RUN]],Tabla_Pagos[],8,FALSE)),0,VLOOKUP(T_Cuotas[[#This Row],[RUN]],Tabla_Pagos[],8,FALSE))</f>
        <v>15000</v>
      </c>
      <c r="E31" s="5">
        <f>IF(ISERROR(VLOOKUP(T_Cuotas[[#This Row],[RUN]],Tabla_Pagos[],9,FALSE)),0,VLOOKUP(T_Cuotas[[#This Row],[RUN]],Tabla_Pagos[],9,FALSE))</f>
        <v>15000</v>
      </c>
      <c r="F31" s="5">
        <f>T_Cuotas[[#This Row],[Cuota_1]]+T_Cuotas[[#This Row],[Cuota_2]]+T_Cuotas[[#This Row],[Cuota_3]]</f>
        <v>50000</v>
      </c>
      <c r="G31" s="1">
        <f>COUNTIF(T_Cuotas[RUN],T_Cuotas[[#This Row],[RUN]])</f>
        <v>1</v>
      </c>
      <c r="H31" s="5" t="str">
        <f>IF(ISERROR(VLOOKUP(T_Cuotas[[#This Row],[RUN]],T_Voluntarios[],2,FALSE)),"No Existe",VLOOKUP(T_Cuotas[[#This Row],[RUN]],T_Voluntarios[],2,FALSE))</f>
        <v>anitabravocortez7@gmail.com</v>
      </c>
      <c r="I31" s="5"/>
      <c r="J31" s="5" t="str">
        <f>IF(ISERROR(VLOOKUP(T_Cuotas[[#This Row],[RUN]],T_Voluntarios[],8,FALSE)),"No Existe",VLOOKUP(T_Cuotas[[#This Row],[RUN]],T_Voluntarios[],8,FALSE))</f>
        <v>+56954996048</v>
      </c>
      <c r="K31" s="5" t="str">
        <f>IF(ISERROR(VLOOKUP(T_Cuotas[[#This Row],[RUN]],T_Voluntarios[],10,FALSE)),"No Existe",VLOOKUP(T_Cuotas[[#This Row],[RUN]],T_Voluntarios[],10,FALSE))</f>
        <v>La Montaña</v>
      </c>
      <c r="L31" s="5" t="str">
        <f>IF(ISERROR(VLOOKUP(T_Cuotas[[#This Row],[RUN]],T_Voluntarios[],30,FALSE)),"No Existe",VLOOKUP(T_Cuotas[[#This Row],[RUN]],T_Voluntarios[],30,FALSE))</f>
        <v>Vigente</v>
      </c>
      <c r="M31" s="5" t="str">
        <f>IF(ISERROR(VLOOKUP(T_Cuotas[[#This Row],[RUN]],T_Voluntarios[],13,FALSE)),"No Existe",VLOOKUP(T_Cuotas[[#This Row],[RUN]],T_Voluntarios[],13,FALSE))</f>
        <v>Alimentación Tradicional</v>
      </c>
    </row>
    <row r="32" spans="1:13" x14ac:dyDescent="0.3">
      <c r="A32" s="2" t="s">
        <v>1045</v>
      </c>
      <c r="B32" t="str">
        <f>IF(ISERROR(VLOOKUP(T_Cuotas[[#This Row],[RUN]],T_Voluntarios[],3,FALSE)),"No Existe",VLOOKUP(T_Cuotas[[#This Row],[RUN]],T_Voluntarios[],3,FALSE))</f>
        <v>Antonia Belén Romero Campos</v>
      </c>
      <c r="C32" s="5">
        <f>IF(ISERROR(VLOOKUP(T_Cuotas[[#This Row],[RUN]],Tabla_Pagos[],7,FALSE)),0,VLOOKUP(T_Cuotas[[#This Row],[RUN]],Tabla_Pagos[],7,FALSE))</f>
        <v>20000</v>
      </c>
      <c r="D32" s="5">
        <f>IF(ISERROR(VLOOKUP(T_Cuotas[[#This Row],[RUN]],Tabla_Pagos[],8,FALSE)),0,VLOOKUP(T_Cuotas[[#This Row],[RUN]],Tabla_Pagos[],8,FALSE))</f>
        <v>15000</v>
      </c>
      <c r="E32" s="5">
        <f>IF(ISERROR(VLOOKUP(T_Cuotas[[#This Row],[RUN]],Tabla_Pagos[],9,FALSE)),0,VLOOKUP(T_Cuotas[[#This Row],[RUN]],Tabla_Pagos[],9,FALSE))</f>
        <v>15000</v>
      </c>
      <c r="F32" s="5">
        <f>T_Cuotas[[#This Row],[Cuota_1]]+T_Cuotas[[#This Row],[Cuota_2]]+T_Cuotas[[#This Row],[Cuota_3]]</f>
        <v>50000</v>
      </c>
      <c r="G32" s="1">
        <f>COUNTIF(T_Cuotas[RUN],T_Cuotas[[#This Row],[RUN]])</f>
        <v>1</v>
      </c>
      <c r="H32" s="5" t="str">
        <f>IF(ISERROR(VLOOKUP(T_Cuotas[[#This Row],[RUN]],T_Voluntarios[],2,FALSE)),"No Existe",VLOOKUP(T_Cuotas[[#This Row],[RUN]],T_Voluntarios[],2,FALSE))</f>
        <v>antoromerocampos@gmail.com</v>
      </c>
      <c r="I32" s="5"/>
      <c r="J32" s="5" t="str">
        <f>IF(ISERROR(VLOOKUP(T_Cuotas[[#This Row],[RUN]],T_Voluntarios[],8,FALSE)),"No Existe",VLOOKUP(T_Cuotas[[#This Row],[RUN]],T_Voluntarios[],8,FALSE))</f>
        <v>+56934418140</v>
      </c>
      <c r="K32" s="5" t="str">
        <f>IF(ISERROR(VLOOKUP(T_Cuotas[[#This Row],[RUN]],T_Voluntarios[],10,FALSE)),"No Existe",VLOOKUP(T_Cuotas[[#This Row],[RUN]],T_Voluntarios[],10,FALSE))</f>
        <v>La Montaña</v>
      </c>
      <c r="L32" s="5" t="str">
        <f>IF(ISERROR(VLOOKUP(T_Cuotas[[#This Row],[RUN]],T_Voluntarios[],30,FALSE)),"No Existe",VLOOKUP(T_Cuotas[[#This Row],[RUN]],T_Voluntarios[],30,FALSE))</f>
        <v>Vigente</v>
      </c>
      <c r="M32" s="5" t="str">
        <f>IF(ISERROR(VLOOKUP(T_Cuotas[[#This Row],[RUN]],T_Voluntarios[],13,FALSE)),"No Existe",VLOOKUP(T_Cuotas[[#This Row],[RUN]],T_Voluntarios[],13,FALSE))</f>
        <v>Alimentación Tradicional</v>
      </c>
    </row>
    <row r="33" spans="1:13" x14ac:dyDescent="0.3">
      <c r="A33" s="2" t="s">
        <v>1053</v>
      </c>
      <c r="B33" t="str">
        <f>IF(ISERROR(VLOOKUP(T_Cuotas[[#This Row],[RUN]],T_Voluntarios[],3,FALSE)),"No Existe",VLOOKUP(T_Cuotas[[#This Row],[RUN]],T_Voluntarios[],3,FALSE))</f>
        <v>Angela Andrea Feijoo Herrerra</v>
      </c>
      <c r="C33" s="5">
        <f>IF(ISERROR(VLOOKUP(T_Cuotas[[#This Row],[RUN]],Tabla_Pagos[],7,FALSE)),0,VLOOKUP(T_Cuotas[[#This Row],[RUN]],Tabla_Pagos[],7,FALSE))</f>
        <v>20000</v>
      </c>
      <c r="D33" s="5">
        <f>IF(ISERROR(VLOOKUP(T_Cuotas[[#This Row],[RUN]],Tabla_Pagos[],8,FALSE)),0,VLOOKUP(T_Cuotas[[#This Row],[RUN]],Tabla_Pagos[],8,FALSE))</f>
        <v>15000</v>
      </c>
      <c r="E33" s="5">
        <f>IF(ISERROR(VLOOKUP(T_Cuotas[[#This Row],[RUN]],Tabla_Pagos[],9,FALSE)),0,VLOOKUP(T_Cuotas[[#This Row],[RUN]],Tabla_Pagos[],9,FALSE))</f>
        <v>15000</v>
      </c>
      <c r="F33" s="5">
        <f>T_Cuotas[[#This Row],[Cuota_1]]+T_Cuotas[[#This Row],[Cuota_2]]+T_Cuotas[[#This Row],[Cuota_3]]</f>
        <v>50000</v>
      </c>
      <c r="G33" s="1">
        <f>COUNTIF(T_Cuotas[RUN],T_Cuotas[[#This Row],[RUN]])</f>
        <v>1</v>
      </c>
      <c r="H33" s="5" t="str">
        <f>IF(ISERROR(VLOOKUP(T_Cuotas[[#This Row],[RUN]],T_Voluntarios[],2,FALSE)),"No Existe",VLOOKUP(T_Cuotas[[#This Row],[RUN]],T_Voluntarios[],2,FALSE))</f>
        <v>feijooangela@gmail.com</v>
      </c>
      <c r="I33" s="5"/>
      <c r="J33" s="5" t="str">
        <f>IF(ISERROR(VLOOKUP(T_Cuotas[[#This Row],[RUN]],T_Voluntarios[],8,FALSE)),"No Existe",VLOOKUP(T_Cuotas[[#This Row],[RUN]],T_Voluntarios[],8,FALSE))</f>
        <v>+56985920688</v>
      </c>
      <c r="K33" s="5" t="str">
        <f>IF(ISERROR(VLOOKUP(T_Cuotas[[#This Row],[RUN]],T_Voluntarios[],10,FALSE)),"No Existe",VLOOKUP(T_Cuotas[[#This Row],[RUN]],T_Voluntarios[],10,FALSE))</f>
        <v>Rañileufu</v>
      </c>
      <c r="L33" s="5" t="str">
        <f>IF(ISERROR(VLOOKUP(T_Cuotas[[#This Row],[RUN]],T_Voluntarios[],30,FALSE)),"No Existe",VLOOKUP(T_Cuotas[[#This Row],[RUN]],T_Voluntarios[],30,FALSE))</f>
        <v>Vigente</v>
      </c>
      <c r="M33" s="5" t="str">
        <f>IF(ISERROR(VLOOKUP(T_Cuotas[[#This Row],[RUN]],T_Voluntarios[],13,FALSE)),"No Existe",VLOOKUP(T_Cuotas[[#This Row],[RUN]],T_Voluntarios[],13,FALSE))</f>
        <v>Alimentación Vegetariana</v>
      </c>
    </row>
    <row r="34" spans="1:13" x14ac:dyDescent="0.3">
      <c r="A34" s="2" t="s">
        <v>1065</v>
      </c>
      <c r="B34" t="str">
        <f>IF(ISERROR(VLOOKUP(T_Cuotas[[#This Row],[RUN]],T_Voluntarios[],3,FALSE)),"No Existe",VLOOKUP(T_Cuotas[[#This Row],[RUN]],T_Voluntarios[],3,FALSE))</f>
        <v>Isidora María Fernanda Sandoval Gutiérrez</v>
      </c>
      <c r="C34" s="5">
        <f>IF(ISERROR(VLOOKUP(T_Cuotas[[#This Row],[RUN]],Tabla_Pagos[],7,FALSE)),0,VLOOKUP(T_Cuotas[[#This Row],[RUN]],Tabla_Pagos[],7,FALSE))</f>
        <v>20000</v>
      </c>
      <c r="D34" s="5">
        <f>IF(ISERROR(VLOOKUP(T_Cuotas[[#This Row],[RUN]],Tabla_Pagos[],8,FALSE)),0,VLOOKUP(T_Cuotas[[#This Row],[RUN]],Tabla_Pagos[],8,FALSE))</f>
        <v>15000</v>
      </c>
      <c r="E34" s="5">
        <f>IF(ISERROR(VLOOKUP(T_Cuotas[[#This Row],[RUN]],Tabla_Pagos[],9,FALSE)),0,VLOOKUP(T_Cuotas[[#This Row],[RUN]],Tabla_Pagos[],9,FALSE))</f>
        <v>15000</v>
      </c>
      <c r="F34" s="5">
        <f>T_Cuotas[[#This Row],[Cuota_1]]+T_Cuotas[[#This Row],[Cuota_2]]+T_Cuotas[[#This Row],[Cuota_3]]</f>
        <v>50000</v>
      </c>
      <c r="G34" s="1">
        <f>COUNTIF(T_Cuotas[RUN],T_Cuotas[[#This Row],[RUN]])</f>
        <v>1</v>
      </c>
      <c r="H34" s="5" t="str">
        <f>IF(ISERROR(VLOOKUP(T_Cuotas[[#This Row],[RUN]],T_Voluntarios[],2,FALSE)),"No Existe",VLOOKUP(T_Cuotas[[#This Row],[RUN]],T_Voluntarios[],2,FALSE))</f>
        <v>isidorasandogut@gmail.com</v>
      </c>
      <c r="I34" s="5"/>
      <c r="J34" s="5" t="str">
        <f>IF(ISERROR(VLOOKUP(T_Cuotas[[#This Row],[RUN]],T_Voluntarios[],8,FALSE)),"No Existe",VLOOKUP(T_Cuotas[[#This Row],[RUN]],T_Voluntarios[],8,FALSE))</f>
        <v>+56973953441</v>
      </c>
      <c r="K34" s="5" t="str">
        <f>IF(ISERROR(VLOOKUP(T_Cuotas[[#This Row],[RUN]],T_Voluntarios[],10,FALSE)),"No Existe",VLOOKUP(T_Cuotas[[#This Row],[RUN]],T_Voluntarios[],10,FALSE))</f>
        <v>La Montaña</v>
      </c>
      <c r="L34" s="5" t="str">
        <f>IF(ISERROR(VLOOKUP(T_Cuotas[[#This Row],[RUN]],T_Voluntarios[],30,FALSE)),"No Existe",VLOOKUP(T_Cuotas[[#This Row],[RUN]],T_Voluntarios[],30,FALSE))</f>
        <v>Vigente</v>
      </c>
      <c r="M34" s="5" t="str">
        <f>IF(ISERROR(VLOOKUP(T_Cuotas[[#This Row],[RUN]],T_Voluntarios[],13,FALSE)),"No Existe",VLOOKUP(T_Cuotas[[#This Row],[RUN]],T_Voluntarios[],13,FALSE))</f>
        <v>Alimentación Tradicional</v>
      </c>
    </row>
    <row r="35" spans="1:13" x14ac:dyDescent="0.3">
      <c r="A35" s="2" t="s">
        <v>1072</v>
      </c>
      <c r="B35" t="str">
        <f>IF(ISERROR(VLOOKUP(T_Cuotas[[#This Row],[RUN]],T_Voluntarios[],3,FALSE)),"No Existe",VLOOKUP(T_Cuotas[[#This Row],[RUN]],T_Voluntarios[],3,FALSE))</f>
        <v>Javiera Jacqueline Jara Reyes</v>
      </c>
      <c r="C35" s="5">
        <f>IF(ISERROR(VLOOKUP(T_Cuotas[[#This Row],[RUN]],Tabla_Pagos[],7,FALSE)),0,VLOOKUP(T_Cuotas[[#This Row],[RUN]],Tabla_Pagos[],7,FALSE))</f>
        <v>20000</v>
      </c>
      <c r="D35" s="5">
        <f>IF(ISERROR(VLOOKUP(T_Cuotas[[#This Row],[RUN]],Tabla_Pagos[],8,FALSE)),0,VLOOKUP(T_Cuotas[[#This Row],[RUN]],Tabla_Pagos[],8,FALSE))</f>
        <v>15000</v>
      </c>
      <c r="E35" s="5">
        <f>IF(ISERROR(VLOOKUP(T_Cuotas[[#This Row],[RUN]],Tabla_Pagos[],9,FALSE)),0,VLOOKUP(T_Cuotas[[#This Row],[RUN]],Tabla_Pagos[],9,FALSE))</f>
        <v>15000</v>
      </c>
      <c r="F35" s="5">
        <f>T_Cuotas[[#This Row],[Cuota_1]]+T_Cuotas[[#This Row],[Cuota_2]]+T_Cuotas[[#This Row],[Cuota_3]]</f>
        <v>50000</v>
      </c>
      <c r="G35" s="1">
        <f>COUNTIF(T_Cuotas[RUN],T_Cuotas[[#This Row],[RUN]])</f>
        <v>1</v>
      </c>
      <c r="H35" s="5" t="str">
        <f>IF(ISERROR(VLOOKUP(T_Cuotas[[#This Row],[RUN]],T_Voluntarios[],2,FALSE)),"No Existe",VLOOKUP(T_Cuotas[[#This Row],[RUN]],T_Voluntarios[],2,FALSE))</f>
        <v>javiera.jareyes@gmail.com</v>
      </c>
      <c r="I35" s="5"/>
      <c r="J35" s="5" t="str">
        <f>IF(ISERROR(VLOOKUP(T_Cuotas[[#This Row],[RUN]],T_Voluntarios[],8,FALSE)),"No Existe",VLOOKUP(T_Cuotas[[#This Row],[RUN]],T_Voluntarios[],8,FALSE))</f>
        <v>+56988893472</v>
      </c>
      <c r="K35" s="5" t="str">
        <f>IF(ISERROR(VLOOKUP(T_Cuotas[[#This Row],[RUN]],T_Voluntarios[],10,FALSE)),"No Existe",VLOOKUP(T_Cuotas[[#This Row],[RUN]],T_Voluntarios[],10,FALSE))</f>
        <v>Huilliche</v>
      </c>
      <c r="L35" s="5" t="str">
        <f>IF(ISERROR(VLOOKUP(T_Cuotas[[#This Row],[RUN]],T_Voluntarios[],30,FALSE)),"No Existe",VLOOKUP(T_Cuotas[[#This Row],[RUN]],T_Voluntarios[],30,FALSE))</f>
        <v>Vigente</v>
      </c>
      <c r="M35" s="5" t="str">
        <f>IF(ISERROR(VLOOKUP(T_Cuotas[[#This Row],[RUN]],T_Voluntarios[],13,FALSE)),"No Existe",VLOOKUP(T_Cuotas[[#This Row],[RUN]],T_Voluntarios[],13,FALSE))</f>
        <v>Alimentación Tradicional</v>
      </c>
    </row>
    <row r="36" spans="1:13" x14ac:dyDescent="0.3">
      <c r="A36" s="2" t="s">
        <v>1082</v>
      </c>
      <c r="B36" t="str">
        <f>IF(ISERROR(VLOOKUP(T_Cuotas[[#This Row],[RUN]],T_Voluntarios[],3,FALSE)),"No Existe",VLOOKUP(T_Cuotas[[#This Row],[RUN]],T_Voluntarios[],3,FALSE))</f>
        <v>Alfredo Andrés Placencia Valenzuela</v>
      </c>
      <c r="C36" s="5">
        <f>IF(ISERROR(VLOOKUP(T_Cuotas[[#This Row],[RUN]],Tabla_Pagos[],7,FALSE)),0,VLOOKUP(T_Cuotas[[#This Row],[RUN]],Tabla_Pagos[],7,FALSE))</f>
        <v>20000</v>
      </c>
      <c r="D36" s="5">
        <f>IF(ISERROR(VLOOKUP(T_Cuotas[[#This Row],[RUN]],Tabla_Pagos[],8,FALSE)),0,VLOOKUP(T_Cuotas[[#This Row],[RUN]],Tabla_Pagos[],8,FALSE))</f>
        <v>15000</v>
      </c>
      <c r="E36" s="5">
        <f>IF(ISERROR(VLOOKUP(T_Cuotas[[#This Row],[RUN]],Tabla_Pagos[],9,FALSE)),0,VLOOKUP(T_Cuotas[[#This Row],[RUN]],Tabla_Pagos[],9,FALSE))</f>
        <v>15000</v>
      </c>
      <c r="F36" s="5">
        <f>T_Cuotas[[#This Row],[Cuota_1]]+T_Cuotas[[#This Row],[Cuota_2]]+T_Cuotas[[#This Row],[Cuota_3]]</f>
        <v>50000</v>
      </c>
      <c r="G36" s="1">
        <f>COUNTIF(T_Cuotas[RUN],T_Cuotas[[#This Row],[RUN]])</f>
        <v>1</v>
      </c>
      <c r="H36" s="5" t="str">
        <f>IF(ISERROR(VLOOKUP(T_Cuotas[[#This Row],[RUN]],T_Voluntarios[],2,FALSE)),"No Existe",VLOOKUP(T_Cuotas[[#This Row],[RUN]],T_Voluntarios[],2,FALSE))</f>
        <v>placenciavalenzuela@gmail.com</v>
      </c>
      <c r="I36" s="5"/>
      <c r="J36" s="5" t="str">
        <f>IF(ISERROR(VLOOKUP(T_Cuotas[[#This Row],[RUN]],T_Voluntarios[],8,FALSE)),"No Existe",VLOOKUP(T_Cuotas[[#This Row],[RUN]],T_Voluntarios[],8,FALSE))</f>
        <v>+56971954811</v>
      </c>
      <c r="K36" s="5" t="str">
        <f>IF(ISERROR(VLOOKUP(T_Cuotas[[#This Row],[RUN]],T_Voluntarios[],10,FALSE)),"No Existe",VLOOKUP(T_Cuotas[[#This Row],[RUN]],T_Voluntarios[],10,FALSE))</f>
        <v>Huilliche</v>
      </c>
      <c r="L36" s="5" t="str">
        <f>IF(ISERROR(VLOOKUP(T_Cuotas[[#This Row],[RUN]],T_Voluntarios[],30,FALSE)),"No Existe",VLOOKUP(T_Cuotas[[#This Row],[RUN]],T_Voluntarios[],30,FALSE))</f>
        <v>Vigente</v>
      </c>
      <c r="M36" s="5" t="str">
        <f>IF(ISERROR(VLOOKUP(T_Cuotas[[#This Row],[RUN]],T_Voluntarios[],13,FALSE)),"No Existe",VLOOKUP(T_Cuotas[[#This Row],[RUN]],T_Voluntarios[],13,FALSE))</f>
        <v>Alimentación Tradicional</v>
      </c>
    </row>
    <row r="37" spans="1:13" hidden="1" x14ac:dyDescent="0.3">
      <c r="A37" s="2" t="s">
        <v>1097</v>
      </c>
      <c r="B37" t="str">
        <f>IF(ISERROR(VLOOKUP(T_Cuotas[[#This Row],[RUN]],T_Voluntarios[],3,FALSE)),"No Existe",VLOOKUP(T_Cuotas[[#This Row],[RUN]],T_Voluntarios[],3,FALSE))</f>
        <v>Texias Nicole Lagos Navarrete</v>
      </c>
      <c r="C37" s="5">
        <f>IF(ISERROR(VLOOKUP(T_Cuotas[[#This Row],[RUN]],Tabla_Pagos[],7,FALSE)),0,VLOOKUP(T_Cuotas[[#This Row],[RUN]],Tabla_Pagos[],7,FALSE))</f>
        <v>0</v>
      </c>
      <c r="D37" s="5">
        <f>IF(ISERROR(VLOOKUP(T_Cuotas[[#This Row],[RUN]],Tabla_Pagos[],8,FALSE)),0,VLOOKUP(T_Cuotas[[#This Row],[RUN]],Tabla_Pagos[],8,FALSE))</f>
        <v>0</v>
      </c>
      <c r="E37" s="5">
        <f>IF(ISERROR(VLOOKUP(T_Cuotas[[#This Row],[RUN]],Tabla_Pagos[],9,FALSE)),0,VLOOKUP(T_Cuotas[[#This Row],[RUN]],Tabla_Pagos[],9,FALSE))</f>
        <v>0</v>
      </c>
      <c r="F37" s="5">
        <f>T_Cuotas[[#This Row],[Cuota_1]]+T_Cuotas[[#This Row],[Cuota_2]]+T_Cuotas[[#This Row],[Cuota_3]]</f>
        <v>0</v>
      </c>
      <c r="G37" s="1">
        <f>COUNTIF(T_Cuotas[RUN],T_Cuotas[[#This Row],[RUN]])</f>
        <v>1</v>
      </c>
      <c r="H37" s="5" t="str">
        <f>IF(ISERROR(VLOOKUP(T_Cuotas[[#This Row],[RUN]],T_Voluntarios[],2,FALSE)),"No Existe",VLOOKUP(T_Cuotas[[#This Row],[RUN]],T_Voluntarios[],2,FALSE))</f>
        <v>texiasl@gmail.com</v>
      </c>
      <c r="I37" s="5"/>
      <c r="J37" s="5" t="str">
        <f>IF(ISERROR(VLOOKUP(T_Cuotas[[#This Row],[RUN]],T_Voluntarios[],8,FALSE)),"No Existe",VLOOKUP(T_Cuotas[[#This Row],[RUN]],T_Voluntarios[],8,FALSE))</f>
        <v>+56954600260</v>
      </c>
      <c r="K37" s="5" t="str">
        <f>IF(ISERROR(VLOOKUP(T_Cuotas[[#This Row],[RUN]],T_Voluntarios[],10,FALSE)),"No Existe",VLOOKUP(T_Cuotas[[#This Row],[RUN]],T_Voluntarios[],10,FALSE))</f>
        <v>La Montaña</v>
      </c>
      <c r="L37" s="5" t="str">
        <f>IF(ISERROR(VLOOKUP(T_Cuotas[[#This Row],[RUN]],T_Voluntarios[],30,FALSE)),"No Existe",VLOOKUP(T_Cuotas[[#This Row],[RUN]],T_Voluntarios[],30,FALSE))</f>
        <v>NO Vigente</v>
      </c>
      <c r="M37" s="5" t="str">
        <f>IF(ISERROR(VLOOKUP(T_Cuotas[[#This Row],[RUN]],T_Voluntarios[],13,FALSE)),"No Existe",VLOOKUP(T_Cuotas[[#This Row],[RUN]],T_Voluntarios[],13,FALSE))</f>
        <v>Alimentación Tradicional</v>
      </c>
    </row>
    <row r="38" spans="1:13" x14ac:dyDescent="0.3">
      <c r="A38" s="2" t="s">
        <v>1109</v>
      </c>
      <c r="B38" t="str">
        <f>IF(ISERROR(VLOOKUP(T_Cuotas[[#This Row],[RUN]],T_Voluntarios[],3,FALSE)),"No Existe",VLOOKUP(T_Cuotas[[#This Row],[RUN]],T_Voluntarios[],3,FALSE))</f>
        <v>Darío Alfonso Sheward Castillo</v>
      </c>
      <c r="C38" s="5">
        <f>IF(ISERROR(VLOOKUP(T_Cuotas[[#This Row],[RUN]],Tabla_Pagos[],7,FALSE)),0,VLOOKUP(T_Cuotas[[#This Row],[RUN]],Tabla_Pagos[],7,FALSE))</f>
        <v>20000</v>
      </c>
      <c r="D38" s="5">
        <f>IF(ISERROR(VLOOKUP(T_Cuotas[[#This Row],[RUN]],Tabla_Pagos[],8,FALSE)),0,VLOOKUP(T_Cuotas[[#This Row],[RUN]],Tabla_Pagos[],8,FALSE))</f>
        <v>16500</v>
      </c>
      <c r="E38" s="5">
        <f>IF(ISERROR(VLOOKUP(T_Cuotas[[#This Row],[RUN]],Tabla_Pagos[],9,FALSE)),0,VLOOKUP(T_Cuotas[[#This Row],[RUN]],Tabla_Pagos[],9,FALSE))</f>
        <v>0</v>
      </c>
      <c r="F38" s="5">
        <f>T_Cuotas[[#This Row],[Cuota_1]]+T_Cuotas[[#This Row],[Cuota_2]]+T_Cuotas[[#This Row],[Cuota_3]]</f>
        <v>36500</v>
      </c>
      <c r="G38" s="1">
        <f>COUNTIF(T_Cuotas[RUN],T_Cuotas[[#This Row],[RUN]])</f>
        <v>1</v>
      </c>
      <c r="H38" s="5" t="str">
        <f>IF(ISERROR(VLOOKUP(T_Cuotas[[#This Row],[RUN]],T_Voluntarios[],2,FALSE)),"No Existe",VLOOKUP(T_Cuotas[[#This Row],[RUN]],T_Voluntarios[],2,FALSE))</f>
        <v>dsheward05@gmail.com</v>
      </c>
      <c r="I38" s="5"/>
      <c r="J38" s="5" t="str">
        <f>IF(ISERROR(VLOOKUP(T_Cuotas[[#This Row],[RUN]],T_Voluntarios[],8,FALSE)),"No Existe",VLOOKUP(T_Cuotas[[#This Row],[RUN]],T_Voluntarios[],8,FALSE))</f>
        <v>+56950170657</v>
      </c>
      <c r="K38" s="5" t="str">
        <f>IF(ISERROR(VLOOKUP(T_Cuotas[[#This Row],[RUN]],T_Voluntarios[],10,FALSE)),"No Existe",VLOOKUP(T_Cuotas[[#This Row],[RUN]],T_Voluntarios[],10,FALSE))</f>
        <v>Rucapeñihue</v>
      </c>
      <c r="L38" s="5" t="str">
        <f>IF(ISERROR(VLOOKUP(T_Cuotas[[#This Row],[RUN]],T_Voluntarios[],30,FALSE)),"No Existe",VLOOKUP(T_Cuotas[[#This Row],[RUN]],T_Voluntarios[],30,FALSE))</f>
        <v>Vigente</v>
      </c>
      <c r="M38" s="5" t="str">
        <f>IF(ISERROR(VLOOKUP(T_Cuotas[[#This Row],[RUN]],T_Voluntarios[],13,FALSE)),"No Existe",VLOOKUP(T_Cuotas[[#This Row],[RUN]],T_Voluntarios[],13,FALSE))</f>
        <v>Sin Almuerzo</v>
      </c>
    </row>
    <row r="39" spans="1:13" x14ac:dyDescent="0.3">
      <c r="A39" s="2" t="s">
        <v>1120</v>
      </c>
      <c r="B39" t="str">
        <f>IF(ISERROR(VLOOKUP(T_Cuotas[[#This Row],[RUN]],T_Voluntarios[],3,FALSE)),"No Existe",VLOOKUP(T_Cuotas[[#This Row],[RUN]],T_Voluntarios[],3,FALSE))</f>
        <v>Emilia Belén Maturana Valverde</v>
      </c>
      <c r="C39" s="5">
        <f>IF(ISERROR(VLOOKUP(T_Cuotas[[#This Row],[RUN]],Tabla_Pagos[],7,FALSE)),0,VLOOKUP(T_Cuotas[[#This Row],[RUN]],Tabla_Pagos[],7,FALSE))</f>
        <v>20000</v>
      </c>
      <c r="D39" s="5">
        <f>IF(ISERROR(VLOOKUP(T_Cuotas[[#This Row],[RUN]],Tabla_Pagos[],8,FALSE)),0,VLOOKUP(T_Cuotas[[#This Row],[RUN]],Tabla_Pagos[],8,FALSE))</f>
        <v>15000</v>
      </c>
      <c r="E39" s="5">
        <f>IF(ISERROR(VLOOKUP(T_Cuotas[[#This Row],[RUN]],Tabla_Pagos[],9,FALSE)),0,VLOOKUP(T_Cuotas[[#This Row],[RUN]],Tabla_Pagos[],9,FALSE))</f>
        <v>15000</v>
      </c>
      <c r="F39" s="5">
        <f>T_Cuotas[[#This Row],[Cuota_1]]+T_Cuotas[[#This Row],[Cuota_2]]+T_Cuotas[[#This Row],[Cuota_3]]</f>
        <v>50000</v>
      </c>
      <c r="G39" s="1">
        <f>COUNTIF(T_Cuotas[RUN],T_Cuotas[[#This Row],[RUN]])</f>
        <v>1</v>
      </c>
      <c r="H39" s="5" t="str">
        <f>IF(ISERROR(VLOOKUP(T_Cuotas[[#This Row],[RUN]],T_Voluntarios[],2,FALSE)),"No Existe",VLOOKUP(T_Cuotas[[#This Row],[RUN]],T_Voluntarios[],2,FALSE))</f>
        <v>maturana.emilia21@gmail.com</v>
      </c>
      <c r="I39" s="5"/>
      <c r="J39" s="5" t="str">
        <f>IF(ISERROR(VLOOKUP(T_Cuotas[[#This Row],[RUN]],T_Voluntarios[],8,FALSE)),"No Existe",VLOOKUP(T_Cuotas[[#This Row],[RUN]],T_Voluntarios[],8,FALSE))</f>
        <v>+56978779116</v>
      </c>
      <c r="K39" s="5" t="str">
        <f>IF(ISERROR(VLOOKUP(T_Cuotas[[#This Row],[RUN]],T_Voluntarios[],10,FALSE)),"No Existe",VLOOKUP(T_Cuotas[[#This Row],[RUN]],T_Voluntarios[],10,FALSE))</f>
        <v>Sagrados Corazones</v>
      </c>
      <c r="L39" s="5" t="str">
        <f>IF(ISERROR(VLOOKUP(T_Cuotas[[#This Row],[RUN]],T_Voluntarios[],30,FALSE)),"No Existe",VLOOKUP(T_Cuotas[[#This Row],[RUN]],T_Voluntarios[],30,FALSE))</f>
        <v>Vigente</v>
      </c>
      <c r="M39" s="5" t="str">
        <f>IF(ISERROR(VLOOKUP(T_Cuotas[[#This Row],[RUN]],T_Voluntarios[],13,FALSE)),"No Existe",VLOOKUP(T_Cuotas[[#This Row],[RUN]],T_Voluntarios[],13,FALSE))</f>
        <v>Alimentación Vegetariana</v>
      </c>
    </row>
    <row r="40" spans="1:13" x14ac:dyDescent="0.3">
      <c r="A40" s="2" t="s">
        <v>1132</v>
      </c>
      <c r="B40" t="str">
        <f>IF(ISERROR(VLOOKUP(T_Cuotas[[#This Row],[RUN]],T_Voluntarios[],3,FALSE)),"No Existe",VLOOKUP(T_Cuotas[[#This Row],[RUN]],T_Voluntarios[],3,FALSE))</f>
        <v>Sofía Isabel Martínez Clavería</v>
      </c>
      <c r="C40" s="5">
        <f>IF(ISERROR(VLOOKUP(T_Cuotas[[#This Row],[RUN]],Tabla_Pagos[],7,FALSE)),0,VLOOKUP(T_Cuotas[[#This Row],[RUN]],Tabla_Pagos[],7,FALSE))</f>
        <v>20000</v>
      </c>
      <c r="D40" s="5">
        <f>IF(ISERROR(VLOOKUP(T_Cuotas[[#This Row],[RUN]],Tabla_Pagos[],8,FALSE)),0,VLOOKUP(T_Cuotas[[#This Row],[RUN]],Tabla_Pagos[],8,FALSE))</f>
        <v>16500</v>
      </c>
      <c r="E40" s="5">
        <f>IF(ISERROR(VLOOKUP(T_Cuotas[[#This Row],[RUN]],Tabla_Pagos[],9,FALSE)),0,VLOOKUP(T_Cuotas[[#This Row],[RUN]],Tabla_Pagos[],9,FALSE))</f>
        <v>0</v>
      </c>
      <c r="F40" s="5">
        <f>T_Cuotas[[#This Row],[Cuota_1]]+T_Cuotas[[#This Row],[Cuota_2]]+T_Cuotas[[#This Row],[Cuota_3]]</f>
        <v>36500</v>
      </c>
      <c r="G40" s="1">
        <f>COUNTIF(T_Cuotas[RUN],T_Cuotas[[#This Row],[RUN]])</f>
        <v>1</v>
      </c>
      <c r="H40" s="5" t="str">
        <f>IF(ISERROR(VLOOKUP(T_Cuotas[[#This Row],[RUN]],T_Voluntarios[],2,FALSE)),"No Existe",VLOOKUP(T_Cuotas[[#This Row],[RUN]],T_Voluntarios[],2,FALSE))</f>
        <v>sofiaisabelmc@gmail.com</v>
      </c>
      <c r="I40" s="5"/>
      <c r="J40" s="5" t="str">
        <f>IF(ISERROR(VLOOKUP(T_Cuotas[[#This Row],[RUN]],T_Voluntarios[],8,FALSE)),"No Existe",VLOOKUP(T_Cuotas[[#This Row],[RUN]],T_Voluntarios[],8,FALSE))</f>
        <v>+56999225725</v>
      </c>
      <c r="K40" s="5" t="str">
        <f>IF(ISERROR(VLOOKUP(T_Cuotas[[#This Row],[RUN]],T_Voluntarios[],10,FALSE)),"No Existe",VLOOKUP(T_Cuotas[[#This Row],[RUN]],T_Voluntarios[],10,FALSE))</f>
        <v>Rucapeñihue</v>
      </c>
      <c r="L40" s="5" t="str">
        <f>IF(ISERROR(VLOOKUP(T_Cuotas[[#This Row],[RUN]],T_Voluntarios[],30,FALSE)),"No Existe",VLOOKUP(T_Cuotas[[#This Row],[RUN]],T_Voluntarios[],30,FALSE))</f>
        <v>Vigente</v>
      </c>
      <c r="M40" s="5" t="str">
        <f>IF(ISERROR(VLOOKUP(T_Cuotas[[#This Row],[RUN]],T_Voluntarios[],13,FALSE)),"No Existe",VLOOKUP(T_Cuotas[[#This Row],[RUN]],T_Voluntarios[],13,FALSE))</f>
        <v>Sin Almuerzo</v>
      </c>
    </row>
    <row r="41" spans="1:13" x14ac:dyDescent="0.3">
      <c r="A41" s="2" t="s">
        <v>1141</v>
      </c>
      <c r="B41" t="str">
        <f>IF(ISERROR(VLOOKUP(T_Cuotas[[#This Row],[RUN]],T_Voluntarios[],3,FALSE)),"No Existe",VLOOKUP(T_Cuotas[[#This Row],[RUN]],T_Voluntarios[],3,FALSE))</f>
        <v>Antonia Isabel Venegas Larrere</v>
      </c>
      <c r="C41" s="5">
        <f>IF(ISERROR(VLOOKUP(T_Cuotas[[#This Row],[RUN]],Tabla_Pagos[],7,FALSE)),0,VLOOKUP(T_Cuotas[[#This Row],[RUN]],Tabla_Pagos[],7,FALSE))</f>
        <v>20000</v>
      </c>
      <c r="D41" s="5">
        <f>IF(ISERROR(VLOOKUP(T_Cuotas[[#This Row],[RUN]],Tabla_Pagos[],8,FALSE)),0,VLOOKUP(T_Cuotas[[#This Row],[RUN]],Tabla_Pagos[],8,FALSE))</f>
        <v>15000</v>
      </c>
      <c r="E41" s="5">
        <f>IF(ISERROR(VLOOKUP(T_Cuotas[[#This Row],[RUN]],Tabla_Pagos[],9,FALSE)),0,VLOOKUP(T_Cuotas[[#This Row],[RUN]],Tabla_Pagos[],9,FALSE))</f>
        <v>15000</v>
      </c>
      <c r="F41" s="5">
        <f>T_Cuotas[[#This Row],[Cuota_1]]+T_Cuotas[[#This Row],[Cuota_2]]+T_Cuotas[[#This Row],[Cuota_3]]</f>
        <v>50000</v>
      </c>
      <c r="G41" s="1">
        <f>COUNTIF(T_Cuotas[RUN],T_Cuotas[[#This Row],[RUN]])</f>
        <v>1</v>
      </c>
      <c r="H41" s="5" t="str">
        <f>IF(ISERROR(VLOOKUP(T_Cuotas[[#This Row],[RUN]],T_Voluntarios[],2,FALSE)),"No Existe",VLOOKUP(T_Cuotas[[#This Row],[RUN]],T_Voluntarios[],2,FALSE))</f>
        <v>antomm002@gmail.com</v>
      </c>
      <c r="I41" s="5"/>
      <c r="J41" s="5" t="str">
        <f>IF(ISERROR(VLOOKUP(T_Cuotas[[#This Row],[RUN]],T_Voluntarios[],8,FALSE)),"No Existe",VLOOKUP(T_Cuotas[[#This Row],[RUN]],T_Voluntarios[],8,FALSE))</f>
        <v>+56942538502</v>
      </c>
      <c r="K41" s="5" t="str">
        <f>IF(ISERROR(VLOOKUP(T_Cuotas[[#This Row],[RUN]],T_Voluntarios[],10,FALSE)),"No Existe",VLOOKUP(T_Cuotas[[#This Row],[RUN]],T_Voluntarios[],10,FALSE))</f>
        <v>Sagrados Corazones</v>
      </c>
      <c r="L41" s="5" t="str">
        <f>IF(ISERROR(VLOOKUP(T_Cuotas[[#This Row],[RUN]],T_Voluntarios[],30,FALSE)),"No Existe",VLOOKUP(T_Cuotas[[#This Row],[RUN]],T_Voluntarios[],30,FALSE))</f>
        <v>Vigente</v>
      </c>
      <c r="M41" s="5" t="str">
        <f>IF(ISERROR(VLOOKUP(T_Cuotas[[#This Row],[RUN]],T_Voluntarios[],13,FALSE)),"No Existe",VLOOKUP(T_Cuotas[[#This Row],[RUN]],T_Voluntarios[],13,FALSE))</f>
        <v>Alimentación Tradicional</v>
      </c>
    </row>
    <row r="42" spans="1:13" x14ac:dyDescent="0.3">
      <c r="A42" s="2" t="s">
        <v>1151</v>
      </c>
      <c r="B42" t="str">
        <f>IF(ISERROR(VLOOKUP(T_Cuotas[[#This Row],[RUN]],T_Voluntarios[],3,FALSE)),"No Existe",VLOOKUP(T_Cuotas[[#This Row],[RUN]],T_Voluntarios[],3,FALSE))</f>
        <v>Carolina Francisca Silva Molina</v>
      </c>
      <c r="C42" s="5">
        <f>IF(ISERROR(VLOOKUP(T_Cuotas[[#This Row],[RUN]],Tabla_Pagos[],7,FALSE)),0,VLOOKUP(T_Cuotas[[#This Row],[RUN]],Tabla_Pagos[],7,FALSE))</f>
        <v>20000</v>
      </c>
      <c r="D42" s="5">
        <f>IF(ISERROR(VLOOKUP(T_Cuotas[[#This Row],[RUN]],Tabla_Pagos[],8,FALSE)),0,VLOOKUP(T_Cuotas[[#This Row],[RUN]],Tabla_Pagos[],8,FALSE))</f>
        <v>16500</v>
      </c>
      <c r="E42" s="5">
        <f>IF(ISERROR(VLOOKUP(T_Cuotas[[#This Row],[RUN]],Tabla_Pagos[],9,FALSE)),0,VLOOKUP(T_Cuotas[[#This Row],[RUN]],Tabla_Pagos[],9,FALSE))</f>
        <v>0</v>
      </c>
      <c r="F42" s="5">
        <f>T_Cuotas[[#This Row],[Cuota_1]]+T_Cuotas[[#This Row],[Cuota_2]]+T_Cuotas[[#This Row],[Cuota_3]]</f>
        <v>36500</v>
      </c>
      <c r="G42" s="1">
        <f>COUNTIF(T_Cuotas[RUN],T_Cuotas[[#This Row],[RUN]])</f>
        <v>1</v>
      </c>
      <c r="H42" s="5" t="str">
        <f>IF(ISERROR(VLOOKUP(T_Cuotas[[#This Row],[RUN]],T_Voluntarios[],2,FALSE)),"No Existe",VLOOKUP(T_Cuotas[[#This Row],[RUN]],T_Voluntarios[],2,FALSE))</f>
        <v>c.silvamolina2@gmail.com</v>
      </c>
      <c r="I42" s="5"/>
      <c r="J42" s="5" t="str">
        <f>IF(ISERROR(VLOOKUP(T_Cuotas[[#This Row],[RUN]],T_Voluntarios[],8,FALSE)),"No Existe",VLOOKUP(T_Cuotas[[#This Row],[RUN]],T_Voluntarios[],8,FALSE))</f>
        <v>+56966604575</v>
      </c>
      <c r="K42" s="5" t="str">
        <f>IF(ISERROR(VLOOKUP(T_Cuotas[[#This Row],[RUN]],T_Voluntarios[],10,FALSE)),"No Existe",VLOOKUP(T_Cuotas[[#This Row],[RUN]],T_Voluntarios[],10,FALSE))</f>
        <v>Rucapeñihue</v>
      </c>
      <c r="L42" s="5" t="str">
        <f>IF(ISERROR(VLOOKUP(T_Cuotas[[#This Row],[RUN]],T_Voluntarios[],30,FALSE)),"No Existe",VLOOKUP(T_Cuotas[[#This Row],[RUN]],T_Voluntarios[],30,FALSE))</f>
        <v>Vigente</v>
      </c>
      <c r="M42" s="5" t="str">
        <f>IF(ISERROR(VLOOKUP(T_Cuotas[[#This Row],[RUN]],T_Voluntarios[],13,FALSE)),"No Existe",VLOOKUP(T_Cuotas[[#This Row],[RUN]],T_Voluntarios[],13,FALSE))</f>
        <v>Sin Almuerzo</v>
      </c>
    </row>
    <row r="43" spans="1:13" x14ac:dyDescent="0.3">
      <c r="A43" s="2" t="s">
        <v>1163</v>
      </c>
      <c r="B43" t="str">
        <f>IF(ISERROR(VLOOKUP(T_Cuotas[[#This Row],[RUN]],T_Voluntarios[],3,FALSE)),"No Existe",VLOOKUP(T_Cuotas[[#This Row],[RUN]],T_Voluntarios[],3,FALSE))</f>
        <v>Fernanda Javiera Pérez Figueroa</v>
      </c>
      <c r="C43" s="5">
        <f>IF(ISERROR(VLOOKUP(T_Cuotas[[#This Row],[RUN]],Tabla_Pagos[],7,FALSE)),0,VLOOKUP(T_Cuotas[[#This Row],[RUN]],Tabla_Pagos[],7,FALSE))</f>
        <v>20000</v>
      </c>
      <c r="D43" s="5">
        <f>IF(ISERROR(VLOOKUP(T_Cuotas[[#This Row],[RUN]],Tabla_Pagos[],8,FALSE)),0,VLOOKUP(T_Cuotas[[#This Row],[RUN]],Tabla_Pagos[],8,FALSE))</f>
        <v>16500</v>
      </c>
      <c r="E43" s="5">
        <f>IF(ISERROR(VLOOKUP(T_Cuotas[[#This Row],[RUN]],Tabla_Pagos[],9,FALSE)),0,VLOOKUP(T_Cuotas[[#This Row],[RUN]],Tabla_Pagos[],9,FALSE))</f>
        <v>0</v>
      </c>
      <c r="F43" s="5">
        <f>T_Cuotas[[#This Row],[Cuota_1]]+T_Cuotas[[#This Row],[Cuota_2]]+T_Cuotas[[#This Row],[Cuota_3]]</f>
        <v>36500</v>
      </c>
      <c r="G43" s="1">
        <f>COUNTIF(T_Cuotas[RUN],T_Cuotas[[#This Row],[RUN]])</f>
        <v>1</v>
      </c>
      <c r="H43" s="5" t="str">
        <f>IF(ISERROR(VLOOKUP(T_Cuotas[[#This Row],[RUN]],T_Voluntarios[],2,FALSE)),"No Existe",VLOOKUP(T_Cuotas[[#This Row],[RUN]],T_Voluntarios[],2,FALSE))</f>
        <v>fbonfimm@gmail.com</v>
      </c>
      <c r="I43" s="5"/>
      <c r="J43" s="5" t="str">
        <f>IF(ISERROR(VLOOKUP(T_Cuotas[[#This Row],[RUN]],T_Voluntarios[],8,FALSE)),"No Existe",VLOOKUP(T_Cuotas[[#This Row],[RUN]],T_Voluntarios[],8,FALSE))</f>
        <v>+56936336569</v>
      </c>
      <c r="K43" s="5" t="str">
        <f>IF(ISERROR(VLOOKUP(T_Cuotas[[#This Row],[RUN]],T_Voluntarios[],10,FALSE)),"No Existe",VLOOKUP(T_Cuotas[[#This Row],[RUN]],T_Voluntarios[],10,FALSE))</f>
        <v>Rucapeñihue</v>
      </c>
      <c r="L43" s="5" t="str">
        <f>IF(ISERROR(VLOOKUP(T_Cuotas[[#This Row],[RUN]],T_Voluntarios[],30,FALSE)),"No Existe",VLOOKUP(T_Cuotas[[#This Row],[RUN]],T_Voluntarios[],30,FALSE))</f>
        <v>Vigente</v>
      </c>
      <c r="M43" s="5" t="str">
        <f>IF(ISERROR(VLOOKUP(T_Cuotas[[#This Row],[RUN]],T_Voluntarios[],13,FALSE)),"No Existe",VLOOKUP(T_Cuotas[[#This Row],[RUN]],T_Voluntarios[],13,FALSE))</f>
        <v>Sin Almuerzo</v>
      </c>
    </row>
    <row r="44" spans="1:13" x14ac:dyDescent="0.3">
      <c r="A44" s="2" t="s">
        <v>1176</v>
      </c>
      <c r="B44" t="str">
        <f>IF(ISERROR(VLOOKUP(T_Cuotas[[#This Row],[RUN]],T_Voluntarios[],3,FALSE)),"No Existe",VLOOKUP(T_Cuotas[[#This Row],[RUN]],T_Voluntarios[],3,FALSE))</f>
        <v>Angela Belén Martínez Clavería</v>
      </c>
      <c r="C44" s="5">
        <f>IF(ISERROR(VLOOKUP(T_Cuotas[[#This Row],[RUN]],Tabla_Pagos[],7,FALSE)),0,VLOOKUP(T_Cuotas[[#This Row],[RUN]],Tabla_Pagos[],7,FALSE))</f>
        <v>20000</v>
      </c>
      <c r="D44" s="5">
        <f>IF(ISERROR(VLOOKUP(T_Cuotas[[#This Row],[RUN]],Tabla_Pagos[],8,FALSE)),0,VLOOKUP(T_Cuotas[[#This Row],[RUN]],Tabla_Pagos[],8,FALSE))</f>
        <v>16500</v>
      </c>
      <c r="E44" s="5">
        <f>IF(ISERROR(VLOOKUP(T_Cuotas[[#This Row],[RUN]],Tabla_Pagos[],9,FALSE)),0,VLOOKUP(T_Cuotas[[#This Row],[RUN]],Tabla_Pagos[],9,FALSE))</f>
        <v>0</v>
      </c>
      <c r="F44" s="5">
        <f>T_Cuotas[[#This Row],[Cuota_1]]+T_Cuotas[[#This Row],[Cuota_2]]+T_Cuotas[[#This Row],[Cuota_3]]</f>
        <v>36500</v>
      </c>
      <c r="G44" s="1">
        <f>COUNTIF(T_Cuotas[RUN],T_Cuotas[[#This Row],[RUN]])</f>
        <v>1</v>
      </c>
      <c r="H44" s="5" t="str">
        <f>IF(ISERROR(VLOOKUP(T_Cuotas[[#This Row],[RUN]],T_Voluntarios[],2,FALSE)),"No Existe",VLOOKUP(T_Cuotas[[#This Row],[RUN]],T_Voluntarios[],2,FALSE))</f>
        <v>angelabelenmc@gmail.com</v>
      </c>
      <c r="I44" s="5"/>
      <c r="J44" s="5" t="str">
        <f>IF(ISERROR(VLOOKUP(T_Cuotas[[#This Row],[RUN]],T_Voluntarios[],8,FALSE)),"No Existe",VLOOKUP(T_Cuotas[[#This Row],[RUN]],T_Voluntarios[],8,FALSE))</f>
        <v>+56950112060</v>
      </c>
      <c r="K44" s="5" t="str">
        <f>IF(ISERROR(VLOOKUP(T_Cuotas[[#This Row],[RUN]],T_Voluntarios[],10,FALSE)),"No Existe",VLOOKUP(T_Cuotas[[#This Row],[RUN]],T_Voluntarios[],10,FALSE))</f>
        <v>Rucapeñihue</v>
      </c>
      <c r="L44" s="5" t="str">
        <f>IF(ISERROR(VLOOKUP(T_Cuotas[[#This Row],[RUN]],T_Voluntarios[],30,FALSE)),"No Existe",VLOOKUP(T_Cuotas[[#This Row],[RUN]],T_Voluntarios[],30,FALSE))</f>
        <v>Vigente</v>
      </c>
      <c r="M44" s="5" t="str">
        <f>IF(ISERROR(VLOOKUP(T_Cuotas[[#This Row],[RUN]],T_Voluntarios[],13,FALSE)),"No Existe",VLOOKUP(T_Cuotas[[#This Row],[RUN]],T_Voluntarios[],13,FALSE))</f>
        <v>Sin Almuerzo</v>
      </c>
    </row>
    <row r="45" spans="1:13" x14ac:dyDescent="0.3">
      <c r="A45" s="2" t="s">
        <v>1557</v>
      </c>
      <c r="B45" t="str">
        <f>IF(ISERROR(VLOOKUP(T_Cuotas[[#This Row],[RUN]],T_Voluntarios[],3,FALSE)),"No Existe",VLOOKUP(T_Cuotas[[#This Row],[RUN]],T_Voluntarios[],3,FALSE))</f>
        <v>Álvaro Andrés Toledo Seguel</v>
      </c>
      <c r="C45" s="5">
        <f>IF(ISERROR(VLOOKUP(T_Cuotas[[#This Row],[RUN]],Tabla_Pagos[],7,FALSE)),0,VLOOKUP(T_Cuotas[[#This Row],[RUN]],Tabla_Pagos[],7,FALSE))</f>
        <v>20000</v>
      </c>
      <c r="D45" s="5">
        <f>IF(ISERROR(VLOOKUP(T_Cuotas[[#This Row],[RUN]],Tabla_Pagos[],8,FALSE)),0,VLOOKUP(T_Cuotas[[#This Row],[RUN]],Tabla_Pagos[],8,FALSE))</f>
        <v>15000</v>
      </c>
      <c r="E45" s="5">
        <f>IF(ISERROR(VLOOKUP(T_Cuotas[[#This Row],[RUN]],Tabla_Pagos[],9,FALSE)),0,VLOOKUP(T_Cuotas[[#This Row],[RUN]],Tabla_Pagos[],9,FALSE))</f>
        <v>15000</v>
      </c>
      <c r="F45" s="5">
        <f>T_Cuotas[[#This Row],[Cuota_1]]+T_Cuotas[[#This Row],[Cuota_2]]+T_Cuotas[[#This Row],[Cuota_3]]</f>
        <v>50000</v>
      </c>
      <c r="G45" s="1">
        <f>COUNTIF(T_Cuotas[RUN],T_Cuotas[[#This Row],[RUN]])</f>
        <v>1</v>
      </c>
      <c r="H45" s="5" t="str">
        <f>IF(ISERROR(VLOOKUP(T_Cuotas[[#This Row],[RUN]],T_Voluntarios[],2,FALSE)),"No Existe",VLOOKUP(T_Cuotas[[#This Row],[RUN]],T_Voluntarios[],2,FALSE))</f>
        <v>alvarotoleseguel@gmail.com</v>
      </c>
      <c r="I45" s="5"/>
      <c r="J45" s="5" t="str">
        <f>IF(ISERROR(VLOOKUP(T_Cuotas[[#This Row],[RUN]],T_Voluntarios[],8,FALSE)),"No Existe",VLOOKUP(T_Cuotas[[#This Row],[RUN]],T_Voluntarios[],8,FALSE))</f>
        <v>+56978485507</v>
      </c>
      <c r="K45" s="5" t="str">
        <f>IF(ISERROR(VLOOKUP(T_Cuotas[[#This Row],[RUN]],T_Voluntarios[],10,FALSE)),"No Existe",VLOOKUP(T_Cuotas[[#This Row],[RUN]],T_Voluntarios[],10,FALSE))</f>
        <v>La Montaña</v>
      </c>
      <c r="L45" s="5" t="str">
        <f>IF(ISERROR(VLOOKUP(T_Cuotas[[#This Row],[RUN]],T_Voluntarios[],30,FALSE)),"No Existe",VLOOKUP(T_Cuotas[[#This Row],[RUN]],T_Voluntarios[],30,FALSE))</f>
        <v>Vigente</v>
      </c>
      <c r="M45" s="5" t="str">
        <f>IF(ISERROR(VLOOKUP(T_Cuotas[[#This Row],[RUN]],T_Voluntarios[],13,FALSE)),"No Existe",VLOOKUP(T_Cuotas[[#This Row],[RUN]],T_Voluntarios[],13,FALSE))</f>
        <v>Alimentación Vegetariana</v>
      </c>
    </row>
    <row r="46" spans="1:13" x14ac:dyDescent="0.3">
      <c r="A46" s="2" t="s">
        <v>1194</v>
      </c>
      <c r="B46" t="str">
        <f>IF(ISERROR(VLOOKUP(T_Cuotas[[#This Row],[RUN]],T_Voluntarios[],3,FALSE)),"No Existe",VLOOKUP(T_Cuotas[[#This Row],[RUN]],T_Voluntarios[],3,FALSE))</f>
        <v>Camila Francisca Guala Troncoso</v>
      </c>
      <c r="C46" s="5">
        <f>IF(ISERROR(VLOOKUP(T_Cuotas[[#This Row],[RUN]],Tabla_Pagos[],7,FALSE)),0,VLOOKUP(T_Cuotas[[#This Row],[RUN]],Tabla_Pagos[],7,FALSE))</f>
        <v>20000</v>
      </c>
      <c r="D46" s="5">
        <f>IF(ISERROR(VLOOKUP(T_Cuotas[[#This Row],[RUN]],Tabla_Pagos[],8,FALSE)),0,VLOOKUP(T_Cuotas[[#This Row],[RUN]],Tabla_Pagos[],8,FALSE))</f>
        <v>16500</v>
      </c>
      <c r="E46" s="5">
        <f>IF(ISERROR(VLOOKUP(T_Cuotas[[#This Row],[RUN]],Tabla_Pagos[],9,FALSE)),0,VLOOKUP(T_Cuotas[[#This Row],[RUN]],Tabla_Pagos[],9,FALSE))</f>
        <v>0</v>
      </c>
      <c r="F46" s="5">
        <f>T_Cuotas[[#This Row],[Cuota_1]]+T_Cuotas[[#This Row],[Cuota_2]]+T_Cuotas[[#This Row],[Cuota_3]]</f>
        <v>36500</v>
      </c>
      <c r="G46" s="1">
        <f>COUNTIF(T_Cuotas[RUN],T_Cuotas[[#This Row],[RUN]])</f>
        <v>1</v>
      </c>
      <c r="H46" s="5" t="str">
        <f>IF(ISERROR(VLOOKUP(T_Cuotas[[#This Row],[RUN]],T_Voluntarios[],2,FALSE)),"No Existe",VLOOKUP(T_Cuotas[[#This Row],[RUN]],T_Voluntarios[],2,FALSE))</f>
        <v>camilafgt.cg@gmail.com</v>
      </c>
      <c r="I46" s="5"/>
      <c r="J46" s="5" t="str">
        <f>IF(ISERROR(VLOOKUP(T_Cuotas[[#This Row],[RUN]],T_Voluntarios[],8,FALSE)),"No Existe",VLOOKUP(T_Cuotas[[#This Row],[RUN]],T_Voluntarios[],8,FALSE))</f>
        <v>+56981509663</v>
      </c>
      <c r="K46" s="5" t="str">
        <f>IF(ISERROR(VLOOKUP(T_Cuotas[[#This Row],[RUN]],T_Voluntarios[],10,FALSE)),"No Existe",VLOOKUP(T_Cuotas[[#This Row],[RUN]],T_Voluntarios[],10,FALSE))</f>
        <v>Rucapeñihue</v>
      </c>
      <c r="L46" s="5" t="str">
        <f>IF(ISERROR(VLOOKUP(T_Cuotas[[#This Row],[RUN]],T_Voluntarios[],30,FALSE)),"No Existe",VLOOKUP(T_Cuotas[[#This Row],[RUN]],T_Voluntarios[],30,FALSE))</f>
        <v>Vigente</v>
      </c>
      <c r="M46" s="5" t="str">
        <f>IF(ISERROR(VLOOKUP(T_Cuotas[[#This Row],[RUN]],T_Voluntarios[],13,FALSE)),"No Existe",VLOOKUP(T_Cuotas[[#This Row],[RUN]],T_Voluntarios[],13,FALSE))</f>
        <v>Sin Almuerzo</v>
      </c>
    </row>
    <row r="47" spans="1:13" x14ac:dyDescent="0.3">
      <c r="A47" s="2" t="s">
        <v>1204</v>
      </c>
      <c r="B47" t="str">
        <f>IF(ISERROR(VLOOKUP(T_Cuotas[[#This Row],[RUN]],T_Voluntarios[],3,FALSE)),"No Existe",VLOOKUP(T_Cuotas[[#This Row],[RUN]],T_Voluntarios[],3,FALSE))</f>
        <v>Camila Andrea Rodriguez Vargas</v>
      </c>
      <c r="C47" s="5">
        <f>IF(ISERROR(VLOOKUP(T_Cuotas[[#This Row],[RUN]],Tabla_Pagos[],7,FALSE)),0,VLOOKUP(T_Cuotas[[#This Row],[RUN]],Tabla_Pagos[],7,FALSE))</f>
        <v>20000</v>
      </c>
      <c r="D47" s="5">
        <f>IF(ISERROR(VLOOKUP(T_Cuotas[[#This Row],[RUN]],Tabla_Pagos[],8,FALSE)),0,VLOOKUP(T_Cuotas[[#This Row],[RUN]],Tabla_Pagos[],8,FALSE))</f>
        <v>16500</v>
      </c>
      <c r="E47" s="5">
        <f>IF(ISERROR(VLOOKUP(T_Cuotas[[#This Row],[RUN]],Tabla_Pagos[],9,FALSE)),0,VLOOKUP(T_Cuotas[[#This Row],[RUN]],Tabla_Pagos[],9,FALSE))</f>
        <v>0</v>
      </c>
      <c r="F47" s="5">
        <f>T_Cuotas[[#This Row],[Cuota_1]]+T_Cuotas[[#This Row],[Cuota_2]]+T_Cuotas[[#This Row],[Cuota_3]]</f>
        <v>36500</v>
      </c>
      <c r="G47" s="1">
        <f>COUNTIF(T_Cuotas[RUN],T_Cuotas[[#This Row],[RUN]])</f>
        <v>1</v>
      </c>
      <c r="H47" s="5" t="str">
        <f>IF(ISERROR(VLOOKUP(T_Cuotas[[#This Row],[RUN]],T_Voluntarios[],2,FALSE)),"No Existe",VLOOKUP(T_Cuotas[[#This Row],[RUN]],T_Voluntarios[],2,FALSE))</f>
        <v>c.rodriguezvargas2@uandresbello.edu</v>
      </c>
      <c r="I47" s="5"/>
      <c r="J47" s="5" t="str">
        <f>IF(ISERROR(VLOOKUP(T_Cuotas[[#This Row],[RUN]],T_Voluntarios[],8,FALSE)),"No Existe",VLOOKUP(T_Cuotas[[#This Row],[RUN]],T_Voluntarios[],8,FALSE))</f>
        <v>+56933499983</v>
      </c>
      <c r="K47" s="5" t="str">
        <f>IF(ISERROR(VLOOKUP(T_Cuotas[[#This Row],[RUN]],T_Voluntarios[],10,FALSE)),"No Existe",VLOOKUP(T_Cuotas[[#This Row],[RUN]],T_Voluntarios[],10,FALSE))</f>
        <v>Rucapeñihue</v>
      </c>
      <c r="L47" s="5" t="str">
        <f>IF(ISERROR(VLOOKUP(T_Cuotas[[#This Row],[RUN]],T_Voluntarios[],30,FALSE)),"No Existe",VLOOKUP(T_Cuotas[[#This Row],[RUN]],T_Voluntarios[],30,FALSE))</f>
        <v>Vigente</v>
      </c>
      <c r="M47" s="5" t="str">
        <f>IF(ISERROR(VLOOKUP(T_Cuotas[[#This Row],[RUN]],T_Voluntarios[],13,FALSE)),"No Existe",VLOOKUP(T_Cuotas[[#This Row],[RUN]],T_Voluntarios[],13,FALSE))</f>
        <v>Sin Almuerzo</v>
      </c>
    </row>
    <row r="48" spans="1:13" x14ac:dyDescent="0.3">
      <c r="A48" s="2" t="s">
        <v>1215</v>
      </c>
      <c r="B48" t="str">
        <f>IF(ISERROR(VLOOKUP(T_Cuotas[[#This Row],[RUN]],T_Voluntarios[],3,FALSE)),"No Existe",VLOOKUP(T_Cuotas[[#This Row],[RUN]],T_Voluntarios[],3,FALSE))</f>
        <v>Santiago Khalil Constenla Arias</v>
      </c>
      <c r="C48" s="5">
        <f>IF(ISERROR(VLOOKUP(T_Cuotas[[#This Row],[RUN]],Tabla_Pagos[],7,FALSE)),0,VLOOKUP(T_Cuotas[[#This Row],[RUN]],Tabla_Pagos[],7,FALSE))</f>
        <v>20000</v>
      </c>
      <c r="D48" s="5">
        <f>IF(ISERROR(VLOOKUP(T_Cuotas[[#This Row],[RUN]],Tabla_Pagos[],8,FALSE)),0,VLOOKUP(T_Cuotas[[#This Row],[RUN]],Tabla_Pagos[],8,FALSE))</f>
        <v>16500</v>
      </c>
      <c r="E48" s="5">
        <f>IF(ISERROR(VLOOKUP(T_Cuotas[[#This Row],[RUN]],Tabla_Pagos[],9,FALSE)),0,VLOOKUP(T_Cuotas[[#This Row],[RUN]],Tabla_Pagos[],9,FALSE))</f>
        <v>0</v>
      </c>
      <c r="F48" s="5">
        <f>T_Cuotas[[#This Row],[Cuota_1]]+T_Cuotas[[#This Row],[Cuota_2]]+T_Cuotas[[#This Row],[Cuota_3]]</f>
        <v>36500</v>
      </c>
      <c r="G48" s="1">
        <f>COUNTIF(T_Cuotas[RUN],T_Cuotas[[#This Row],[RUN]])</f>
        <v>1</v>
      </c>
      <c r="H48" s="5" t="str">
        <f>IF(ISERROR(VLOOKUP(T_Cuotas[[#This Row],[RUN]],T_Voluntarios[],2,FALSE)),"No Existe",VLOOKUP(T_Cuotas[[#This Row],[RUN]],T_Voluntarios[],2,FALSE))</f>
        <v>santiagoconstenla2003@gmail.com</v>
      </c>
      <c r="I48" s="5"/>
      <c r="J48" s="5" t="str">
        <f>IF(ISERROR(VLOOKUP(T_Cuotas[[#This Row],[RUN]],T_Voluntarios[],8,FALSE)),"No Existe",VLOOKUP(T_Cuotas[[#This Row],[RUN]],T_Voluntarios[],8,FALSE))</f>
        <v>+56933855952</v>
      </c>
      <c r="K48" s="5" t="str">
        <f>IF(ISERROR(VLOOKUP(T_Cuotas[[#This Row],[RUN]],T_Voluntarios[],10,FALSE)),"No Existe",VLOOKUP(T_Cuotas[[#This Row],[RUN]],T_Voluntarios[],10,FALSE))</f>
        <v>Rucapeñihue</v>
      </c>
      <c r="L48" s="5" t="str">
        <f>IF(ISERROR(VLOOKUP(T_Cuotas[[#This Row],[RUN]],T_Voluntarios[],30,FALSE)),"No Existe",VLOOKUP(T_Cuotas[[#This Row],[RUN]],T_Voluntarios[],30,FALSE))</f>
        <v>Vigente</v>
      </c>
      <c r="M48" s="5" t="str">
        <f>IF(ISERROR(VLOOKUP(T_Cuotas[[#This Row],[RUN]],T_Voluntarios[],13,FALSE)),"No Existe",VLOOKUP(T_Cuotas[[#This Row],[RUN]],T_Voluntarios[],13,FALSE))</f>
        <v>Sin Almuerzo</v>
      </c>
    </row>
    <row r="49" spans="1:13" hidden="1" x14ac:dyDescent="0.3">
      <c r="A49" s="2" t="s">
        <v>1224</v>
      </c>
      <c r="B49" t="str">
        <f>IF(ISERROR(VLOOKUP(T_Cuotas[[#This Row],[RUN]],T_Voluntarios[],3,FALSE)),"No Existe",VLOOKUP(T_Cuotas[[#This Row],[RUN]],T_Voluntarios[],3,FALSE))</f>
        <v>Berlangue Carolaine Weisser Caniumil</v>
      </c>
      <c r="C49" s="5">
        <f>IF(ISERROR(VLOOKUP(T_Cuotas[[#This Row],[RUN]],Tabla_Pagos[],7,FALSE)),0,VLOOKUP(T_Cuotas[[#This Row],[RUN]],Tabla_Pagos[],7,FALSE))</f>
        <v>0</v>
      </c>
      <c r="D49" s="5">
        <f>IF(ISERROR(VLOOKUP(T_Cuotas[[#This Row],[RUN]],Tabla_Pagos[],8,FALSE)),0,VLOOKUP(T_Cuotas[[#This Row],[RUN]],Tabla_Pagos[],8,FALSE))</f>
        <v>0</v>
      </c>
      <c r="E49" s="5">
        <f>IF(ISERROR(VLOOKUP(T_Cuotas[[#This Row],[RUN]],Tabla_Pagos[],9,FALSE)),0,VLOOKUP(T_Cuotas[[#This Row],[RUN]],Tabla_Pagos[],9,FALSE))</f>
        <v>0</v>
      </c>
      <c r="F49" s="5">
        <f>T_Cuotas[[#This Row],[Cuota_1]]+T_Cuotas[[#This Row],[Cuota_2]]+T_Cuotas[[#This Row],[Cuota_3]]</f>
        <v>0</v>
      </c>
      <c r="G49" s="1">
        <f>COUNTIF(T_Cuotas[RUN],T_Cuotas[[#This Row],[RUN]])</f>
        <v>1</v>
      </c>
      <c r="H49" s="5" t="str">
        <f>IF(ISERROR(VLOOKUP(T_Cuotas[[#This Row],[RUN]],T_Voluntarios[],2,FALSE)),"No Existe",VLOOKUP(T_Cuotas[[#This Row],[RUN]],T_Voluntarios[],2,FALSE))</f>
        <v>birlita2425@gmail.com</v>
      </c>
      <c r="I49" s="5"/>
      <c r="J49" s="5" t="str">
        <f>IF(ISERROR(VLOOKUP(T_Cuotas[[#This Row],[RUN]],T_Voluntarios[],8,FALSE)),"No Existe",VLOOKUP(T_Cuotas[[#This Row],[RUN]],T_Voluntarios[],8,FALSE))</f>
        <v>+56984087831</v>
      </c>
      <c r="K49" s="5" t="str">
        <f>IF(ISERROR(VLOOKUP(T_Cuotas[[#This Row],[RUN]],T_Voluntarios[],10,FALSE)),"No Existe",VLOOKUP(T_Cuotas[[#This Row],[RUN]],T_Voluntarios[],10,FALSE))</f>
        <v>Rucapeñihue</v>
      </c>
      <c r="L49" s="5" t="str">
        <f>IF(ISERROR(VLOOKUP(T_Cuotas[[#This Row],[RUN]],T_Voluntarios[],30,FALSE)),"No Existe",VLOOKUP(T_Cuotas[[#This Row],[RUN]],T_Voluntarios[],30,FALSE))</f>
        <v>NO Vigente</v>
      </c>
      <c r="M49" s="5" t="str">
        <f>IF(ISERROR(VLOOKUP(T_Cuotas[[#This Row],[RUN]],T_Voluntarios[],13,FALSE)),"No Existe",VLOOKUP(T_Cuotas[[#This Row],[RUN]],T_Voluntarios[],13,FALSE))</f>
        <v>Sin Almuerzo</v>
      </c>
    </row>
    <row r="50" spans="1:13" x14ac:dyDescent="0.3">
      <c r="A50" s="2" t="s">
        <v>1558</v>
      </c>
      <c r="B50" t="str">
        <f>IF(ISERROR(VLOOKUP(T_Cuotas[[#This Row],[RUN]],T_Voluntarios[],3,FALSE)),"No Existe",VLOOKUP(T_Cuotas[[#This Row],[RUN]],T_Voluntarios[],3,FALSE))</f>
        <v>Diego Henríquez Valenzuela</v>
      </c>
      <c r="C50" s="5">
        <f>IF(ISERROR(VLOOKUP(T_Cuotas[[#This Row],[RUN]],Tabla_Pagos[],7,FALSE)),0,VLOOKUP(T_Cuotas[[#This Row],[RUN]],Tabla_Pagos[],7,FALSE))</f>
        <v>20000</v>
      </c>
      <c r="D50" s="5">
        <f>IF(ISERROR(VLOOKUP(T_Cuotas[[#This Row],[RUN]],Tabla_Pagos[],8,FALSE)),0,VLOOKUP(T_Cuotas[[#This Row],[RUN]],Tabla_Pagos[],8,FALSE))</f>
        <v>16500</v>
      </c>
      <c r="E50" s="5">
        <f>IF(ISERROR(VLOOKUP(T_Cuotas[[#This Row],[RUN]],Tabla_Pagos[],9,FALSE)),0,VLOOKUP(T_Cuotas[[#This Row],[RUN]],Tabla_Pagos[],9,FALSE))</f>
        <v>0</v>
      </c>
      <c r="F50" s="5">
        <f>T_Cuotas[[#This Row],[Cuota_1]]+T_Cuotas[[#This Row],[Cuota_2]]+T_Cuotas[[#This Row],[Cuota_3]]</f>
        <v>36500</v>
      </c>
      <c r="G50" s="1">
        <f>COUNTIF(T_Cuotas[RUN],T_Cuotas[[#This Row],[RUN]])</f>
        <v>1</v>
      </c>
      <c r="H50" s="5" t="str">
        <f>IF(ISERROR(VLOOKUP(T_Cuotas[[#This Row],[RUN]],T_Voluntarios[],2,FALSE)),"No Existe",VLOOKUP(T_Cuotas[[#This Row],[RUN]],T_Voluntarios[],2,FALSE))</f>
        <v>diego.henriquez.valenzuela@gmail.com</v>
      </c>
      <c r="I50" s="5"/>
      <c r="J50" s="5" t="str">
        <f>IF(ISERROR(VLOOKUP(T_Cuotas[[#This Row],[RUN]],T_Voluntarios[],8,FALSE)),"No Existe",VLOOKUP(T_Cuotas[[#This Row],[RUN]],T_Voluntarios[],8,FALSE))</f>
        <v>+56978893177</v>
      </c>
      <c r="K50" s="5" t="str">
        <f>IF(ISERROR(VLOOKUP(T_Cuotas[[#This Row],[RUN]],T_Voluntarios[],10,FALSE)),"No Existe",VLOOKUP(T_Cuotas[[#This Row],[RUN]],T_Voluntarios[],10,FALSE))</f>
        <v>Rucapeñihue</v>
      </c>
      <c r="L50" s="5" t="str">
        <f>IF(ISERROR(VLOOKUP(T_Cuotas[[#This Row],[RUN]],T_Voluntarios[],30,FALSE)),"No Existe",VLOOKUP(T_Cuotas[[#This Row],[RUN]],T_Voluntarios[],30,FALSE))</f>
        <v>Vigente</v>
      </c>
      <c r="M50" s="5" t="str">
        <f>IF(ISERROR(VLOOKUP(T_Cuotas[[#This Row],[RUN]],T_Voluntarios[],13,FALSE)),"No Existe",VLOOKUP(T_Cuotas[[#This Row],[RUN]],T_Voluntarios[],13,FALSE))</f>
        <v>Sin Almuerzo</v>
      </c>
    </row>
    <row r="51" spans="1:13" x14ac:dyDescent="0.3">
      <c r="A51" s="2" t="s">
        <v>1248</v>
      </c>
      <c r="B51" t="str">
        <f>IF(ISERROR(VLOOKUP(T_Cuotas[[#This Row],[RUN]],T_Voluntarios[],3,FALSE)),"No Existe",VLOOKUP(T_Cuotas[[#This Row],[RUN]],T_Voluntarios[],3,FALSE))</f>
        <v>Katherine Jahel Acuña Farias</v>
      </c>
      <c r="C51" s="5">
        <f>IF(ISERROR(VLOOKUP(T_Cuotas[[#This Row],[RUN]],Tabla_Pagos[],7,FALSE)),0,VLOOKUP(T_Cuotas[[#This Row],[RUN]],Tabla_Pagos[],7,FALSE))</f>
        <v>20000</v>
      </c>
      <c r="D51" s="5">
        <f>IF(ISERROR(VLOOKUP(T_Cuotas[[#This Row],[RUN]],Tabla_Pagos[],8,FALSE)),0,VLOOKUP(T_Cuotas[[#This Row],[RUN]],Tabla_Pagos[],8,FALSE))</f>
        <v>15000</v>
      </c>
      <c r="E51" s="5">
        <f>IF(ISERROR(VLOOKUP(T_Cuotas[[#This Row],[RUN]],Tabla_Pagos[],9,FALSE)),0,VLOOKUP(T_Cuotas[[#This Row],[RUN]],Tabla_Pagos[],9,FALSE))</f>
        <v>15000</v>
      </c>
      <c r="F51" s="5">
        <f>T_Cuotas[[#This Row],[Cuota_1]]+T_Cuotas[[#This Row],[Cuota_2]]+T_Cuotas[[#This Row],[Cuota_3]]</f>
        <v>50000</v>
      </c>
      <c r="G51" s="1">
        <f>COUNTIF(T_Cuotas[RUN],T_Cuotas[[#This Row],[RUN]])</f>
        <v>1</v>
      </c>
      <c r="H51" s="5" t="str">
        <f>IF(ISERROR(VLOOKUP(T_Cuotas[[#This Row],[RUN]],T_Voluntarios[],2,FALSE)),"No Existe",VLOOKUP(T_Cuotas[[#This Row],[RUN]],T_Voluntarios[],2,FALSE))</f>
        <v>kathyaf2004@gmail.com</v>
      </c>
      <c r="I51" s="5"/>
      <c r="J51" s="5" t="str">
        <f>IF(ISERROR(VLOOKUP(T_Cuotas[[#This Row],[RUN]],T_Voluntarios[],8,FALSE)),"No Existe",VLOOKUP(T_Cuotas[[#This Row],[RUN]],T_Voluntarios[],8,FALSE))</f>
        <v>+56920403606</v>
      </c>
      <c r="K51" s="5" t="str">
        <f>IF(ISERROR(VLOOKUP(T_Cuotas[[#This Row],[RUN]],T_Voluntarios[],10,FALSE)),"No Existe",VLOOKUP(T_Cuotas[[#This Row],[RUN]],T_Voluntarios[],10,FALSE))</f>
        <v>Santa Bárbara</v>
      </c>
      <c r="L51" s="5" t="str">
        <f>IF(ISERROR(VLOOKUP(T_Cuotas[[#This Row],[RUN]],T_Voluntarios[],30,FALSE)),"No Existe",VLOOKUP(T_Cuotas[[#This Row],[RUN]],T_Voluntarios[],30,FALSE))</f>
        <v>Vigente</v>
      </c>
      <c r="M51" s="5" t="str">
        <f>IF(ISERROR(VLOOKUP(T_Cuotas[[#This Row],[RUN]],T_Voluntarios[],13,FALSE)),"No Existe",VLOOKUP(T_Cuotas[[#This Row],[RUN]],T_Voluntarios[],13,FALSE))</f>
        <v>Alimentación Tradicional</v>
      </c>
    </row>
    <row r="52" spans="1:13" x14ac:dyDescent="0.3">
      <c r="A52" s="2" t="s">
        <v>1257</v>
      </c>
      <c r="B52" t="str">
        <f>IF(ISERROR(VLOOKUP(T_Cuotas[[#This Row],[RUN]],T_Voluntarios[],3,FALSE)),"No Existe",VLOOKUP(T_Cuotas[[#This Row],[RUN]],T_Voluntarios[],3,FALSE))</f>
        <v>Catalina Torres Muñoz</v>
      </c>
      <c r="C52" s="5">
        <f>IF(ISERROR(VLOOKUP(T_Cuotas[[#This Row],[RUN]],Tabla_Pagos[],7,FALSE)),0,VLOOKUP(T_Cuotas[[#This Row],[RUN]],Tabla_Pagos[],7,FALSE))</f>
        <v>20000</v>
      </c>
      <c r="D52" s="5">
        <f>IF(ISERROR(VLOOKUP(T_Cuotas[[#This Row],[RUN]],Tabla_Pagos[],8,FALSE)),0,VLOOKUP(T_Cuotas[[#This Row],[RUN]],Tabla_Pagos[],8,FALSE))</f>
        <v>16500</v>
      </c>
      <c r="E52" s="5">
        <f>IF(ISERROR(VLOOKUP(T_Cuotas[[#This Row],[RUN]],Tabla_Pagos[],9,FALSE)),0,VLOOKUP(T_Cuotas[[#This Row],[RUN]],Tabla_Pagos[],9,FALSE))</f>
        <v>0</v>
      </c>
      <c r="F52" s="5">
        <f>T_Cuotas[[#This Row],[Cuota_1]]+T_Cuotas[[#This Row],[Cuota_2]]+T_Cuotas[[#This Row],[Cuota_3]]</f>
        <v>36500</v>
      </c>
      <c r="G52" s="1">
        <f>COUNTIF(T_Cuotas[RUN],T_Cuotas[[#This Row],[RUN]])</f>
        <v>1</v>
      </c>
      <c r="H52" s="5" t="str">
        <f>IF(ISERROR(VLOOKUP(T_Cuotas[[#This Row],[RUN]],T_Voluntarios[],2,FALSE)),"No Existe",VLOOKUP(T_Cuotas[[#This Row],[RUN]],T_Voluntarios[],2,FALSE))</f>
        <v>catalinatorresmunoz@gmail.com</v>
      </c>
      <c r="I52" s="5"/>
      <c r="J52" s="5" t="str">
        <f>IF(ISERROR(VLOOKUP(T_Cuotas[[#This Row],[RUN]],T_Voluntarios[],8,FALSE)),"No Existe",VLOOKUP(T_Cuotas[[#This Row],[RUN]],T_Voluntarios[],8,FALSE))</f>
        <v>+56990901635</v>
      </c>
      <c r="K52" s="5" t="str">
        <f>IF(ISERROR(VLOOKUP(T_Cuotas[[#This Row],[RUN]],T_Voluntarios[],10,FALSE)),"No Existe",VLOOKUP(T_Cuotas[[#This Row],[RUN]],T_Voluntarios[],10,FALSE))</f>
        <v>Santa Bárbara</v>
      </c>
      <c r="L52" s="5" t="str">
        <f>IF(ISERROR(VLOOKUP(T_Cuotas[[#This Row],[RUN]],T_Voluntarios[],30,FALSE)),"No Existe",VLOOKUP(T_Cuotas[[#This Row],[RUN]],T_Voluntarios[],30,FALSE))</f>
        <v>Vigente</v>
      </c>
      <c r="M52" s="5" t="str">
        <f>IF(ISERROR(VLOOKUP(T_Cuotas[[#This Row],[RUN]],T_Voluntarios[],13,FALSE)),"No Existe",VLOOKUP(T_Cuotas[[#This Row],[RUN]],T_Voluntarios[],13,FALSE))</f>
        <v>Sin Almuerzo</v>
      </c>
    </row>
    <row r="53" spans="1:13" x14ac:dyDescent="0.3">
      <c r="A53" s="2" t="s">
        <v>1264</v>
      </c>
      <c r="B53" t="str">
        <f>IF(ISERROR(VLOOKUP(T_Cuotas[[#This Row],[RUN]],T_Voluntarios[],3,FALSE)),"No Existe",VLOOKUP(T_Cuotas[[#This Row],[RUN]],T_Voluntarios[],3,FALSE))</f>
        <v>Paulina Andrea Fuentealba Gutiérrez</v>
      </c>
      <c r="C53" s="5">
        <f>IF(ISERROR(VLOOKUP(T_Cuotas[[#This Row],[RUN]],Tabla_Pagos[],7,FALSE)),0,VLOOKUP(T_Cuotas[[#This Row],[RUN]],Tabla_Pagos[],7,FALSE))</f>
        <v>20000</v>
      </c>
      <c r="D53" s="5">
        <f>IF(ISERROR(VLOOKUP(T_Cuotas[[#This Row],[RUN]],Tabla_Pagos[],8,FALSE)),0,VLOOKUP(T_Cuotas[[#This Row],[RUN]],Tabla_Pagos[],8,FALSE))</f>
        <v>15000</v>
      </c>
      <c r="E53" s="5">
        <f>IF(ISERROR(VLOOKUP(T_Cuotas[[#This Row],[RUN]],Tabla_Pagos[],9,FALSE)),0,VLOOKUP(T_Cuotas[[#This Row],[RUN]],Tabla_Pagos[],9,FALSE))</f>
        <v>15000</v>
      </c>
      <c r="F53" s="5">
        <f>T_Cuotas[[#This Row],[Cuota_1]]+T_Cuotas[[#This Row],[Cuota_2]]+T_Cuotas[[#This Row],[Cuota_3]]</f>
        <v>50000</v>
      </c>
      <c r="G53" s="1">
        <f>COUNTIF(T_Cuotas[RUN],T_Cuotas[[#This Row],[RUN]])</f>
        <v>1</v>
      </c>
      <c r="H53" s="5" t="str">
        <f>IF(ISERROR(VLOOKUP(T_Cuotas[[#This Row],[RUN]],T_Voluntarios[],2,FALSE)),"No Existe",VLOOKUP(T_Cuotas[[#This Row],[RUN]],T_Voluntarios[],2,FALSE))</f>
        <v>paulina86.fuentealba@gmail.com</v>
      </c>
      <c r="I53" s="5"/>
      <c r="J53" s="5" t="str">
        <f>IF(ISERROR(VLOOKUP(T_Cuotas[[#This Row],[RUN]],T_Voluntarios[],8,FALSE)),"No Existe",VLOOKUP(T_Cuotas[[#This Row],[RUN]],T_Voluntarios[],8,FALSE))</f>
        <v>+56977088145</v>
      </c>
      <c r="K53" s="5" t="str">
        <f>IF(ISERROR(VLOOKUP(T_Cuotas[[#This Row],[RUN]],T_Voluntarios[],10,FALSE)),"No Existe",VLOOKUP(T_Cuotas[[#This Row],[RUN]],T_Voluntarios[],10,FALSE))</f>
        <v>Huilliche</v>
      </c>
      <c r="L53" s="5" t="str">
        <f>IF(ISERROR(VLOOKUP(T_Cuotas[[#This Row],[RUN]],T_Voluntarios[],30,FALSE)),"No Existe",VLOOKUP(T_Cuotas[[#This Row],[RUN]],T_Voluntarios[],30,FALSE))</f>
        <v>Vigente</v>
      </c>
      <c r="M53" s="5" t="str">
        <f>IF(ISERROR(VLOOKUP(T_Cuotas[[#This Row],[RUN]],T_Voluntarios[],13,FALSE)),"No Existe",VLOOKUP(T_Cuotas[[#This Row],[RUN]],T_Voluntarios[],13,FALSE))</f>
        <v>Alimentación Tradicional</v>
      </c>
    </row>
    <row r="54" spans="1:13" x14ac:dyDescent="0.3">
      <c r="A54" s="2" t="s">
        <v>1276</v>
      </c>
      <c r="B54" t="str">
        <f>IF(ISERROR(VLOOKUP(T_Cuotas[[#This Row],[RUN]],T_Voluntarios[],3,FALSE)),"No Existe",VLOOKUP(T_Cuotas[[#This Row],[RUN]],T_Voluntarios[],3,FALSE))</f>
        <v>Octavio Antonio Cortés Lara</v>
      </c>
      <c r="C54" s="5">
        <f>IF(ISERROR(VLOOKUP(T_Cuotas[[#This Row],[RUN]],Tabla_Pagos[],7,FALSE)),0,VLOOKUP(T_Cuotas[[#This Row],[RUN]],Tabla_Pagos[],7,FALSE))</f>
        <v>20000</v>
      </c>
      <c r="D54" s="5">
        <f>IF(ISERROR(VLOOKUP(T_Cuotas[[#This Row],[RUN]],Tabla_Pagos[],8,FALSE)),0,VLOOKUP(T_Cuotas[[#This Row],[RUN]],Tabla_Pagos[],8,FALSE))</f>
        <v>15000</v>
      </c>
      <c r="E54" s="5">
        <f>IF(ISERROR(VLOOKUP(T_Cuotas[[#This Row],[RUN]],Tabla_Pagos[],9,FALSE)),0,VLOOKUP(T_Cuotas[[#This Row],[RUN]],Tabla_Pagos[],9,FALSE))</f>
        <v>15000</v>
      </c>
      <c r="F54" s="5">
        <f>T_Cuotas[[#This Row],[Cuota_1]]+T_Cuotas[[#This Row],[Cuota_2]]+T_Cuotas[[#This Row],[Cuota_3]]</f>
        <v>50000</v>
      </c>
      <c r="G54" s="1">
        <f>COUNTIF(T_Cuotas[RUN],T_Cuotas[[#This Row],[RUN]])</f>
        <v>1</v>
      </c>
      <c r="H54" s="5" t="str">
        <f>IF(ISERROR(VLOOKUP(T_Cuotas[[#This Row],[RUN]],T_Voluntarios[],2,FALSE)),"No Existe",VLOOKUP(T_Cuotas[[#This Row],[RUN]],T_Voluntarios[],2,FALSE))</f>
        <v>tio0kta721@gmail.com</v>
      </c>
      <c r="I54" s="5"/>
      <c r="J54" s="5" t="str">
        <f>IF(ISERROR(VLOOKUP(T_Cuotas[[#This Row],[RUN]],T_Voluntarios[],8,FALSE)),"No Existe",VLOOKUP(T_Cuotas[[#This Row],[RUN]],T_Voluntarios[],8,FALSE))</f>
        <v>+56944222693</v>
      </c>
      <c r="K54" s="5" t="str">
        <f>IF(ISERROR(VLOOKUP(T_Cuotas[[#This Row],[RUN]],T_Voluntarios[],10,FALSE)),"No Existe",VLOOKUP(T_Cuotas[[#This Row],[RUN]],T_Voluntarios[],10,FALSE))</f>
        <v>San Ignacio de Loyola</v>
      </c>
      <c r="L54" s="5" t="str">
        <f>IF(ISERROR(VLOOKUP(T_Cuotas[[#This Row],[RUN]],T_Voluntarios[],30,FALSE)),"No Existe",VLOOKUP(T_Cuotas[[#This Row],[RUN]],T_Voluntarios[],30,FALSE))</f>
        <v>Vigente</v>
      </c>
      <c r="M54" s="5" t="str">
        <f>IF(ISERROR(VLOOKUP(T_Cuotas[[#This Row],[RUN]],T_Voluntarios[],13,FALSE)),"No Existe",VLOOKUP(T_Cuotas[[#This Row],[RUN]],T_Voluntarios[],13,FALSE))</f>
        <v>Alimentación Tradicional</v>
      </c>
    </row>
    <row r="55" spans="1:13" x14ac:dyDescent="0.3">
      <c r="A55" s="2" t="s">
        <v>1288</v>
      </c>
      <c r="B55" t="str">
        <f>IF(ISERROR(VLOOKUP(T_Cuotas[[#This Row],[RUN]],T_Voluntarios[],3,FALSE)),"No Existe",VLOOKUP(T_Cuotas[[#This Row],[RUN]],T_Voluntarios[],3,FALSE))</f>
        <v>Antonia Belén Rodriguez Garay</v>
      </c>
      <c r="C55" s="5">
        <f>IF(ISERROR(VLOOKUP(T_Cuotas[[#This Row],[RUN]],Tabla_Pagos[],7,FALSE)),0,VLOOKUP(T_Cuotas[[#This Row],[RUN]],Tabla_Pagos[],7,FALSE))</f>
        <v>20000</v>
      </c>
      <c r="D55" s="5">
        <f>IF(ISERROR(VLOOKUP(T_Cuotas[[#This Row],[RUN]],Tabla_Pagos[],8,FALSE)),0,VLOOKUP(T_Cuotas[[#This Row],[RUN]],Tabla_Pagos[],8,FALSE))</f>
        <v>15000</v>
      </c>
      <c r="E55" s="5">
        <f>IF(ISERROR(VLOOKUP(T_Cuotas[[#This Row],[RUN]],Tabla_Pagos[],9,FALSE)),0,VLOOKUP(T_Cuotas[[#This Row],[RUN]],Tabla_Pagos[],9,FALSE))</f>
        <v>15000</v>
      </c>
      <c r="F55" s="5">
        <f>T_Cuotas[[#This Row],[Cuota_1]]+T_Cuotas[[#This Row],[Cuota_2]]+T_Cuotas[[#This Row],[Cuota_3]]</f>
        <v>50000</v>
      </c>
      <c r="G55" s="1">
        <f>COUNTIF(T_Cuotas[RUN],T_Cuotas[[#This Row],[RUN]])</f>
        <v>1</v>
      </c>
      <c r="H55" s="5" t="str">
        <f>IF(ISERROR(VLOOKUP(T_Cuotas[[#This Row],[RUN]],T_Voluntarios[],2,FALSE)),"No Existe",VLOOKUP(T_Cuotas[[#This Row],[RUN]],T_Voluntarios[],2,FALSE))</f>
        <v>antu06rodriguez@gmail.com</v>
      </c>
      <c r="I55" s="5"/>
      <c r="J55" s="5" t="str">
        <f>IF(ISERROR(VLOOKUP(T_Cuotas[[#This Row],[RUN]],T_Voluntarios[],8,FALSE)),"No Existe",VLOOKUP(T_Cuotas[[#This Row],[RUN]],T_Voluntarios[],8,FALSE))</f>
        <v>+56991291269</v>
      </c>
      <c r="K55" s="5" t="str">
        <f>IF(ISERROR(VLOOKUP(T_Cuotas[[#This Row],[RUN]],T_Voluntarios[],10,FALSE)),"No Existe",VLOOKUP(T_Cuotas[[#This Row],[RUN]],T_Voluntarios[],10,FALSE))</f>
        <v>La Montaña</v>
      </c>
      <c r="L55" s="5" t="str">
        <f>IF(ISERROR(VLOOKUP(T_Cuotas[[#This Row],[RUN]],T_Voluntarios[],30,FALSE)),"No Existe",VLOOKUP(T_Cuotas[[#This Row],[RUN]],T_Voluntarios[],30,FALSE))</f>
        <v>Vigente</v>
      </c>
      <c r="M55" s="5" t="str">
        <f>IF(ISERROR(VLOOKUP(T_Cuotas[[#This Row],[RUN]],T_Voluntarios[],13,FALSE)),"No Existe",VLOOKUP(T_Cuotas[[#This Row],[RUN]],T_Voluntarios[],13,FALSE))</f>
        <v>Alimentación Tradicional</v>
      </c>
    </row>
    <row r="56" spans="1:13" x14ac:dyDescent="0.3">
      <c r="A56" s="2" t="s">
        <v>1295</v>
      </c>
      <c r="B56" t="str">
        <f>IF(ISERROR(VLOOKUP(T_Cuotas[[#This Row],[RUN]],T_Voluntarios[],3,FALSE)),"No Existe",VLOOKUP(T_Cuotas[[#This Row],[RUN]],T_Voluntarios[],3,FALSE))</f>
        <v>Fernanda Nicol Lagos González</v>
      </c>
      <c r="C56" s="5">
        <f>IF(ISERROR(VLOOKUP(T_Cuotas[[#This Row],[RUN]],Tabla_Pagos[],7,FALSE)),0,VLOOKUP(T_Cuotas[[#This Row],[RUN]],Tabla_Pagos[],7,FALSE))</f>
        <v>20000</v>
      </c>
      <c r="D56" s="5">
        <f>IF(ISERROR(VLOOKUP(T_Cuotas[[#This Row],[RUN]],Tabla_Pagos[],8,FALSE)),0,VLOOKUP(T_Cuotas[[#This Row],[RUN]],Tabla_Pagos[],8,FALSE))</f>
        <v>15000</v>
      </c>
      <c r="E56" s="5">
        <f>IF(ISERROR(VLOOKUP(T_Cuotas[[#This Row],[RUN]],Tabla_Pagos[],9,FALSE)),0,VLOOKUP(T_Cuotas[[#This Row],[RUN]],Tabla_Pagos[],9,FALSE))</f>
        <v>15000</v>
      </c>
      <c r="F56" s="5">
        <f>T_Cuotas[[#This Row],[Cuota_1]]+T_Cuotas[[#This Row],[Cuota_2]]+T_Cuotas[[#This Row],[Cuota_3]]</f>
        <v>50000</v>
      </c>
      <c r="G56" s="1">
        <f>COUNTIF(T_Cuotas[RUN],T_Cuotas[[#This Row],[RUN]])</f>
        <v>1</v>
      </c>
      <c r="H56" s="5" t="str">
        <f>IF(ISERROR(VLOOKUP(T_Cuotas[[#This Row],[RUN]],T_Voluntarios[],2,FALSE)),"No Existe",VLOOKUP(T_Cuotas[[#This Row],[RUN]],T_Voluntarios[],2,FALSE))</f>
        <v>ferni.2102@gmail.com</v>
      </c>
      <c r="I56" s="5"/>
      <c r="J56" s="5" t="str">
        <f>IF(ISERROR(VLOOKUP(T_Cuotas[[#This Row],[RUN]],T_Voluntarios[],8,FALSE)),"No Existe",VLOOKUP(T_Cuotas[[#This Row],[RUN]],T_Voluntarios[],8,FALSE))</f>
        <v>+56958015932</v>
      </c>
      <c r="K56" s="5" t="str">
        <f>IF(ISERROR(VLOOKUP(T_Cuotas[[#This Row],[RUN]],T_Voluntarios[],10,FALSE)),"No Existe",VLOOKUP(T_Cuotas[[#This Row],[RUN]],T_Voluntarios[],10,FALSE))</f>
        <v>Espíritu Santo</v>
      </c>
      <c r="L56" s="5" t="str">
        <f>IF(ISERROR(VLOOKUP(T_Cuotas[[#This Row],[RUN]],T_Voluntarios[],30,FALSE)),"No Existe",VLOOKUP(T_Cuotas[[#This Row],[RUN]],T_Voluntarios[],30,FALSE))</f>
        <v>Vigente</v>
      </c>
      <c r="M56" s="5" t="str">
        <f>IF(ISERROR(VLOOKUP(T_Cuotas[[#This Row],[RUN]],T_Voluntarios[],13,FALSE)),"No Existe",VLOOKUP(T_Cuotas[[#This Row],[RUN]],T_Voluntarios[],13,FALSE))</f>
        <v>Alimentación Tradicional</v>
      </c>
    </row>
    <row r="57" spans="1:13" x14ac:dyDescent="0.3">
      <c r="A57" s="2" t="s">
        <v>1306</v>
      </c>
      <c r="B57" t="str">
        <f>IF(ISERROR(VLOOKUP(T_Cuotas[[#This Row],[RUN]],T_Voluntarios[],3,FALSE)),"No Existe",VLOOKUP(T_Cuotas[[#This Row],[RUN]],T_Voluntarios[],3,FALSE))</f>
        <v>Nicole Belén Leiva Villalobos</v>
      </c>
      <c r="C57" s="5">
        <f>IF(ISERROR(VLOOKUP(T_Cuotas[[#This Row],[RUN]],Tabla_Pagos[],7,FALSE)),0,VLOOKUP(T_Cuotas[[#This Row],[RUN]],Tabla_Pagos[],7,FALSE))</f>
        <v>20000</v>
      </c>
      <c r="D57" s="5">
        <f>IF(ISERROR(VLOOKUP(T_Cuotas[[#This Row],[RUN]],Tabla_Pagos[],8,FALSE)),0,VLOOKUP(T_Cuotas[[#This Row],[RUN]],Tabla_Pagos[],8,FALSE))</f>
        <v>16500</v>
      </c>
      <c r="E57" s="5">
        <f>IF(ISERROR(VLOOKUP(T_Cuotas[[#This Row],[RUN]],Tabla_Pagos[],9,FALSE)),0,VLOOKUP(T_Cuotas[[#This Row],[RUN]],Tabla_Pagos[],9,FALSE))</f>
        <v>0</v>
      </c>
      <c r="F57" s="5">
        <f>T_Cuotas[[#This Row],[Cuota_1]]+T_Cuotas[[#This Row],[Cuota_2]]+T_Cuotas[[#This Row],[Cuota_3]]</f>
        <v>36500</v>
      </c>
      <c r="G57" s="1">
        <f>COUNTIF(T_Cuotas[RUN],T_Cuotas[[#This Row],[RUN]])</f>
        <v>1</v>
      </c>
      <c r="H57" s="5" t="str">
        <f>IF(ISERROR(VLOOKUP(T_Cuotas[[#This Row],[RUN]],T_Voluntarios[],2,FALSE)),"No Existe",VLOOKUP(T_Cuotas[[#This Row],[RUN]],T_Voluntarios[],2,FALSE))</f>
        <v>nleivavillalobos@gmail.com</v>
      </c>
      <c r="I57" s="5"/>
      <c r="J57" s="5" t="str">
        <f>IF(ISERROR(VLOOKUP(T_Cuotas[[#This Row],[RUN]],T_Voluntarios[],8,FALSE)),"No Existe",VLOOKUP(T_Cuotas[[#This Row],[RUN]],T_Voluntarios[],8,FALSE))</f>
        <v>+56975867205</v>
      </c>
      <c r="K57" s="5" t="str">
        <f>IF(ISERROR(VLOOKUP(T_Cuotas[[#This Row],[RUN]],T_Voluntarios[],10,FALSE)),"No Existe",VLOOKUP(T_Cuotas[[#This Row],[RUN]],T_Voluntarios[],10,FALSE))</f>
        <v>Sagrada Familia</v>
      </c>
      <c r="L57" s="5" t="str">
        <f>IF(ISERROR(VLOOKUP(T_Cuotas[[#This Row],[RUN]],T_Voluntarios[],30,FALSE)),"No Existe",VLOOKUP(T_Cuotas[[#This Row],[RUN]],T_Voluntarios[],30,FALSE))</f>
        <v>Vigente</v>
      </c>
      <c r="M57" s="5" t="str">
        <f>IF(ISERROR(VLOOKUP(T_Cuotas[[#This Row],[RUN]],T_Voluntarios[],13,FALSE)),"No Existe",VLOOKUP(T_Cuotas[[#This Row],[RUN]],T_Voluntarios[],13,FALSE))</f>
        <v>Sin Almuerzo</v>
      </c>
    </row>
    <row r="58" spans="1:13" x14ac:dyDescent="0.3">
      <c r="A58" s="2" t="s">
        <v>1316</v>
      </c>
      <c r="B58" t="str">
        <f>IF(ISERROR(VLOOKUP(T_Cuotas[[#This Row],[RUN]],T_Voluntarios[],3,FALSE)),"No Existe",VLOOKUP(T_Cuotas[[#This Row],[RUN]],T_Voluntarios[],3,FALSE))</f>
        <v>Mariaignacia Paulina Belmar Manríquez</v>
      </c>
      <c r="C58" s="5">
        <f>IF(ISERROR(VLOOKUP(T_Cuotas[[#This Row],[RUN]],Tabla_Pagos[],7,FALSE)),0,VLOOKUP(T_Cuotas[[#This Row],[RUN]],Tabla_Pagos[],7,FALSE))</f>
        <v>20000</v>
      </c>
      <c r="D58" s="5">
        <f>IF(ISERROR(VLOOKUP(T_Cuotas[[#This Row],[RUN]],Tabla_Pagos[],8,FALSE)),0,VLOOKUP(T_Cuotas[[#This Row],[RUN]],Tabla_Pagos[],8,FALSE))</f>
        <v>15000</v>
      </c>
      <c r="E58" s="5">
        <f>IF(ISERROR(VLOOKUP(T_Cuotas[[#This Row],[RUN]],Tabla_Pagos[],9,FALSE)),0,VLOOKUP(T_Cuotas[[#This Row],[RUN]],Tabla_Pagos[],9,FALSE))</f>
        <v>15000</v>
      </c>
      <c r="F58" s="5">
        <f>T_Cuotas[[#This Row],[Cuota_1]]+T_Cuotas[[#This Row],[Cuota_2]]+T_Cuotas[[#This Row],[Cuota_3]]</f>
        <v>50000</v>
      </c>
      <c r="G58" s="1">
        <f>COUNTIF(T_Cuotas[RUN],T_Cuotas[[#This Row],[RUN]])</f>
        <v>1</v>
      </c>
      <c r="H58" s="5" t="str">
        <f>IF(ISERROR(VLOOKUP(T_Cuotas[[#This Row],[RUN]],T_Voluntarios[],2,FALSE)),"No Existe",VLOOKUP(T_Cuotas[[#This Row],[RUN]],T_Voluntarios[],2,FALSE))</f>
        <v>ignaciabelmar.m@gmail.com</v>
      </c>
      <c r="I58" s="5"/>
      <c r="J58" s="5" t="str">
        <f>IF(ISERROR(VLOOKUP(T_Cuotas[[#This Row],[RUN]],T_Voluntarios[],8,FALSE)),"No Existe",VLOOKUP(T_Cuotas[[#This Row],[RUN]],T_Voluntarios[],8,FALSE))</f>
        <v>+56972887651</v>
      </c>
      <c r="K58" s="5" t="str">
        <f>IF(ISERROR(VLOOKUP(T_Cuotas[[#This Row],[RUN]],T_Voluntarios[],10,FALSE)),"No Existe",VLOOKUP(T_Cuotas[[#This Row],[RUN]],T_Voluntarios[],10,FALSE))</f>
        <v>La Montaña</v>
      </c>
      <c r="L58" s="5" t="str">
        <f>IF(ISERROR(VLOOKUP(T_Cuotas[[#This Row],[RUN]],T_Voluntarios[],30,FALSE)),"No Existe",VLOOKUP(T_Cuotas[[#This Row],[RUN]],T_Voluntarios[],30,FALSE))</f>
        <v>Vigente</v>
      </c>
      <c r="M58" s="5" t="str">
        <f>IF(ISERROR(VLOOKUP(T_Cuotas[[#This Row],[RUN]],T_Voluntarios[],13,FALSE)),"No Existe",VLOOKUP(T_Cuotas[[#This Row],[RUN]],T_Voluntarios[],13,FALSE))</f>
        <v>Alimentación Tradicional</v>
      </c>
    </row>
    <row r="59" spans="1:13" x14ac:dyDescent="0.3">
      <c r="A59" s="2" t="s">
        <v>1325</v>
      </c>
      <c r="B59" t="str">
        <f>IF(ISERROR(VLOOKUP(T_Cuotas[[#This Row],[RUN]],T_Voluntarios[],3,FALSE)),"No Existe",VLOOKUP(T_Cuotas[[#This Row],[RUN]],T_Voluntarios[],3,FALSE))</f>
        <v>Rocío Andrea Utreras Troncoso</v>
      </c>
      <c r="C59" s="5">
        <f>IF(ISERROR(VLOOKUP(T_Cuotas[[#This Row],[RUN]],Tabla_Pagos[],7,FALSE)),0,VLOOKUP(T_Cuotas[[#This Row],[RUN]],Tabla_Pagos[],7,FALSE))</f>
        <v>20000</v>
      </c>
      <c r="D59" s="5">
        <f>IF(ISERROR(VLOOKUP(T_Cuotas[[#This Row],[RUN]],Tabla_Pagos[],8,FALSE)),0,VLOOKUP(T_Cuotas[[#This Row],[RUN]],Tabla_Pagos[],8,FALSE))</f>
        <v>16500</v>
      </c>
      <c r="E59" s="5">
        <f>IF(ISERROR(VLOOKUP(T_Cuotas[[#This Row],[RUN]],Tabla_Pagos[],9,FALSE)),0,VLOOKUP(T_Cuotas[[#This Row],[RUN]],Tabla_Pagos[],9,FALSE))</f>
        <v>0</v>
      </c>
      <c r="F59" s="5">
        <f>T_Cuotas[[#This Row],[Cuota_1]]+T_Cuotas[[#This Row],[Cuota_2]]+T_Cuotas[[#This Row],[Cuota_3]]</f>
        <v>36500</v>
      </c>
      <c r="G59" s="1">
        <f>COUNTIF(T_Cuotas[RUN],T_Cuotas[[#This Row],[RUN]])</f>
        <v>1</v>
      </c>
      <c r="H59" s="5" t="str">
        <f>IF(ISERROR(VLOOKUP(T_Cuotas[[#This Row],[RUN]],T_Voluntarios[],2,FALSE)),"No Existe",VLOOKUP(T_Cuotas[[#This Row],[RUN]],T_Voluntarios[],2,FALSE))</f>
        <v>utreras.rocio@gmail.com</v>
      </c>
      <c r="I59" s="5"/>
      <c r="J59" s="5" t="str">
        <f>IF(ISERROR(VLOOKUP(T_Cuotas[[#This Row],[RUN]],T_Voluntarios[],8,FALSE)),"No Existe",VLOOKUP(T_Cuotas[[#This Row],[RUN]],T_Voluntarios[],8,FALSE))</f>
        <v>+56944373252</v>
      </c>
      <c r="K59" s="5" t="str">
        <f>IF(ISERROR(VLOOKUP(T_Cuotas[[#This Row],[RUN]],T_Voluntarios[],10,FALSE)),"No Existe",VLOOKUP(T_Cuotas[[#This Row],[RUN]],T_Voluntarios[],10,FALSE))</f>
        <v>Rucapeñihue</v>
      </c>
      <c r="L59" s="5" t="str">
        <f>IF(ISERROR(VLOOKUP(T_Cuotas[[#This Row],[RUN]],T_Voluntarios[],30,FALSE)),"No Existe",VLOOKUP(T_Cuotas[[#This Row],[RUN]],T_Voluntarios[],30,FALSE))</f>
        <v>Vigente</v>
      </c>
      <c r="M59" s="5" t="str">
        <f>IF(ISERROR(VLOOKUP(T_Cuotas[[#This Row],[RUN]],T_Voluntarios[],13,FALSE)),"No Existe",VLOOKUP(T_Cuotas[[#This Row],[RUN]],T_Voluntarios[],13,FALSE))</f>
        <v>Sin Almuerzo</v>
      </c>
    </row>
    <row r="60" spans="1:13" x14ac:dyDescent="0.3">
      <c r="A60" s="2" t="s">
        <v>1340</v>
      </c>
      <c r="B60" t="str">
        <f>IF(ISERROR(VLOOKUP(T_Cuotas[[#This Row],[RUN]],T_Voluntarios[],3,FALSE)),"No Existe",VLOOKUP(T_Cuotas[[#This Row],[RUN]],T_Voluntarios[],3,FALSE))</f>
        <v>Carla Andrea Contreras Novoa</v>
      </c>
      <c r="C60" s="5">
        <f>IF(ISERROR(VLOOKUP(T_Cuotas[[#This Row],[RUN]],Tabla_Pagos[],7,FALSE)),0,VLOOKUP(T_Cuotas[[#This Row],[RUN]],Tabla_Pagos[],7,FALSE))</f>
        <v>20000</v>
      </c>
      <c r="D60" s="5">
        <f>IF(ISERROR(VLOOKUP(T_Cuotas[[#This Row],[RUN]],Tabla_Pagos[],8,FALSE)),0,VLOOKUP(T_Cuotas[[#This Row],[RUN]],Tabla_Pagos[],8,FALSE))</f>
        <v>16500</v>
      </c>
      <c r="E60" s="5">
        <f>IF(ISERROR(VLOOKUP(T_Cuotas[[#This Row],[RUN]],Tabla_Pagos[],9,FALSE)),0,VLOOKUP(T_Cuotas[[#This Row],[RUN]],Tabla_Pagos[],9,FALSE))</f>
        <v>0</v>
      </c>
      <c r="F60" s="5">
        <f>T_Cuotas[[#This Row],[Cuota_1]]+T_Cuotas[[#This Row],[Cuota_2]]+T_Cuotas[[#This Row],[Cuota_3]]</f>
        <v>36500</v>
      </c>
      <c r="G60" s="1">
        <f>COUNTIF(T_Cuotas[RUN],T_Cuotas[[#This Row],[RUN]])</f>
        <v>1</v>
      </c>
      <c r="H60" s="5" t="str">
        <f>IF(ISERROR(VLOOKUP(T_Cuotas[[#This Row],[RUN]],T_Voluntarios[],2,FALSE)),"No Existe",VLOOKUP(T_Cuotas[[#This Row],[RUN]],T_Voluntarios[],2,FALSE))</f>
        <v>carlandreacn@gmail.com</v>
      </c>
      <c r="I60" s="5"/>
      <c r="J60" s="5" t="str">
        <f>IF(ISERROR(VLOOKUP(T_Cuotas[[#This Row],[RUN]],T_Voluntarios[],8,FALSE)),"No Existe",VLOOKUP(T_Cuotas[[#This Row],[RUN]],T_Voluntarios[],8,FALSE))</f>
        <v>+56964778314</v>
      </c>
      <c r="K60" s="5" t="str">
        <f>IF(ISERROR(VLOOKUP(T_Cuotas[[#This Row],[RUN]],T_Voluntarios[],10,FALSE)),"No Existe",VLOOKUP(T_Cuotas[[#This Row],[RUN]],T_Voluntarios[],10,FALSE))</f>
        <v>San Bartolomé</v>
      </c>
      <c r="L60" s="5" t="str">
        <f>IF(ISERROR(VLOOKUP(T_Cuotas[[#This Row],[RUN]],T_Voluntarios[],30,FALSE)),"No Existe",VLOOKUP(T_Cuotas[[#This Row],[RUN]],T_Voluntarios[],30,FALSE))</f>
        <v>Vigente</v>
      </c>
      <c r="M60" s="5" t="str">
        <f>IF(ISERROR(VLOOKUP(T_Cuotas[[#This Row],[RUN]],T_Voluntarios[],13,FALSE)),"No Existe",VLOOKUP(T_Cuotas[[#This Row],[RUN]],T_Voluntarios[],13,FALSE))</f>
        <v>Sin Almuerzo</v>
      </c>
    </row>
    <row r="61" spans="1:13" x14ac:dyDescent="0.3">
      <c r="A61" s="2" t="s">
        <v>1350</v>
      </c>
      <c r="B61" t="str">
        <f>IF(ISERROR(VLOOKUP(T_Cuotas[[#This Row],[RUN]],T_Voluntarios[],3,FALSE)),"No Existe",VLOOKUP(T_Cuotas[[#This Row],[RUN]],T_Voluntarios[],3,FALSE))</f>
        <v>Italo Gustavo Vergara Pacheco</v>
      </c>
      <c r="C61" s="5">
        <f>IF(ISERROR(VLOOKUP(T_Cuotas[[#This Row],[RUN]],Tabla_Pagos[],7,FALSE)),0,VLOOKUP(T_Cuotas[[#This Row],[RUN]],Tabla_Pagos[],7,FALSE))</f>
        <v>20000</v>
      </c>
      <c r="D61" s="5">
        <f>IF(ISERROR(VLOOKUP(T_Cuotas[[#This Row],[RUN]],Tabla_Pagos[],8,FALSE)),0,VLOOKUP(T_Cuotas[[#This Row],[RUN]],Tabla_Pagos[],8,FALSE))</f>
        <v>15000</v>
      </c>
      <c r="E61" s="5">
        <f>IF(ISERROR(VLOOKUP(T_Cuotas[[#This Row],[RUN]],Tabla_Pagos[],9,FALSE)),0,VLOOKUP(T_Cuotas[[#This Row],[RUN]],Tabla_Pagos[],9,FALSE))</f>
        <v>15000</v>
      </c>
      <c r="F61" s="5">
        <f>T_Cuotas[[#This Row],[Cuota_1]]+T_Cuotas[[#This Row],[Cuota_2]]+T_Cuotas[[#This Row],[Cuota_3]]</f>
        <v>50000</v>
      </c>
      <c r="G61" s="1">
        <f>COUNTIF(T_Cuotas[RUN],T_Cuotas[[#This Row],[RUN]])</f>
        <v>1</v>
      </c>
      <c r="H61" s="5" t="str">
        <f>IF(ISERROR(VLOOKUP(T_Cuotas[[#This Row],[RUN]],T_Voluntarios[],2,FALSE)),"No Existe",VLOOKUP(T_Cuotas[[#This Row],[RUN]],T_Voluntarios[],2,FALSE))</f>
        <v>italovergara2003@gmail.com</v>
      </c>
      <c r="I61" s="5"/>
      <c r="J61" s="5" t="str">
        <f>IF(ISERROR(VLOOKUP(T_Cuotas[[#This Row],[RUN]],T_Voluntarios[],8,FALSE)),"No Existe",VLOOKUP(T_Cuotas[[#This Row],[RUN]],T_Voluntarios[],8,FALSE))</f>
        <v>+56934467257</v>
      </c>
      <c r="K61" s="5" t="str">
        <f>IF(ISERROR(VLOOKUP(T_Cuotas[[#This Row],[RUN]],T_Voluntarios[],10,FALSE)),"No Existe",VLOOKUP(T_Cuotas[[#This Row],[RUN]],T_Voluntarios[],10,FALSE))</f>
        <v>Sagrada Familia</v>
      </c>
      <c r="L61" s="5" t="str">
        <f>IF(ISERROR(VLOOKUP(T_Cuotas[[#This Row],[RUN]],T_Voluntarios[],30,FALSE)),"No Existe",VLOOKUP(T_Cuotas[[#This Row],[RUN]],T_Voluntarios[],30,FALSE))</f>
        <v>Vigente</v>
      </c>
      <c r="M61" s="5" t="str">
        <f>IF(ISERROR(VLOOKUP(T_Cuotas[[#This Row],[RUN]],T_Voluntarios[],13,FALSE)),"No Existe",VLOOKUP(T_Cuotas[[#This Row],[RUN]],T_Voluntarios[],13,FALSE))</f>
        <v>Alimentación Tradicional</v>
      </c>
    </row>
    <row r="62" spans="1:13" hidden="1" x14ac:dyDescent="0.3">
      <c r="A62" s="2" t="s">
        <v>1358</v>
      </c>
      <c r="B62" t="str">
        <f>IF(ISERROR(VLOOKUP(T_Cuotas[[#This Row],[RUN]],T_Voluntarios[],3,FALSE)),"No Existe",VLOOKUP(T_Cuotas[[#This Row],[RUN]],T_Voluntarios[],3,FALSE))</f>
        <v>Gabriela Solange Cabrera Cortez</v>
      </c>
      <c r="C62" s="5">
        <f>IF(ISERROR(VLOOKUP(T_Cuotas[[#This Row],[RUN]],Tabla_Pagos[],7,FALSE)),0,VLOOKUP(T_Cuotas[[#This Row],[RUN]],Tabla_Pagos[],7,FALSE))</f>
        <v>0</v>
      </c>
      <c r="D62" s="5">
        <f>IF(ISERROR(VLOOKUP(T_Cuotas[[#This Row],[RUN]],Tabla_Pagos[],8,FALSE)),0,VLOOKUP(T_Cuotas[[#This Row],[RUN]],Tabla_Pagos[],8,FALSE))</f>
        <v>0</v>
      </c>
      <c r="E62" s="5">
        <f>IF(ISERROR(VLOOKUP(T_Cuotas[[#This Row],[RUN]],Tabla_Pagos[],9,FALSE)),0,VLOOKUP(T_Cuotas[[#This Row],[RUN]],Tabla_Pagos[],9,FALSE))</f>
        <v>0</v>
      </c>
      <c r="F62" s="5">
        <f>T_Cuotas[[#This Row],[Cuota_1]]+T_Cuotas[[#This Row],[Cuota_2]]+T_Cuotas[[#This Row],[Cuota_3]]</f>
        <v>0</v>
      </c>
      <c r="G62" s="1">
        <f>COUNTIF(T_Cuotas[RUN],T_Cuotas[[#This Row],[RUN]])</f>
        <v>1</v>
      </c>
      <c r="H62" s="5" t="str">
        <f>IF(ISERROR(VLOOKUP(T_Cuotas[[#This Row],[RUN]],T_Voluntarios[],2,FALSE)),"No Existe",VLOOKUP(T_Cuotas[[#This Row],[RUN]],T_Voluntarios[],2,FALSE))</f>
        <v>gabriela.cabrera.cortez25@gmail.com</v>
      </c>
      <c r="I62" s="5"/>
      <c r="J62" s="5" t="str">
        <f>IF(ISERROR(VLOOKUP(T_Cuotas[[#This Row],[RUN]],T_Voluntarios[],8,FALSE)),"No Existe",VLOOKUP(T_Cuotas[[#This Row],[RUN]],T_Voluntarios[],8,FALSE))</f>
        <v>+56971623617</v>
      </c>
      <c r="K62" s="5" t="str">
        <f>IF(ISERROR(VLOOKUP(T_Cuotas[[#This Row],[RUN]],T_Voluntarios[],10,FALSE)),"No Existe",VLOOKUP(T_Cuotas[[#This Row],[RUN]],T_Voluntarios[],10,FALSE))</f>
        <v>Espíritu Santo</v>
      </c>
      <c r="L62" s="5" t="str">
        <f>IF(ISERROR(VLOOKUP(T_Cuotas[[#This Row],[RUN]],T_Voluntarios[],30,FALSE)),"No Existe",VLOOKUP(T_Cuotas[[#This Row],[RUN]],T_Voluntarios[],30,FALSE))</f>
        <v>NO Vigente</v>
      </c>
      <c r="M62" s="5" t="str">
        <f>IF(ISERROR(VLOOKUP(T_Cuotas[[#This Row],[RUN]],T_Voluntarios[],13,FALSE)),"No Existe",VLOOKUP(T_Cuotas[[#This Row],[RUN]],T_Voluntarios[],13,FALSE))</f>
        <v>Alimentación Tradicional</v>
      </c>
    </row>
    <row r="63" spans="1:13" x14ac:dyDescent="0.3">
      <c r="A63" s="2" t="s">
        <v>1369</v>
      </c>
      <c r="B63" t="str">
        <f>IF(ISERROR(VLOOKUP(T_Cuotas[[#This Row],[RUN]],T_Voluntarios[],3,FALSE)),"No Existe",VLOOKUP(T_Cuotas[[#This Row],[RUN]],T_Voluntarios[],3,FALSE))</f>
        <v>Milovan Christopher Jesús San Martín Manríquez</v>
      </c>
      <c r="C63" s="5">
        <f>IF(ISERROR(VLOOKUP(T_Cuotas[[#This Row],[RUN]],Tabla_Pagos[],7,FALSE)),0,VLOOKUP(T_Cuotas[[#This Row],[RUN]],Tabla_Pagos[],7,FALSE))</f>
        <v>20000</v>
      </c>
      <c r="D63" s="5">
        <f>IF(ISERROR(VLOOKUP(T_Cuotas[[#This Row],[RUN]],Tabla_Pagos[],8,FALSE)),0,VLOOKUP(T_Cuotas[[#This Row],[RUN]],Tabla_Pagos[],8,FALSE))</f>
        <v>16500</v>
      </c>
      <c r="E63" s="5">
        <f>IF(ISERROR(VLOOKUP(T_Cuotas[[#This Row],[RUN]],Tabla_Pagos[],9,FALSE)),0,VLOOKUP(T_Cuotas[[#This Row],[RUN]],Tabla_Pagos[],9,FALSE))</f>
        <v>0</v>
      </c>
      <c r="F63" s="5">
        <f>T_Cuotas[[#This Row],[Cuota_1]]+T_Cuotas[[#This Row],[Cuota_2]]+T_Cuotas[[#This Row],[Cuota_3]]</f>
        <v>36500</v>
      </c>
      <c r="G63" s="1">
        <f>COUNTIF(T_Cuotas[RUN],T_Cuotas[[#This Row],[RUN]])</f>
        <v>1</v>
      </c>
      <c r="H63" s="5" t="str">
        <f>IF(ISERROR(VLOOKUP(T_Cuotas[[#This Row],[RUN]],T_Voluntarios[],2,FALSE)),"No Existe",VLOOKUP(T_Cuotas[[#This Row],[RUN]],T_Voluntarios[],2,FALSE))</f>
        <v>milovan283@gmail.com</v>
      </c>
      <c r="I63" s="5"/>
      <c r="J63" s="5" t="str">
        <f>IF(ISERROR(VLOOKUP(T_Cuotas[[#This Row],[RUN]],T_Voluntarios[],8,FALSE)),"No Existe",VLOOKUP(T_Cuotas[[#This Row],[RUN]],T_Voluntarios[],8,FALSE))</f>
        <v>+56949327487</v>
      </c>
      <c r="K63" s="5" t="str">
        <f>IF(ISERROR(VLOOKUP(T_Cuotas[[#This Row],[RUN]],T_Voluntarios[],10,FALSE)),"No Existe",VLOOKUP(T_Cuotas[[#This Row],[RUN]],T_Voluntarios[],10,FALSE))</f>
        <v>San Bartolomé</v>
      </c>
      <c r="L63" s="5" t="str">
        <f>IF(ISERROR(VLOOKUP(T_Cuotas[[#This Row],[RUN]],T_Voluntarios[],30,FALSE)),"No Existe",VLOOKUP(T_Cuotas[[#This Row],[RUN]],T_Voluntarios[],30,FALSE))</f>
        <v>Vigente</v>
      </c>
      <c r="M63" s="5" t="str">
        <f>IF(ISERROR(VLOOKUP(T_Cuotas[[#This Row],[RUN]],T_Voluntarios[],13,FALSE)),"No Existe",VLOOKUP(T_Cuotas[[#This Row],[RUN]],T_Voluntarios[],13,FALSE))</f>
        <v>Sin Almuerzo</v>
      </c>
    </row>
    <row r="64" spans="1:13" x14ac:dyDescent="0.3">
      <c r="A64" s="2" t="s">
        <v>1380</v>
      </c>
      <c r="B64" t="str">
        <f>IF(ISERROR(VLOOKUP(T_Cuotas[[#This Row],[RUN]],T_Voluntarios[],3,FALSE)),"No Existe",VLOOKUP(T_Cuotas[[#This Row],[RUN]],T_Voluntarios[],3,FALSE))</f>
        <v>Erik Jesus Antonio Mariqueo Rodriguez</v>
      </c>
      <c r="C64" s="5">
        <f>IF(ISERROR(VLOOKUP(T_Cuotas[[#This Row],[RUN]],Tabla_Pagos[],7,FALSE)),0,VLOOKUP(T_Cuotas[[#This Row],[RUN]],Tabla_Pagos[],7,FALSE))</f>
        <v>20000</v>
      </c>
      <c r="D64" s="5">
        <f>IF(ISERROR(VLOOKUP(T_Cuotas[[#This Row],[RUN]],Tabla_Pagos[],8,FALSE)),0,VLOOKUP(T_Cuotas[[#This Row],[RUN]],Tabla_Pagos[],8,FALSE))</f>
        <v>15000</v>
      </c>
      <c r="E64" s="5">
        <f>IF(ISERROR(VLOOKUP(T_Cuotas[[#This Row],[RUN]],Tabla_Pagos[],9,FALSE)),0,VLOOKUP(T_Cuotas[[#This Row],[RUN]],Tabla_Pagos[],9,FALSE))</f>
        <v>15000</v>
      </c>
      <c r="F64" s="5">
        <f>T_Cuotas[[#This Row],[Cuota_1]]+T_Cuotas[[#This Row],[Cuota_2]]+T_Cuotas[[#This Row],[Cuota_3]]</f>
        <v>50000</v>
      </c>
      <c r="G64" s="1">
        <f>COUNTIF(T_Cuotas[RUN],T_Cuotas[[#This Row],[RUN]])</f>
        <v>1</v>
      </c>
      <c r="H64" s="5" t="str">
        <f>IF(ISERROR(VLOOKUP(T_Cuotas[[#This Row],[RUN]],T_Voluntarios[],2,FALSE)),"No Existe",VLOOKUP(T_Cuotas[[#This Row],[RUN]],T_Voluntarios[],2,FALSE))</f>
        <v>erikjesusantonio@gmail.com</v>
      </c>
      <c r="I64" s="5"/>
      <c r="J64" s="5" t="str">
        <f>IF(ISERROR(VLOOKUP(T_Cuotas[[#This Row],[RUN]],T_Voluntarios[],8,FALSE)),"No Existe",VLOOKUP(T_Cuotas[[#This Row],[RUN]],T_Voluntarios[],8,FALSE))</f>
        <v>+56957461773</v>
      </c>
      <c r="K64" s="5" t="str">
        <f>IF(ISERROR(VLOOKUP(T_Cuotas[[#This Row],[RUN]],T_Voluntarios[],10,FALSE)),"No Existe",VLOOKUP(T_Cuotas[[#This Row],[RUN]],T_Voluntarios[],10,FALSE))</f>
        <v>La Montaña</v>
      </c>
      <c r="L64" s="5" t="str">
        <f>IF(ISERROR(VLOOKUP(T_Cuotas[[#This Row],[RUN]],T_Voluntarios[],30,FALSE)),"No Existe",VLOOKUP(T_Cuotas[[#This Row],[RUN]],T_Voluntarios[],30,FALSE))</f>
        <v>Vigente</v>
      </c>
      <c r="M64" s="5" t="str">
        <f>IF(ISERROR(VLOOKUP(T_Cuotas[[#This Row],[RUN]],T_Voluntarios[],13,FALSE)),"No Existe",VLOOKUP(T_Cuotas[[#This Row],[RUN]],T_Voluntarios[],13,FALSE))</f>
        <v>Alimentación Tradicional</v>
      </c>
    </row>
    <row r="65" spans="1:13" x14ac:dyDescent="0.3">
      <c r="A65" s="2" t="s">
        <v>1389</v>
      </c>
      <c r="B65" t="str">
        <f>IF(ISERROR(VLOOKUP(T_Cuotas[[#This Row],[RUN]],T_Voluntarios[],3,FALSE)),"No Existe",VLOOKUP(T_Cuotas[[#This Row],[RUN]],T_Voluntarios[],3,FALSE))</f>
        <v>Martin Nicolas Quintana Bravo</v>
      </c>
      <c r="C65" s="5">
        <f>IF(ISERROR(VLOOKUP(T_Cuotas[[#This Row],[RUN]],Tabla_Pagos[],7,FALSE)),0,VLOOKUP(T_Cuotas[[#This Row],[RUN]],Tabla_Pagos[],7,FALSE))</f>
        <v>20000</v>
      </c>
      <c r="D65" s="5">
        <f>IF(ISERROR(VLOOKUP(T_Cuotas[[#This Row],[RUN]],Tabla_Pagos[],8,FALSE)),0,VLOOKUP(T_Cuotas[[#This Row],[RUN]],Tabla_Pagos[],8,FALSE))</f>
        <v>16500</v>
      </c>
      <c r="E65" s="5">
        <f>IF(ISERROR(VLOOKUP(T_Cuotas[[#This Row],[RUN]],Tabla_Pagos[],9,FALSE)),0,VLOOKUP(T_Cuotas[[#This Row],[RUN]],Tabla_Pagos[],9,FALSE))</f>
        <v>0</v>
      </c>
      <c r="F65" s="5">
        <f>T_Cuotas[[#This Row],[Cuota_1]]+T_Cuotas[[#This Row],[Cuota_2]]+T_Cuotas[[#This Row],[Cuota_3]]</f>
        <v>36500</v>
      </c>
      <c r="G65" s="1">
        <f>COUNTIF(T_Cuotas[RUN],T_Cuotas[[#This Row],[RUN]])</f>
        <v>1</v>
      </c>
      <c r="H65" s="5" t="str">
        <f>IF(ISERROR(VLOOKUP(T_Cuotas[[#This Row],[RUN]],T_Voluntarios[],2,FALSE)),"No Existe",VLOOKUP(T_Cuotas[[#This Row],[RUN]],T_Voluntarios[],2,FALSE))</f>
        <v>martinqnt05@gmail.com</v>
      </c>
      <c r="I65" s="5"/>
      <c r="J65" s="5" t="str">
        <f>IF(ISERROR(VLOOKUP(T_Cuotas[[#This Row],[RUN]],T_Voluntarios[],8,FALSE)),"No Existe",VLOOKUP(T_Cuotas[[#This Row],[RUN]],T_Voluntarios[],8,FALSE))</f>
        <v>+56967020262</v>
      </c>
      <c r="K65" s="5" t="str">
        <f>IF(ISERROR(VLOOKUP(T_Cuotas[[#This Row],[RUN]],T_Voluntarios[],10,FALSE)),"No Existe",VLOOKUP(T_Cuotas[[#This Row],[RUN]],T_Voluntarios[],10,FALSE))</f>
        <v>San Bartolomé</v>
      </c>
      <c r="L65" s="5" t="str">
        <f>IF(ISERROR(VLOOKUP(T_Cuotas[[#This Row],[RUN]],T_Voluntarios[],30,FALSE)),"No Existe",VLOOKUP(T_Cuotas[[#This Row],[RUN]],T_Voluntarios[],30,FALSE))</f>
        <v>Vigente</v>
      </c>
      <c r="M65" s="5" t="str">
        <f>IF(ISERROR(VLOOKUP(T_Cuotas[[#This Row],[RUN]],T_Voluntarios[],13,FALSE)),"No Existe",VLOOKUP(T_Cuotas[[#This Row],[RUN]],T_Voluntarios[],13,FALSE))</f>
        <v>Sin Almuerzo</v>
      </c>
    </row>
    <row r="66" spans="1:13" x14ac:dyDescent="0.3">
      <c r="A66" s="2" t="s">
        <v>1396</v>
      </c>
      <c r="B66" t="str">
        <f>IF(ISERROR(VLOOKUP(T_Cuotas[[#This Row],[RUN]],T_Voluntarios[],3,FALSE)),"No Existe",VLOOKUP(T_Cuotas[[#This Row],[RUN]],T_Voluntarios[],3,FALSE))</f>
        <v>Rafaela Medel Bustamante</v>
      </c>
      <c r="C66" s="5">
        <f>IF(ISERROR(VLOOKUP(T_Cuotas[[#This Row],[RUN]],Tabla_Pagos[],7,FALSE)),0,VLOOKUP(T_Cuotas[[#This Row],[RUN]],Tabla_Pagos[],7,FALSE))</f>
        <v>20000</v>
      </c>
      <c r="D66" s="5">
        <f>IF(ISERROR(VLOOKUP(T_Cuotas[[#This Row],[RUN]],Tabla_Pagos[],8,FALSE)),0,VLOOKUP(T_Cuotas[[#This Row],[RUN]],Tabla_Pagos[],8,FALSE))</f>
        <v>16500</v>
      </c>
      <c r="E66" s="5">
        <f>IF(ISERROR(VLOOKUP(T_Cuotas[[#This Row],[RUN]],Tabla_Pagos[],9,FALSE)),0,VLOOKUP(T_Cuotas[[#This Row],[RUN]],Tabla_Pagos[],9,FALSE))</f>
        <v>0</v>
      </c>
      <c r="F66" s="5">
        <f>T_Cuotas[[#This Row],[Cuota_1]]+T_Cuotas[[#This Row],[Cuota_2]]+T_Cuotas[[#This Row],[Cuota_3]]</f>
        <v>36500</v>
      </c>
      <c r="G66" s="1">
        <f>COUNTIF(T_Cuotas[RUN],T_Cuotas[[#This Row],[RUN]])</f>
        <v>1</v>
      </c>
      <c r="H66" s="5" t="str">
        <f>IF(ISERROR(VLOOKUP(T_Cuotas[[#This Row],[RUN]],T_Voluntarios[],2,FALSE)),"No Existe",VLOOKUP(T_Cuotas[[#This Row],[RUN]],T_Voluntarios[],2,FALSE))</f>
        <v>rafafitamedel7@gmail.com</v>
      </c>
      <c r="I66" s="5"/>
      <c r="J66" s="5" t="str">
        <f>IF(ISERROR(VLOOKUP(T_Cuotas[[#This Row],[RUN]],T_Voluntarios[],8,FALSE)),"No Existe",VLOOKUP(T_Cuotas[[#This Row],[RUN]],T_Voluntarios[],8,FALSE))</f>
        <v>+56944773131</v>
      </c>
      <c r="K66" s="5" t="str">
        <f>IF(ISERROR(VLOOKUP(T_Cuotas[[#This Row],[RUN]],T_Voluntarios[],10,FALSE)),"No Existe",VLOOKUP(T_Cuotas[[#This Row],[RUN]],T_Voluntarios[],10,FALSE))</f>
        <v>San Bartolomé</v>
      </c>
      <c r="L66" s="5" t="str">
        <f>IF(ISERROR(VLOOKUP(T_Cuotas[[#This Row],[RUN]],T_Voluntarios[],30,FALSE)),"No Existe",VLOOKUP(T_Cuotas[[#This Row],[RUN]],T_Voluntarios[],30,FALSE))</f>
        <v>Vigente</v>
      </c>
      <c r="M66" s="5" t="str">
        <f>IF(ISERROR(VLOOKUP(T_Cuotas[[#This Row],[RUN]],T_Voluntarios[],13,FALSE)),"No Existe",VLOOKUP(T_Cuotas[[#This Row],[RUN]],T_Voluntarios[],13,FALSE))</f>
        <v>Sin Almuerzo</v>
      </c>
    </row>
    <row r="67" spans="1:13" x14ac:dyDescent="0.3">
      <c r="A67" s="2" t="s">
        <v>1406</v>
      </c>
      <c r="B67" t="str">
        <f>IF(ISERROR(VLOOKUP(T_Cuotas[[#This Row],[RUN]],T_Voluntarios[],3,FALSE)),"No Existe",VLOOKUP(T_Cuotas[[#This Row],[RUN]],T_Voluntarios[],3,FALSE))</f>
        <v>Nicolás Andrés Figueroa Orellana</v>
      </c>
      <c r="C67" s="5">
        <f>IF(ISERROR(VLOOKUP(T_Cuotas[[#This Row],[RUN]],Tabla_Pagos[],7,FALSE)),0,VLOOKUP(T_Cuotas[[#This Row],[RUN]],Tabla_Pagos[],7,FALSE))</f>
        <v>20000</v>
      </c>
      <c r="D67" s="5">
        <f>IF(ISERROR(VLOOKUP(T_Cuotas[[#This Row],[RUN]],Tabla_Pagos[],8,FALSE)),0,VLOOKUP(T_Cuotas[[#This Row],[RUN]],Tabla_Pagos[],8,FALSE))</f>
        <v>16500</v>
      </c>
      <c r="E67" s="5">
        <f>IF(ISERROR(VLOOKUP(T_Cuotas[[#This Row],[RUN]],Tabla_Pagos[],9,FALSE)),0,VLOOKUP(T_Cuotas[[#This Row],[RUN]],Tabla_Pagos[],9,FALSE))</f>
        <v>0</v>
      </c>
      <c r="F67" s="5">
        <f>T_Cuotas[[#This Row],[Cuota_1]]+T_Cuotas[[#This Row],[Cuota_2]]+T_Cuotas[[#This Row],[Cuota_3]]</f>
        <v>36500</v>
      </c>
      <c r="G67" s="1">
        <f>COUNTIF(T_Cuotas[RUN],T_Cuotas[[#This Row],[RUN]])</f>
        <v>1</v>
      </c>
      <c r="H67" s="5" t="str">
        <f>IF(ISERROR(VLOOKUP(T_Cuotas[[#This Row],[RUN]],T_Voluntarios[],2,FALSE)),"No Existe",VLOOKUP(T_Cuotas[[#This Row],[RUN]],T_Voluntarios[],2,FALSE))</f>
        <v>nicofigueroa2k04@gmail.com</v>
      </c>
      <c r="I67" s="5"/>
      <c r="J67" s="5" t="str">
        <f>IF(ISERROR(VLOOKUP(T_Cuotas[[#This Row],[RUN]],T_Voluntarios[],8,FALSE)),"No Existe",VLOOKUP(T_Cuotas[[#This Row],[RUN]],T_Voluntarios[],8,FALSE))</f>
        <v>+56957143597</v>
      </c>
      <c r="K67" s="5" t="str">
        <f>IF(ISERROR(VLOOKUP(T_Cuotas[[#This Row],[RUN]],T_Voluntarios[],10,FALSE)),"No Existe",VLOOKUP(T_Cuotas[[#This Row],[RUN]],T_Voluntarios[],10,FALSE))</f>
        <v>San Bartolomé</v>
      </c>
      <c r="L67" s="5" t="str">
        <f>IF(ISERROR(VLOOKUP(T_Cuotas[[#This Row],[RUN]],T_Voluntarios[],30,FALSE)),"No Existe",VLOOKUP(T_Cuotas[[#This Row],[RUN]],T_Voluntarios[],30,FALSE))</f>
        <v>Vigente</v>
      </c>
      <c r="M67" s="5" t="str">
        <f>IF(ISERROR(VLOOKUP(T_Cuotas[[#This Row],[RUN]],T_Voluntarios[],13,FALSE)),"No Existe",VLOOKUP(T_Cuotas[[#This Row],[RUN]],T_Voluntarios[],13,FALSE))</f>
        <v>Sin Almuerzo</v>
      </c>
    </row>
    <row r="68" spans="1:13" x14ac:dyDescent="0.3">
      <c r="A68" s="2" t="s">
        <v>1415</v>
      </c>
      <c r="B68" t="str">
        <f>IF(ISERROR(VLOOKUP(T_Cuotas[[#This Row],[RUN]],T_Voluntarios[],3,FALSE)),"No Existe",VLOOKUP(T_Cuotas[[#This Row],[RUN]],T_Voluntarios[],3,FALSE))</f>
        <v>Sebastián Alejandro Bravo García</v>
      </c>
      <c r="C68" s="5">
        <f>IF(ISERROR(VLOOKUP(T_Cuotas[[#This Row],[RUN]],Tabla_Pagos[],7,FALSE)),0,VLOOKUP(T_Cuotas[[#This Row],[RUN]],Tabla_Pagos[],7,FALSE))</f>
        <v>20000</v>
      </c>
      <c r="D68" s="5">
        <f>IF(ISERROR(VLOOKUP(T_Cuotas[[#This Row],[RUN]],Tabla_Pagos[],8,FALSE)),0,VLOOKUP(T_Cuotas[[#This Row],[RUN]],Tabla_Pagos[],8,FALSE))</f>
        <v>16500</v>
      </c>
      <c r="E68" s="5">
        <f>IF(ISERROR(VLOOKUP(T_Cuotas[[#This Row],[RUN]],Tabla_Pagos[],9,FALSE)),0,VLOOKUP(T_Cuotas[[#This Row],[RUN]],Tabla_Pagos[],9,FALSE))</f>
        <v>0</v>
      </c>
      <c r="F68" s="5">
        <f>T_Cuotas[[#This Row],[Cuota_1]]+T_Cuotas[[#This Row],[Cuota_2]]+T_Cuotas[[#This Row],[Cuota_3]]</f>
        <v>36500</v>
      </c>
      <c r="G68" s="1">
        <f>COUNTIF(T_Cuotas[RUN],T_Cuotas[[#This Row],[RUN]])</f>
        <v>1</v>
      </c>
      <c r="H68" s="5" t="str">
        <f>IF(ISERROR(VLOOKUP(T_Cuotas[[#This Row],[RUN]],T_Voluntarios[],2,FALSE)),"No Existe",VLOOKUP(T_Cuotas[[#This Row],[RUN]],T_Voluntarios[],2,FALSE))</f>
        <v>sebabravo1810@gmail.com</v>
      </c>
      <c r="I68" s="5"/>
      <c r="J68" s="5" t="str">
        <f>IF(ISERROR(VLOOKUP(T_Cuotas[[#This Row],[RUN]],T_Voluntarios[],8,FALSE)),"No Existe",VLOOKUP(T_Cuotas[[#This Row],[RUN]],T_Voluntarios[],8,FALSE))</f>
        <v>+56993960099</v>
      </c>
      <c r="K68" s="5" t="str">
        <f>IF(ISERROR(VLOOKUP(T_Cuotas[[#This Row],[RUN]],T_Voluntarios[],10,FALSE)),"No Existe",VLOOKUP(T_Cuotas[[#This Row],[RUN]],T_Voluntarios[],10,FALSE))</f>
        <v>San Bartolomé</v>
      </c>
      <c r="L68" s="5" t="str">
        <f>IF(ISERROR(VLOOKUP(T_Cuotas[[#This Row],[RUN]],T_Voluntarios[],30,FALSE)),"No Existe",VLOOKUP(T_Cuotas[[#This Row],[RUN]],T_Voluntarios[],30,FALSE))</f>
        <v>Vigente</v>
      </c>
      <c r="M68" s="5" t="str">
        <f>IF(ISERROR(VLOOKUP(T_Cuotas[[#This Row],[RUN]],T_Voluntarios[],13,FALSE)),"No Existe",VLOOKUP(T_Cuotas[[#This Row],[RUN]],T_Voluntarios[],13,FALSE))</f>
        <v>Sin Almuerzo</v>
      </c>
    </row>
    <row r="69" spans="1:13" x14ac:dyDescent="0.3">
      <c r="A69" s="2" t="s">
        <v>1425</v>
      </c>
      <c r="B69" t="str">
        <f>IF(ISERROR(VLOOKUP(T_Cuotas[[#This Row],[RUN]],T_Voluntarios[],3,FALSE)),"No Existe",VLOOKUP(T_Cuotas[[#This Row],[RUN]],T_Voluntarios[],3,FALSE))</f>
        <v>Tomas Alberto Espinoza Muñoz</v>
      </c>
      <c r="C69" s="5">
        <f>IF(ISERROR(VLOOKUP(T_Cuotas[[#This Row],[RUN]],Tabla_Pagos[],7,FALSE)),0,VLOOKUP(T_Cuotas[[#This Row],[RUN]],Tabla_Pagos[],7,FALSE))</f>
        <v>20000</v>
      </c>
      <c r="D69" s="5">
        <f>IF(ISERROR(VLOOKUP(T_Cuotas[[#This Row],[RUN]],Tabla_Pagos[],8,FALSE)),0,VLOOKUP(T_Cuotas[[#This Row],[RUN]],Tabla_Pagos[],8,FALSE))</f>
        <v>16500</v>
      </c>
      <c r="E69" s="5">
        <f>IF(ISERROR(VLOOKUP(T_Cuotas[[#This Row],[RUN]],Tabla_Pagos[],9,FALSE)),0,VLOOKUP(T_Cuotas[[#This Row],[RUN]],Tabla_Pagos[],9,FALSE))</f>
        <v>0</v>
      </c>
      <c r="F69" s="5">
        <f>T_Cuotas[[#This Row],[Cuota_1]]+T_Cuotas[[#This Row],[Cuota_2]]+T_Cuotas[[#This Row],[Cuota_3]]</f>
        <v>36500</v>
      </c>
      <c r="G69" s="1">
        <f>COUNTIF(T_Cuotas[RUN],T_Cuotas[[#This Row],[RUN]])</f>
        <v>1</v>
      </c>
      <c r="H69" s="5" t="str">
        <f>IF(ISERROR(VLOOKUP(T_Cuotas[[#This Row],[RUN]],T_Voluntarios[],2,FALSE)),"No Existe",VLOOKUP(T_Cuotas[[#This Row],[RUN]],T_Voluntarios[],2,FALSE))</f>
        <v>tomasespinozamunz@gmail.com</v>
      </c>
      <c r="I69" s="5"/>
      <c r="J69" s="5" t="str">
        <f>IF(ISERROR(VLOOKUP(T_Cuotas[[#This Row],[RUN]],T_Voluntarios[],8,FALSE)),"No Existe",VLOOKUP(T_Cuotas[[#This Row],[RUN]],T_Voluntarios[],8,FALSE))</f>
        <v>+56995536960</v>
      </c>
      <c r="K69" s="5" t="str">
        <f>IF(ISERROR(VLOOKUP(T_Cuotas[[#This Row],[RUN]],T_Voluntarios[],10,FALSE)),"No Existe",VLOOKUP(T_Cuotas[[#This Row],[RUN]],T_Voluntarios[],10,FALSE))</f>
        <v>Sagrada Familia</v>
      </c>
      <c r="L69" s="5" t="str">
        <f>IF(ISERROR(VLOOKUP(T_Cuotas[[#This Row],[RUN]],T_Voluntarios[],30,FALSE)),"No Existe",VLOOKUP(T_Cuotas[[#This Row],[RUN]],T_Voluntarios[],30,FALSE))</f>
        <v>Vigente</v>
      </c>
      <c r="M69" s="5" t="str">
        <f>IF(ISERROR(VLOOKUP(T_Cuotas[[#This Row],[RUN]],T_Voluntarios[],13,FALSE)),"No Existe",VLOOKUP(T_Cuotas[[#This Row],[RUN]],T_Voluntarios[],13,FALSE))</f>
        <v>Sin Almuerzo</v>
      </c>
    </row>
    <row r="70" spans="1:13" x14ac:dyDescent="0.3">
      <c r="A70" s="2" t="s">
        <v>1438</v>
      </c>
      <c r="B70" t="str">
        <f>IF(ISERROR(VLOOKUP(T_Cuotas[[#This Row],[RUN]],T_Voluntarios[],3,FALSE)),"No Existe",VLOOKUP(T_Cuotas[[#This Row],[RUN]],T_Voluntarios[],3,FALSE))</f>
        <v>Valentina Scarleth Vargas Rios</v>
      </c>
      <c r="C70" s="5">
        <f>IF(ISERROR(VLOOKUP(T_Cuotas[[#This Row],[RUN]],Tabla_Pagos[],7,FALSE)),0,VLOOKUP(T_Cuotas[[#This Row],[RUN]],Tabla_Pagos[],7,FALSE))</f>
        <v>20000</v>
      </c>
      <c r="D70" s="5">
        <f>IF(ISERROR(VLOOKUP(T_Cuotas[[#This Row],[RUN]],Tabla_Pagos[],8,FALSE)),0,VLOOKUP(T_Cuotas[[#This Row],[RUN]],Tabla_Pagos[],8,FALSE))</f>
        <v>16500</v>
      </c>
      <c r="E70" s="5">
        <f>IF(ISERROR(VLOOKUP(T_Cuotas[[#This Row],[RUN]],Tabla_Pagos[],9,FALSE)),0,VLOOKUP(T_Cuotas[[#This Row],[RUN]],Tabla_Pagos[],9,FALSE))</f>
        <v>0</v>
      </c>
      <c r="F70" s="5">
        <f>T_Cuotas[[#This Row],[Cuota_1]]+T_Cuotas[[#This Row],[Cuota_2]]+T_Cuotas[[#This Row],[Cuota_3]]</f>
        <v>36500</v>
      </c>
      <c r="G70" s="1">
        <f>COUNTIF(T_Cuotas[RUN],T_Cuotas[[#This Row],[RUN]])</f>
        <v>1</v>
      </c>
      <c r="H70" s="5" t="str">
        <f>IF(ISERROR(VLOOKUP(T_Cuotas[[#This Row],[RUN]],T_Voluntarios[],2,FALSE)),"No Existe",VLOOKUP(T_Cuotas[[#This Row],[RUN]],T_Voluntarios[],2,FALSE))</f>
        <v>valentinavrgs17@gmail.com</v>
      </c>
      <c r="I70" s="5"/>
      <c r="J70" s="5" t="str">
        <f>IF(ISERROR(VLOOKUP(T_Cuotas[[#This Row],[RUN]],T_Voluntarios[],8,FALSE)),"No Existe",VLOOKUP(T_Cuotas[[#This Row],[RUN]],T_Voluntarios[],8,FALSE))</f>
        <v>+56934109286</v>
      </c>
      <c r="K70" s="5" t="str">
        <f>IF(ISERROR(VLOOKUP(T_Cuotas[[#This Row],[RUN]],T_Voluntarios[],10,FALSE)),"No Existe",VLOOKUP(T_Cuotas[[#This Row],[RUN]],T_Voluntarios[],10,FALSE))</f>
        <v>Sagrada Familia</v>
      </c>
      <c r="L70" s="5" t="str">
        <f>IF(ISERROR(VLOOKUP(T_Cuotas[[#This Row],[RUN]],T_Voluntarios[],30,FALSE)),"No Existe",VLOOKUP(T_Cuotas[[#This Row],[RUN]],T_Voluntarios[],30,FALSE))</f>
        <v>Vigente</v>
      </c>
      <c r="M70" s="5" t="str">
        <f>IF(ISERROR(VLOOKUP(T_Cuotas[[#This Row],[RUN]],T_Voluntarios[],13,FALSE)),"No Existe",VLOOKUP(T_Cuotas[[#This Row],[RUN]],T_Voluntarios[],13,FALSE))</f>
        <v>Sin Almuerzo</v>
      </c>
    </row>
    <row r="71" spans="1:13" x14ac:dyDescent="0.3">
      <c r="A71" s="2" t="s">
        <v>1451</v>
      </c>
      <c r="B71" t="str">
        <f>IF(ISERROR(VLOOKUP(T_Cuotas[[#This Row],[RUN]],T_Voluntarios[],3,FALSE)),"No Existe",VLOOKUP(T_Cuotas[[#This Row],[RUN]],T_Voluntarios[],3,FALSE))</f>
        <v>Yertty Karina Sandoval Muñoz</v>
      </c>
      <c r="C71" s="5">
        <f>IF(ISERROR(VLOOKUP(T_Cuotas[[#This Row],[RUN]],Tabla_Pagos[],7,FALSE)),0,VLOOKUP(T_Cuotas[[#This Row],[RUN]],Tabla_Pagos[],7,FALSE))</f>
        <v>20000</v>
      </c>
      <c r="D71" s="5">
        <f>IF(ISERROR(VLOOKUP(T_Cuotas[[#This Row],[RUN]],Tabla_Pagos[],8,FALSE)),0,VLOOKUP(T_Cuotas[[#This Row],[RUN]],Tabla_Pagos[],8,FALSE))</f>
        <v>15000</v>
      </c>
      <c r="E71" s="5">
        <f>IF(ISERROR(VLOOKUP(T_Cuotas[[#This Row],[RUN]],Tabla_Pagos[],9,FALSE)),0,VLOOKUP(T_Cuotas[[#This Row],[RUN]],Tabla_Pagos[],9,FALSE))</f>
        <v>15000</v>
      </c>
      <c r="F71" s="5">
        <f>T_Cuotas[[#This Row],[Cuota_1]]+T_Cuotas[[#This Row],[Cuota_2]]+T_Cuotas[[#This Row],[Cuota_3]]</f>
        <v>50000</v>
      </c>
      <c r="G71" s="1">
        <f>COUNTIF(T_Cuotas[RUN],T_Cuotas[[#This Row],[RUN]])</f>
        <v>1</v>
      </c>
      <c r="H71" s="5" t="str">
        <f>IF(ISERROR(VLOOKUP(T_Cuotas[[#This Row],[RUN]],T_Voluntarios[],2,FALSE)),"No Existe",VLOOKUP(T_Cuotas[[#This Row],[RUN]],T_Voluntarios[],2,FALSE))</f>
        <v>ysandovalm@gmail.com</v>
      </c>
      <c r="I71" s="5"/>
      <c r="J71" s="5" t="str">
        <f>IF(ISERROR(VLOOKUP(T_Cuotas[[#This Row],[RUN]],T_Voluntarios[],8,FALSE)),"No Existe",VLOOKUP(T_Cuotas[[#This Row],[RUN]],T_Voluntarios[],8,FALSE))</f>
        <v>+56954687949</v>
      </c>
      <c r="K71" s="5" t="str">
        <f>IF(ISERROR(VLOOKUP(T_Cuotas[[#This Row],[RUN]],T_Voluntarios[],10,FALSE)),"No Existe",VLOOKUP(T_Cuotas[[#This Row],[RUN]],T_Voluntarios[],10,FALSE))</f>
        <v>Mahuidanche</v>
      </c>
      <c r="L71" s="5" t="str">
        <f>IF(ISERROR(VLOOKUP(T_Cuotas[[#This Row],[RUN]],T_Voluntarios[],30,FALSE)),"No Existe",VLOOKUP(T_Cuotas[[#This Row],[RUN]],T_Voluntarios[],30,FALSE))</f>
        <v>Vigente</v>
      </c>
      <c r="M71" s="5" t="str">
        <f>IF(ISERROR(VLOOKUP(T_Cuotas[[#This Row],[RUN]],T_Voluntarios[],13,FALSE)),"No Existe",VLOOKUP(T_Cuotas[[#This Row],[RUN]],T_Voluntarios[],13,FALSE))</f>
        <v>Alimentación Tradicional</v>
      </c>
    </row>
    <row r="72" spans="1:13" x14ac:dyDescent="0.3">
      <c r="A72" s="2" t="s">
        <v>1463</v>
      </c>
      <c r="B72" t="str">
        <f>IF(ISERROR(VLOOKUP(T_Cuotas[[#This Row],[RUN]],T_Voluntarios[],3,FALSE)),"No Existe",VLOOKUP(T_Cuotas[[#This Row],[RUN]],T_Voluntarios[],3,FALSE))</f>
        <v>Alfredo Osvaldo Soto Perez</v>
      </c>
      <c r="C72" s="5">
        <f>IF(ISERROR(VLOOKUP(T_Cuotas[[#This Row],[RUN]],Tabla_Pagos[],7,FALSE)),0,VLOOKUP(T_Cuotas[[#This Row],[RUN]],Tabla_Pagos[],7,FALSE))</f>
        <v>20000</v>
      </c>
      <c r="D72" s="5">
        <f>IF(ISERROR(VLOOKUP(T_Cuotas[[#This Row],[RUN]],Tabla_Pagos[],8,FALSE)),0,VLOOKUP(T_Cuotas[[#This Row],[RUN]],Tabla_Pagos[],8,FALSE))</f>
        <v>16500</v>
      </c>
      <c r="E72" s="5">
        <f>IF(ISERROR(VLOOKUP(T_Cuotas[[#This Row],[RUN]],Tabla_Pagos[],9,FALSE)),0,VLOOKUP(T_Cuotas[[#This Row],[RUN]],Tabla_Pagos[],9,FALSE))</f>
        <v>0</v>
      </c>
      <c r="F72" s="5">
        <f>T_Cuotas[[#This Row],[Cuota_1]]+T_Cuotas[[#This Row],[Cuota_2]]+T_Cuotas[[#This Row],[Cuota_3]]</f>
        <v>36500</v>
      </c>
      <c r="G72" s="1">
        <f>COUNTIF(T_Cuotas[RUN],T_Cuotas[[#This Row],[RUN]])</f>
        <v>1</v>
      </c>
      <c r="H72" s="5" t="str">
        <f>IF(ISERROR(VLOOKUP(T_Cuotas[[#This Row],[RUN]],T_Voluntarios[],2,FALSE)),"No Existe",VLOOKUP(T_Cuotas[[#This Row],[RUN]],T_Voluntarios[],2,FALSE))</f>
        <v>alfredo.soto.perez@gmail.com</v>
      </c>
      <c r="I72" s="5"/>
      <c r="J72" s="5" t="str">
        <f>IF(ISERROR(VLOOKUP(T_Cuotas[[#This Row],[RUN]],T_Voluntarios[],8,FALSE)),"No Existe",VLOOKUP(T_Cuotas[[#This Row],[RUN]],T_Voluntarios[],8,FALSE))</f>
        <v>+56954189051</v>
      </c>
      <c r="K72" s="5" t="str">
        <f>IF(ISERROR(VLOOKUP(T_Cuotas[[#This Row],[RUN]],T_Voluntarios[],10,FALSE)),"No Existe",VLOOKUP(T_Cuotas[[#This Row],[RUN]],T_Voluntarios[],10,FALSE))</f>
        <v>Rucapeñihue</v>
      </c>
      <c r="L72" s="5" t="str">
        <f>IF(ISERROR(VLOOKUP(T_Cuotas[[#This Row],[RUN]],T_Voluntarios[],30,FALSE)),"No Existe",VLOOKUP(T_Cuotas[[#This Row],[RUN]],T_Voluntarios[],30,FALSE))</f>
        <v>Vigente</v>
      </c>
      <c r="M72" s="5" t="str">
        <f>IF(ISERROR(VLOOKUP(T_Cuotas[[#This Row],[RUN]],T_Voluntarios[],13,FALSE)),"No Existe",VLOOKUP(T_Cuotas[[#This Row],[RUN]],T_Voluntarios[],13,FALSE))</f>
        <v>Sin Almuerzo</v>
      </c>
    </row>
    <row r="73" spans="1:13" x14ac:dyDescent="0.3">
      <c r="A73" s="2" t="s">
        <v>1471</v>
      </c>
      <c r="B73" t="str">
        <f>IF(ISERROR(VLOOKUP(T_Cuotas[[#This Row],[RUN]],T_Voluntarios[],3,FALSE)),"No Existe",VLOOKUP(T_Cuotas[[#This Row],[RUN]],T_Voluntarios[],3,FALSE))</f>
        <v>Alain Sebastian Cereceda Venegas</v>
      </c>
      <c r="C73" s="5">
        <f>IF(ISERROR(VLOOKUP(T_Cuotas[[#This Row],[RUN]],Tabla_Pagos[],7,FALSE)),0,VLOOKUP(T_Cuotas[[#This Row],[RUN]],Tabla_Pagos[],7,FALSE))</f>
        <v>20000</v>
      </c>
      <c r="D73" s="5">
        <f>IF(ISERROR(VLOOKUP(T_Cuotas[[#This Row],[RUN]],Tabla_Pagos[],8,FALSE)),0,VLOOKUP(T_Cuotas[[#This Row],[RUN]],Tabla_Pagos[],8,FALSE))</f>
        <v>15000</v>
      </c>
      <c r="E73" s="5">
        <f>IF(ISERROR(VLOOKUP(T_Cuotas[[#This Row],[RUN]],Tabla_Pagos[],9,FALSE)),0,VLOOKUP(T_Cuotas[[#This Row],[RUN]],Tabla_Pagos[],9,FALSE))</f>
        <v>15000</v>
      </c>
      <c r="F73" s="5">
        <f>T_Cuotas[[#This Row],[Cuota_1]]+T_Cuotas[[#This Row],[Cuota_2]]+T_Cuotas[[#This Row],[Cuota_3]]</f>
        <v>50000</v>
      </c>
      <c r="G73" s="1">
        <f>COUNTIF(T_Cuotas[RUN],T_Cuotas[[#This Row],[RUN]])</f>
        <v>1</v>
      </c>
      <c r="H73" s="5" t="str">
        <f>IF(ISERROR(VLOOKUP(T_Cuotas[[#This Row],[RUN]],T_Voluntarios[],2,FALSE)),"No Existe",VLOOKUP(T_Cuotas[[#This Row],[RUN]],T_Voluntarios[],2,FALSE))</f>
        <v>alainsebastian.c.v@gmail.com</v>
      </c>
      <c r="I73" s="5"/>
      <c r="J73" s="5" t="str">
        <f>IF(ISERROR(VLOOKUP(T_Cuotas[[#This Row],[RUN]],T_Voluntarios[],8,FALSE)),"No Existe",VLOOKUP(T_Cuotas[[#This Row],[RUN]],T_Voluntarios[],8,FALSE))</f>
        <v>+56937824627</v>
      </c>
      <c r="K73" s="5" t="str">
        <f>IF(ISERROR(VLOOKUP(T_Cuotas[[#This Row],[RUN]],T_Voluntarios[],10,FALSE)),"No Existe",VLOOKUP(T_Cuotas[[#This Row],[RUN]],T_Voluntarios[],10,FALSE))</f>
        <v>San Francisco</v>
      </c>
      <c r="L73" s="5" t="str">
        <f>IF(ISERROR(VLOOKUP(T_Cuotas[[#This Row],[RUN]],T_Voluntarios[],30,FALSE)),"No Existe",VLOOKUP(T_Cuotas[[#This Row],[RUN]],T_Voluntarios[],30,FALSE))</f>
        <v>Vigente</v>
      </c>
      <c r="M73" s="5" t="str">
        <f>IF(ISERROR(VLOOKUP(T_Cuotas[[#This Row],[RUN]],T_Voluntarios[],13,FALSE)),"No Existe",VLOOKUP(T_Cuotas[[#This Row],[RUN]],T_Voluntarios[],13,FALSE))</f>
        <v>Alimentación Tradicional</v>
      </c>
    </row>
    <row r="74" spans="1:13" x14ac:dyDescent="0.3">
      <c r="A74" s="2" t="s">
        <v>1482</v>
      </c>
      <c r="B74" t="str">
        <f>IF(ISERROR(VLOOKUP(T_Cuotas[[#This Row],[RUN]],T_Voluntarios[],3,FALSE)),"No Existe",VLOOKUP(T_Cuotas[[#This Row],[RUN]],T_Voluntarios[],3,FALSE))</f>
        <v>Paula Constanza Antonia Sobrevía Valenzuela</v>
      </c>
      <c r="C74" s="5">
        <f>IF(ISERROR(VLOOKUP(T_Cuotas[[#This Row],[RUN]],Tabla_Pagos[],7,FALSE)),0,VLOOKUP(T_Cuotas[[#This Row],[RUN]],Tabla_Pagos[],7,FALSE))</f>
        <v>20000</v>
      </c>
      <c r="D74" s="5">
        <f>IF(ISERROR(VLOOKUP(T_Cuotas[[#This Row],[RUN]],Tabla_Pagos[],8,FALSE)),0,VLOOKUP(T_Cuotas[[#This Row],[RUN]],Tabla_Pagos[],8,FALSE))</f>
        <v>15000</v>
      </c>
      <c r="E74" s="5">
        <f>IF(ISERROR(VLOOKUP(T_Cuotas[[#This Row],[RUN]],Tabla_Pagos[],9,FALSE)),0,VLOOKUP(T_Cuotas[[#This Row],[RUN]],Tabla_Pagos[],9,FALSE))</f>
        <v>15000</v>
      </c>
      <c r="F74" s="5">
        <f>T_Cuotas[[#This Row],[Cuota_1]]+T_Cuotas[[#This Row],[Cuota_2]]+T_Cuotas[[#This Row],[Cuota_3]]</f>
        <v>50000</v>
      </c>
      <c r="G74" s="1">
        <f>COUNTIF(T_Cuotas[RUN],T_Cuotas[[#This Row],[RUN]])</f>
        <v>1</v>
      </c>
      <c r="H74" s="5" t="str">
        <f>IF(ISERROR(VLOOKUP(T_Cuotas[[#This Row],[RUN]],T_Voluntarios[],2,FALSE)),"No Existe",VLOOKUP(T_Cuotas[[#This Row],[RUN]],T_Voluntarios[],2,FALSE))</f>
        <v>psobreviav@gmail.com</v>
      </c>
      <c r="I74" s="5"/>
      <c r="J74" s="5" t="str">
        <f>IF(ISERROR(VLOOKUP(T_Cuotas[[#This Row],[RUN]],T_Voluntarios[],8,FALSE)),"No Existe",VLOOKUP(T_Cuotas[[#This Row],[RUN]],T_Voluntarios[],8,FALSE))</f>
        <v>+56957002094</v>
      </c>
      <c r="K74" s="5" t="str">
        <f>IF(ISERROR(VLOOKUP(T_Cuotas[[#This Row],[RUN]],T_Voluntarios[],10,FALSE)),"No Existe",VLOOKUP(T_Cuotas[[#This Row],[RUN]],T_Voluntarios[],10,FALSE))</f>
        <v>Salesianos Concepción</v>
      </c>
      <c r="L74" s="5" t="str">
        <f>IF(ISERROR(VLOOKUP(T_Cuotas[[#This Row],[RUN]],T_Voluntarios[],30,FALSE)),"No Existe",VLOOKUP(T_Cuotas[[#This Row],[RUN]],T_Voluntarios[],30,FALSE))</f>
        <v>Vigente</v>
      </c>
      <c r="M74" s="5" t="str">
        <f>IF(ISERROR(VLOOKUP(T_Cuotas[[#This Row],[RUN]],T_Voluntarios[],13,FALSE)),"No Existe",VLOOKUP(T_Cuotas[[#This Row],[RUN]],T_Voluntarios[],13,FALSE))</f>
        <v>Alimentación Tradicional</v>
      </c>
    </row>
    <row r="75" spans="1:13" x14ac:dyDescent="0.3">
      <c r="A75" s="2" t="s">
        <v>1490</v>
      </c>
      <c r="B75" t="str">
        <f>IF(ISERROR(VLOOKUP(T_Cuotas[[#This Row],[RUN]],T_Voluntarios[],3,FALSE)),"No Existe",VLOOKUP(T_Cuotas[[#This Row],[RUN]],T_Voluntarios[],3,FALSE))</f>
        <v>Daniela Monserrat Burgos Guzmán</v>
      </c>
      <c r="C75" s="5">
        <f>IF(ISERROR(VLOOKUP(T_Cuotas[[#This Row],[RUN]],Tabla_Pagos[],7,FALSE)),0,VLOOKUP(T_Cuotas[[#This Row],[RUN]],Tabla_Pagos[],7,FALSE))</f>
        <v>20000</v>
      </c>
      <c r="D75" s="5">
        <f>IF(ISERROR(VLOOKUP(T_Cuotas[[#This Row],[RUN]],Tabla_Pagos[],8,FALSE)),0,VLOOKUP(T_Cuotas[[#This Row],[RUN]],Tabla_Pagos[],8,FALSE))</f>
        <v>15000</v>
      </c>
      <c r="E75" s="5">
        <f>IF(ISERROR(VLOOKUP(T_Cuotas[[#This Row],[RUN]],Tabla_Pagos[],9,FALSE)),0,VLOOKUP(T_Cuotas[[#This Row],[RUN]],Tabla_Pagos[],9,FALSE))</f>
        <v>15000</v>
      </c>
      <c r="F75" s="5">
        <f>T_Cuotas[[#This Row],[Cuota_1]]+T_Cuotas[[#This Row],[Cuota_2]]+T_Cuotas[[#This Row],[Cuota_3]]</f>
        <v>50000</v>
      </c>
      <c r="G75" s="1">
        <f>COUNTIF(T_Cuotas[RUN],T_Cuotas[[#This Row],[RUN]])</f>
        <v>1</v>
      </c>
      <c r="H75" s="5" t="str">
        <f>IF(ISERROR(VLOOKUP(T_Cuotas[[#This Row],[RUN]],T_Voluntarios[],2,FALSE)),"No Existe",VLOOKUP(T_Cuotas[[#This Row],[RUN]],T_Voluntarios[],2,FALSE))</f>
        <v>daniburguz1630@gmail.com</v>
      </c>
      <c r="I75" s="5"/>
      <c r="J75" s="5" t="str">
        <f>IF(ISERROR(VLOOKUP(T_Cuotas[[#This Row],[RUN]],T_Voluntarios[],8,FALSE)),"No Existe",VLOOKUP(T_Cuotas[[#This Row],[RUN]],T_Voluntarios[],8,FALSE))</f>
        <v>+56994922124</v>
      </c>
      <c r="K75" s="5" t="str">
        <f>IF(ISERROR(VLOOKUP(T_Cuotas[[#This Row],[RUN]],T_Voluntarios[],10,FALSE)),"No Existe",VLOOKUP(T_Cuotas[[#This Row],[RUN]],T_Voluntarios[],10,FALSE))</f>
        <v>Santa Cecilia</v>
      </c>
      <c r="L75" s="5" t="str">
        <f>IF(ISERROR(VLOOKUP(T_Cuotas[[#This Row],[RUN]],T_Voluntarios[],30,FALSE)),"No Existe",VLOOKUP(T_Cuotas[[#This Row],[RUN]],T_Voluntarios[],30,FALSE))</f>
        <v>Vigente</v>
      </c>
      <c r="M75" s="5" t="str">
        <f>IF(ISERROR(VLOOKUP(T_Cuotas[[#This Row],[RUN]],T_Voluntarios[],13,FALSE)),"No Existe",VLOOKUP(T_Cuotas[[#This Row],[RUN]],T_Voluntarios[],13,FALSE))</f>
        <v>Alimentación Tradicional</v>
      </c>
    </row>
    <row r="76" spans="1:13" x14ac:dyDescent="0.3">
      <c r="A76" s="2" t="s">
        <v>1501</v>
      </c>
      <c r="B76" t="str">
        <f>IF(ISERROR(VLOOKUP(T_Cuotas[[#This Row],[RUN]],T_Voluntarios[],3,FALSE)),"No Existe",VLOOKUP(T_Cuotas[[#This Row],[RUN]],T_Voluntarios[],3,FALSE))</f>
        <v>Thalía Scarlett Fernández Sierra</v>
      </c>
      <c r="C76" s="5">
        <f>IF(ISERROR(VLOOKUP(T_Cuotas[[#This Row],[RUN]],Tabla_Pagos[],7,FALSE)),0,VLOOKUP(T_Cuotas[[#This Row],[RUN]],Tabla_Pagos[],7,FALSE))</f>
        <v>20000</v>
      </c>
      <c r="D76" s="5">
        <f>IF(ISERROR(VLOOKUP(T_Cuotas[[#This Row],[RUN]],Tabla_Pagos[],8,FALSE)),0,VLOOKUP(T_Cuotas[[#This Row],[RUN]],Tabla_Pagos[],8,FALSE))</f>
        <v>15000</v>
      </c>
      <c r="E76" s="5">
        <f>IF(ISERROR(VLOOKUP(T_Cuotas[[#This Row],[RUN]],Tabla_Pagos[],9,FALSE)),0,VLOOKUP(T_Cuotas[[#This Row],[RUN]],Tabla_Pagos[],9,FALSE))</f>
        <v>15000</v>
      </c>
      <c r="F76" s="5">
        <f>T_Cuotas[[#This Row],[Cuota_1]]+T_Cuotas[[#This Row],[Cuota_2]]+T_Cuotas[[#This Row],[Cuota_3]]</f>
        <v>50000</v>
      </c>
      <c r="G76" s="1">
        <f>COUNTIF(T_Cuotas[RUN],T_Cuotas[[#This Row],[RUN]])</f>
        <v>1</v>
      </c>
      <c r="H76" s="5" t="str">
        <f>IF(ISERROR(VLOOKUP(T_Cuotas[[#This Row],[RUN]],T_Voluntarios[],2,FALSE)),"No Existe",VLOOKUP(T_Cuotas[[#This Row],[RUN]],T_Voluntarios[],2,FALSE))</f>
        <v>mg.thalia.f@gmail.com</v>
      </c>
      <c r="I76" s="5"/>
      <c r="J76" s="5" t="str">
        <f>IF(ISERROR(VLOOKUP(T_Cuotas[[#This Row],[RUN]],T_Voluntarios[],8,FALSE)),"No Existe",VLOOKUP(T_Cuotas[[#This Row],[RUN]],T_Voluntarios[],8,FALSE))</f>
        <v>+56941568452</v>
      </c>
      <c r="K76" s="5" t="str">
        <f>IF(ISERROR(VLOOKUP(T_Cuotas[[#This Row],[RUN]],T_Voluntarios[],10,FALSE)),"No Existe",VLOOKUP(T_Cuotas[[#This Row],[RUN]],T_Voluntarios[],10,FALSE))</f>
        <v>Namuncura</v>
      </c>
      <c r="L76" s="5" t="str">
        <f>IF(ISERROR(VLOOKUP(T_Cuotas[[#This Row],[RUN]],T_Voluntarios[],30,FALSE)),"No Existe",VLOOKUP(T_Cuotas[[#This Row],[RUN]],T_Voluntarios[],30,FALSE))</f>
        <v>Vigente</v>
      </c>
      <c r="M76" s="5" t="str">
        <f>IF(ISERROR(VLOOKUP(T_Cuotas[[#This Row],[RUN]],T_Voluntarios[],13,FALSE)),"No Existe",VLOOKUP(T_Cuotas[[#This Row],[RUN]],T_Voluntarios[],13,FALSE))</f>
        <v>Alimentación Tradicional</v>
      </c>
    </row>
    <row r="77" spans="1:13" x14ac:dyDescent="0.3">
      <c r="A77" s="2" t="s">
        <v>1559</v>
      </c>
      <c r="B77" t="str">
        <f>IF(ISERROR(VLOOKUP(T_Cuotas[[#This Row],[RUN]],T_Voluntarios[],3,FALSE)),"No Existe",VLOOKUP(T_Cuotas[[#This Row],[RUN]],T_Voluntarios[],3,FALSE))</f>
        <v>Karina Belen Antonella Martinez Navarro</v>
      </c>
      <c r="C77" s="5">
        <f>IF(ISERROR(VLOOKUP(T_Cuotas[[#This Row],[RUN]],Tabla_Pagos[],7,FALSE)),0,VLOOKUP(T_Cuotas[[#This Row],[RUN]],Tabla_Pagos[],7,FALSE))</f>
        <v>20000</v>
      </c>
      <c r="D77" s="5">
        <f>IF(ISERROR(VLOOKUP(T_Cuotas[[#This Row],[RUN]],Tabla_Pagos[],8,FALSE)),0,VLOOKUP(T_Cuotas[[#This Row],[RUN]],Tabla_Pagos[],8,FALSE))</f>
        <v>15000</v>
      </c>
      <c r="E77" s="5">
        <f>IF(ISERROR(VLOOKUP(T_Cuotas[[#This Row],[RUN]],Tabla_Pagos[],9,FALSE)),0,VLOOKUP(T_Cuotas[[#This Row],[RUN]],Tabla_Pagos[],9,FALSE))</f>
        <v>15000</v>
      </c>
      <c r="F77" s="5">
        <f>T_Cuotas[[#This Row],[Cuota_1]]+T_Cuotas[[#This Row],[Cuota_2]]+T_Cuotas[[#This Row],[Cuota_3]]</f>
        <v>50000</v>
      </c>
      <c r="G77" s="1">
        <f>COUNTIF(T_Cuotas[RUN],T_Cuotas[[#This Row],[RUN]])</f>
        <v>1</v>
      </c>
      <c r="H77" s="5" t="str">
        <f>IF(ISERROR(VLOOKUP(T_Cuotas[[#This Row],[RUN]],T_Voluntarios[],2,FALSE)),"No Existe",VLOOKUP(T_Cuotas[[#This Row],[RUN]],T_Voluntarios[],2,FALSE))</f>
        <v>karina.martinez.navarro@gmail.com</v>
      </c>
      <c r="I77" s="5"/>
      <c r="J77" s="5" t="str">
        <f>IF(ISERROR(VLOOKUP(T_Cuotas[[#This Row],[RUN]],T_Voluntarios[],8,FALSE)),"No Existe",VLOOKUP(T_Cuotas[[#This Row],[RUN]],T_Voluntarios[],8,FALSE))</f>
        <v>+56996814332</v>
      </c>
      <c r="K77" s="5" t="str">
        <f>IF(ISERROR(VLOOKUP(T_Cuotas[[#This Row],[RUN]],T_Voluntarios[],10,FALSE)),"No Existe",VLOOKUP(T_Cuotas[[#This Row],[RUN]],T_Voluntarios[],10,FALSE))</f>
        <v>Sagrada Familia</v>
      </c>
      <c r="L77" s="5" t="str">
        <f>IF(ISERROR(VLOOKUP(T_Cuotas[[#This Row],[RUN]],T_Voluntarios[],30,FALSE)),"No Existe",VLOOKUP(T_Cuotas[[#This Row],[RUN]],T_Voluntarios[],30,FALSE))</f>
        <v>Vigente</v>
      </c>
      <c r="M77" s="5" t="str">
        <f>IF(ISERROR(VLOOKUP(T_Cuotas[[#This Row],[RUN]],T_Voluntarios[],13,FALSE)),"No Existe",VLOOKUP(T_Cuotas[[#This Row],[RUN]],T_Voluntarios[],13,FALSE))</f>
        <v>Alimentación Tradicional</v>
      </c>
    </row>
    <row r="78" spans="1:13" x14ac:dyDescent="0.3">
      <c r="A78" s="2" t="s">
        <v>1521</v>
      </c>
      <c r="B78" t="str">
        <f>IF(ISERROR(VLOOKUP(T_Cuotas[[#This Row],[RUN]],T_Voluntarios[],3,FALSE)),"No Existe",VLOOKUP(T_Cuotas[[#This Row],[RUN]],T_Voluntarios[],3,FALSE))</f>
        <v>Jocefina Laura Noemí Loyola Díaz</v>
      </c>
      <c r="C78" s="5">
        <f>IF(ISERROR(VLOOKUP(T_Cuotas[[#This Row],[RUN]],Tabla_Pagos[],7,FALSE)),0,VLOOKUP(T_Cuotas[[#This Row],[RUN]],Tabla_Pagos[],7,FALSE))</f>
        <v>20000</v>
      </c>
      <c r="D78" s="5">
        <f>IF(ISERROR(VLOOKUP(T_Cuotas[[#This Row],[RUN]],Tabla_Pagos[],8,FALSE)),0,VLOOKUP(T_Cuotas[[#This Row],[RUN]],Tabla_Pagos[],8,FALSE))</f>
        <v>15000</v>
      </c>
      <c r="E78" s="5">
        <f>IF(ISERROR(VLOOKUP(T_Cuotas[[#This Row],[RUN]],Tabla_Pagos[],9,FALSE)),0,VLOOKUP(T_Cuotas[[#This Row],[RUN]],Tabla_Pagos[],9,FALSE))</f>
        <v>15000</v>
      </c>
      <c r="F78" s="5">
        <f>T_Cuotas[[#This Row],[Cuota_1]]+T_Cuotas[[#This Row],[Cuota_2]]+T_Cuotas[[#This Row],[Cuota_3]]</f>
        <v>50000</v>
      </c>
      <c r="G78" s="1">
        <f>COUNTIF(T_Cuotas[RUN],T_Cuotas[[#This Row],[RUN]])</f>
        <v>1</v>
      </c>
      <c r="H78" s="5" t="str">
        <f>IF(ISERROR(VLOOKUP(T_Cuotas[[#This Row],[RUN]],T_Voluntarios[],2,FALSE)),"No Existe",VLOOKUP(T_Cuotas[[#This Row],[RUN]],T_Voluntarios[],2,FALSE))</f>
        <v>jocefinaloyola@gmail.com</v>
      </c>
      <c r="I78" s="5"/>
      <c r="J78" s="5" t="str">
        <f>IF(ISERROR(VLOOKUP(T_Cuotas[[#This Row],[RUN]],T_Voluntarios[],8,FALSE)),"No Existe",VLOOKUP(T_Cuotas[[#This Row],[RUN]],T_Voluntarios[],8,FALSE))</f>
        <v>+56975908017</v>
      </c>
      <c r="K78" s="5" t="str">
        <f>IF(ISERROR(VLOOKUP(T_Cuotas[[#This Row],[RUN]],T_Voluntarios[],10,FALSE)),"No Existe",VLOOKUP(T_Cuotas[[#This Row],[RUN]],T_Voluntarios[],10,FALSE))</f>
        <v>Sagrada Familia</v>
      </c>
      <c r="L78" s="5" t="str">
        <f>IF(ISERROR(VLOOKUP(T_Cuotas[[#This Row],[RUN]],T_Voluntarios[],30,FALSE)),"No Existe",VLOOKUP(T_Cuotas[[#This Row],[RUN]],T_Voluntarios[],30,FALSE))</f>
        <v>Vigente</v>
      </c>
      <c r="M78" s="5" t="str">
        <f>IF(ISERROR(VLOOKUP(T_Cuotas[[#This Row],[RUN]],T_Voluntarios[],13,FALSE)),"No Existe",VLOOKUP(T_Cuotas[[#This Row],[RUN]],T_Voluntarios[],13,FALSE))</f>
        <v>Alimentación Tradicional</v>
      </c>
    </row>
    <row r="79" spans="1:13" hidden="1" x14ac:dyDescent="0.3">
      <c r="A79" s="2" t="s">
        <v>1531</v>
      </c>
      <c r="B79" t="str">
        <f>IF(ISERROR(VLOOKUP(T_Cuotas[[#This Row],[RUN]],T_Voluntarios[],3,FALSE)),"No Existe",VLOOKUP(T_Cuotas[[#This Row],[RUN]],T_Voluntarios[],3,FALSE))</f>
        <v>Waleska Elizabeth Prambs Levín</v>
      </c>
      <c r="C79" s="5">
        <f>IF(ISERROR(VLOOKUP(T_Cuotas[[#This Row],[RUN]],Tabla_Pagos[],7,FALSE)),0,VLOOKUP(T_Cuotas[[#This Row],[RUN]],Tabla_Pagos[],7,FALSE))</f>
        <v>0</v>
      </c>
      <c r="D79" s="5">
        <f>IF(ISERROR(VLOOKUP(T_Cuotas[[#This Row],[RUN]],Tabla_Pagos[],8,FALSE)),0,VLOOKUP(T_Cuotas[[#This Row],[RUN]],Tabla_Pagos[],8,FALSE))</f>
        <v>0</v>
      </c>
      <c r="E79" s="5">
        <f>IF(ISERROR(VLOOKUP(T_Cuotas[[#This Row],[RUN]],Tabla_Pagos[],9,FALSE)),0,VLOOKUP(T_Cuotas[[#This Row],[RUN]],Tabla_Pagos[],9,FALSE))</f>
        <v>0</v>
      </c>
      <c r="F79" s="5">
        <f>T_Cuotas[[#This Row],[Cuota_1]]+T_Cuotas[[#This Row],[Cuota_2]]+T_Cuotas[[#This Row],[Cuota_3]]</f>
        <v>0</v>
      </c>
      <c r="G79" s="1">
        <f>COUNTIF(T_Cuotas[RUN],T_Cuotas[[#This Row],[RUN]])</f>
        <v>1</v>
      </c>
      <c r="H79" s="5" t="str">
        <f>IF(ISERROR(VLOOKUP(T_Cuotas[[#This Row],[RUN]],T_Voluntarios[],2,FALSE)),"No Existe",VLOOKUP(T_Cuotas[[#This Row],[RUN]],T_Voluntarios[],2,FALSE))</f>
        <v>wprambs@gmail.com</v>
      </c>
      <c r="I79" s="5"/>
      <c r="J79" s="5" t="str">
        <f>IF(ISERROR(VLOOKUP(T_Cuotas[[#This Row],[RUN]],T_Voluntarios[],8,FALSE)),"No Existe",VLOOKUP(T_Cuotas[[#This Row],[RUN]],T_Voluntarios[],8,FALSE))</f>
        <v>+56994861311</v>
      </c>
      <c r="K79" s="5" t="str">
        <f>IF(ISERROR(VLOOKUP(T_Cuotas[[#This Row],[RUN]],T_Voluntarios[],10,FALSE)),"No Existe",VLOOKUP(T_Cuotas[[#This Row],[RUN]],T_Voluntarios[],10,FALSE))</f>
        <v>San Mateo</v>
      </c>
      <c r="L79" s="5" t="str">
        <f>IF(ISERROR(VLOOKUP(T_Cuotas[[#This Row],[RUN]],T_Voluntarios[],30,FALSE)),"No Existe",VLOOKUP(T_Cuotas[[#This Row],[RUN]],T_Voluntarios[],30,FALSE))</f>
        <v>NO Vigente</v>
      </c>
      <c r="M79" s="5" t="str">
        <f>IF(ISERROR(VLOOKUP(T_Cuotas[[#This Row],[RUN]],T_Voluntarios[],13,FALSE)),"No Existe",VLOOKUP(T_Cuotas[[#This Row],[RUN]],T_Voluntarios[],13,FALSE))</f>
        <v>Alimentación Tradicional</v>
      </c>
    </row>
    <row r="80" spans="1:13" x14ac:dyDescent="0.3">
      <c r="A80" s="2" t="s">
        <v>1542</v>
      </c>
      <c r="B80" t="str">
        <f>IF(ISERROR(VLOOKUP(T_Cuotas[[#This Row],[RUN]],T_Voluntarios[],3,FALSE)),"No Existe",VLOOKUP(T_Cuotas[[#This Row],[RUN]],T_Voluntarios[],3,FALSE))</f>
        <v>Stephany Alejandra Concha Zapata</v>
      </c>
      <c r="C80" s="5">
        <f>IF(ISERROR(VLOOKUP(T_Cuotas[[#This Row],[RUN]],Tabla_Pagos[],7,FALSE)),0,VLOOKUP(T_Cuotas[[#This Row],[RUN]],Tabla_Pagos[],7,FALSE))</f>
        <v>20000</v>
      </c>
      <c r="D80" s="5">
        <f>IF(ISERROR(VLOOKUP(T_Cuotas[[#This Row],[RUN]],Tabla_Pagos[],8,FALSE)),0,VLOOKUP(T_Cuotas[[#This Row],[RUN]],Tabla_Pagos[],8,FALSE))</f>
        <v>16500</v>
      </c>
      <c r="E80" s="5">
        <f>IF(ISERROR(VLOOKUP(T_Cuotas[[#This Row],[RUN]],Tabla_Pagos[],9,FALSE)),0,VLOOKUP(T_Cuotas[[#This Row],[RUN]],Tabla_Pagos[],9,FALSE))</f>
        <v>0</v>
      </c>
      <c r="F80" s="5">
        <f>T_Cuotas[[#This Row],[Cuota_1]]+T_Cuotas[[#This Row],[Cuota_2]]+T_Cuotas[[#This Row],[Cuota_3]]</f>
        <v>36500</v>
      </c>
      <c r="G80" s="1">
        <f>COUNTIF(T_Cuotas[RUN],T_Cuotas[[#This Row],[RUN]])</f>
        <v>1</v>
      </c>
      <c r="H80" s="5" t="str">
        <f>IF(ISERROR(VLOOKUP(T_Cuotas[[#This Row],[RUN]],T_Voluntarios[],2,FALSE)),"No Existe",VLOOKUP(T_Cuotas[[#This Row],[RUN]],T_Voluntarios[],2,FALSE))</f>
        <v>stephany.concha@virginiogomez.cl</v>
      </c>
      <c r="I80" s="5"/>
      <c r="J80" s="5" t="str">
        <f>IF(ISERROR(VLOOKUP(T_Cuotas[[#This Row],[RUN]],T_Voluntarios[],8,FALSE)),"No Existe",VLOOKUP(T_Cuotas[[#This Row],[RUN]],T_Voluntarios[],8,FALSE))</f>
        <v>+56947608082</v>
      </c>
      <c r="K80" s="5" t="str">
        <f>IF(ISERROR(VLOOKUP(T_Cuotas[[#This Row],[RUN]],T_Voluntarios[],10,FALSE)),"No Existe",VLOOKUP(T_Cuotas[[#This Row],[RUN]],T_Voluntarios[],10,FALSE))</f>
        <v>Espíritu Santo</v>
      </c>
      <c r="L80" s="5" t="str">
        <f>IF(ISERROR(VLOOKUP(T_Cuotas[[#This Row],[RUN]],T_Voluntarios[],30,FALSE)),"No Existe",VLOOKUP(T_Cuotas[[#This Row],[RUN]],T_Voluntarios[],30,FALSE))</f>
        <v>Vigente</v>
      </c>
      <c r="M80" s="5" t="str">
        <f>IF(ISERROR(VLOOKUP(T_Cuotas[[#This Row],[RUN]],T_Voluntarios[],13,FALSE)),"No Existe",VLOOKUP(T_Cuotas[[#This Row],[RUN]],T_Voluntarios[],13,FALSE))</f>
        <v>Sin Almuerzo</v>
      </c>
    </row>
    <row r="81" spans="1:13" x14ac:dyDescent="0.3">
      <c r="A81" s="2" t="s">
        <v>1628</v>
      </c>
      <c r="B81" t="str">
        <f>IF(ISERROR(VLOOKUP(T_Cuotas[[#This Row],[RUN]],T_Voluntarios[],3,FALSE)),"No Existe",VLOOKUP(T_Cuotas[[#This Row],[RUN]],T_Voluntarios[],3,FALSE))</f>
        <v>Pablo Andres Marin Mansilla</v>
      </c>
      <c r="C81" s="5">
        <f>IF(ISERROR(VLOOKUP(T_Cuotas[[#This Row],[RUN]],Tabla_Pagos[],7,FALSE)),0,VLOOKUP(T_Cuotas[[#This Row],[RUN]],Tabla_Pagos[],7,FALSE))</f>
        <v>20000</v>
      </c>
      <c r="D81" s="5">
        <f>IF(ISERROR(VLOOKUP(T_Cuotas[[#This Row],[RUN]],Tabla_Pagos[],8,FALSE)),0,VLOOKUP(T_Cuotas[[#This Row],[RUN]],Tabla_Pagos[],8,FALSE))</f>
        <v>15000</v>
      </c>
      <c r="E81" s="5">
        <f>IF(ISERROR(VLOOKUP(T_Cuotas[[#This Row],[RUN]],Tabla_Pagos[],9,FALSE)),0,VLOOKUP(T_Cuotas[[#This Row],[RUN]],Tabla_Pagos[],9,FALSE))</f>
        <v>15000</v>
      </c>
      <c r="F81" s="5">
        <f>T_Cuotas[[#This Row],[Cuota_1]]+T_Cuotas[[#This Row],[Cuota_2]]+T_Cuotas[[#This Row],[Cuota_3]]</f>
        <v>50000</v>
      </c>
      <c r="G81" s="1">
        <f>COUNTIF(T_Cuotas[RUN],T_Cuotas[[#This Row],[RUN]])</f>
        <v>1</v>
      </c>
      <c r="H81" s="5" t="str">
        <f>IF(ISERROR(VLOOKUP(T_Cuotas[[#This Row],[RUN]],T_Voluntarios[],2,FALSE)),"No Existe",VLOOKUP(T_Cuotas[[#This Row],[RUN]],T_Voluntarios[],2,FALSE))</f>
        <v>pablo.marin.05@gmail.com</v>
      </c>
      <c r="I81" s="5"/>
      <c r="J81" s="5" t="str">
        <f>IF(ISERROR(VLOOKUP(T_Cuotas[[#This Row],[RUN]],T_Voluntarios[],8,FALSE)),"No Existe",VLOOKUP(T_Cuotas[[#This Row],[RUN]],T_Voluntarios[],8,FALSE))</f>
        <v>+56926339785</v>
      </c>
      <c r="K81" s="5" t="str">
        <f>IF(ISERROR(VLOOKUP(T_Cuotas[[#This Row],[RUN]],T_Voluntarios[],10,FALSE)),"No Existe",VLOOKUP(T_Cuotas[[#This Row],[RUN]],T_Voluntarios[],10,FALSE))</f>
        <v>Espíritu Santo</v>
      </c>
      <c r="L81" s="5" t="str">
        <f>IF(ISERROR(VLOOKUP(T_Cuotas[[#This Row],[RUN]],T_Voluntarios[],30,FALSE)),"No Existe",VLOOKUP(T_Cuotas[[#This Row],[RUN]],T_Voluntarios[],30,FALSE))</f>
        <v>Vigente</v>
      </c>
      <c r="M81" s="5" t="str">
        <f>IF(ISERROR(VLOOKUP(T_Cuotas[[#This Row],[RUN]],T_Voluntarios[],13,FALSE)),"No Existe",VLOOKUP(T_Cuotas[[#This Row],[RUN]],T_Voluntarios[],13,FALSE))</f>
        <v>Alimentación Tradicional</v>
      </c>
    </row>
    <row r="82" spans="1:13" x14ac:dyDescent="0.3">
      <c r="A82" s="2" t="s">
        <v>1602</v>
      </c>
      <c r="B82" t="str">
        <f>IF(ISERROR(VLOOKUP(T_Cuotas[[#This Row],[RUN]],T_Voluntarios[],3,FALSE)),"No Existe",VLOOKUP(T_Cuotas[[#This Row],[RUN]],T_Voluntarios[],3,FALSE))</f>
        <v>Thiare Aylin Aguilera Zapata</v>
      </c>
      <c r="C82" s="5">
        <f>IF(ISERROR(VLOOKUP(T_Cuotas[[#This Row],[RUN]],Tabla_Pagos[],7,FALSE)),0,VLOOKUP(T_Cuotas[[#This Row],[RUN]],Tabla_Pagos[],7,FALSE))</f>
        <v>20000</v>
      </c>
      <c r="D82" s="5">
        <f>IF(ISERROR(VLOOKUP(T_Cuotas[[#This Row],[RUN]],Tabla_Pagos[],8,FALSE)),0,VLOOKUP(T_Cuotas[[#This Row],[RUN]],Tabla_Pagos[],8,FALSE))</f>
        <v>15000</v>
      </c>
      <c r="E82" s="5">
        <f>IF(ISERROR(VLOOKUP(T_Cuotas[[#This Row],[RUN]],Tabla_Pagos[],9,FALSE)),0,VLOOKUP(T_Cuotas[[#This Row],[RUN]],Tabla_Pagos[],9,FALSE))</f>
        <v>15000</v>
      </c>
      <c r="F82" s="5">
        <f>T_Cuotas[[#This Row],[Cuota_1]]+T_Cuotas[[#This Row],[Cuota_2]]+T_Cuotas[[#This Row],[Cuota_3]]</f>
        <v>50000</v>
      </c>
      <c r="G82" s="1">
        <f>COUNTIF(T_Cuotas[RUN],T_Cuotas[[#This Row],[RUN]])</f>
        <v>1</v>
      </c>
      <c r="H82" s="5" t="str">
        <f>IF(ISERROR(VLOOKUP(T_Cuotas[[#This Row],[RUN]],T_Voluntarios[],2,FALSE)),"No Existe",VLOOKUP(T_Cuotas[[#This Row],[RUN]],T_Voluntarios[],2,FALSE))</f>
        <v>thiareazapata@gmail.com</v>
      </c>
      <c r="I82" s="5"/>
      <c r="J82" s="5" t="str">
        <f>IF(ISERROR(VLOOKUP(T_Cuotas[[#This Row],[RUN]],T_Voluntarios[],8,FALSE)),"No Existe",VLOOKUP(T_Cuotas[[#This Row],[RUN]],T_Voluntarios[],8,FALSE))</f>
        <v>+56968146979</v>
      </c>
      <c r="K82" s="5" t="str">
        <f>IF(ISERROR(VLOOKUP(T_Cuotas[[#This Row],[RUN]],T_Voluntarios[],10,FALSE)),"No Existe",VLOOKUP(T_Cuotas[[#This Row],[RUN]],T_Voluntarios[],10,FALSE))</f>
        <v>Mahuidanche</v>
      </c>
      <c r="L82" s="5" t="str">
        <f>IF(ISERROR(VLOOKUP(T_Cuotas[[#This Row],[RUN]],T_Voluntarios[],30,FALSE)),"No Existe",VLOOKUP(T_Cuotas[[#This Row],[RUN]],T_Voluntarios[],30,FALSE))</f>
        <v>Vigente</v>
      </c>
      <c r="M82" s="5" t="str">
        <f>IF(ISERROR(VLOOKUP(T_Cuotas[[#This Row],[RUN]],T_Voluntarios[],13,FALSE)),"No Existe",VLOOKUP(T_Cuotas[[#This Row],[RUN]],T_Voluntarios[],13,FALSE))</f>
        <v>Alimentación Vegetariana</v>
      </c>
    </row>
    <row r="83" spans="1:13" x14ac:dyDescent="0.3">
      <c r="A83" s="2" t="s">
        <v>1611</v>
      </c>
      <c r="B83" t="str">
        <f>IF(ISERROR(VLOOKUP(T_Cuotas[[#This Row],[RUN]],T_Voluntarios[],3,FALSE)),"No Existe",VLOOKUP(T_Cuotas[[#This Row],[RUN]],T_Voluntarios[],3,FALSE))</f>
        <v>Renata Valentina Alarcón Muñoz</v>
      </c>
      <c r="C83" s="5">
        <f>IF(ISERROR(VLOOKUP(T_Cuotas[[#This Row],[RUN]],Tabla_Pagos[],7,FALSE)),0,VLOOKUP(T_Cuotas[[#This Row],[RUN]],Tabla_Pagos[],7,FALSE))</f>
        <v>20000</v>
      </c>
      <c r="D83" s="5">
        <f>IF(ISERROR(VLOOKUP(T_Cuotas[[#This Row],[RUN]],Tabla_Pagos[],8,FALSE)),0,VLOOKUP(T_Cuotas[[#This Row],[RUN]],Tabla_Pagos[],8,FALSE))</f>
        <v>15000</v>
      </c>
      <c r="E83" s="5">
        <f>IF(ISERROR(VLOOKUP(T_Cuotas[[#This Row],[RUN]],Tabla_Pagos[],9,FALSE)),0,VLOOKUP(T_Cuotas[[#This Row],[RUN]],Tabla_Pagos[],9,FALSE))</f>
        <v>15000</v>
      </c>
      <c r="F83" s="5">
        <f>T_Cuotas[[#This Row],[Cuota_1]]+T_Cuotas[[#This Row],[Cuota_2]]+T_Cuotas[[#This Row],[Cuota_3]]</f>
        <v>50000</v>
      </c>
      <c r="G83" s="1">
        <f>COUNTIF(T_Cuotas[RUN],T_Cuotas[[#This Row],[RUN]])</f>
        <v>1</v>
      </c>
      <c r="H83" s="5" t="str">
        <f>IF(ISERROR(VLOOKUP(T_Cuotas[[#This Row],[RUN]],T_Voluntarios[],2,FALSE)),"No Existe",VLOOKUP(T_Cuotas[[#This Row],[RUN]],T_Voluntarios[],2,FALSE))</f>
        <v>ralarconn3@gmail.com</v>
      </c>
      <c r="I83" s="5"/>
      <c r="J83" s="5" t="str">
        <f>IF(ISERROR(VLOOKUP(T_Cuotas[[#This Row],[RUN]],T_Voluntarios[],8,FALSE)),"No Existe",VLOOKUP(T_Cuotas[[#This Row],[RUN]],T_Voluntarios[],8,FALSE))</f>
        <v>+56990138737</v>
      </c>
      <c r="K83" s="5" t="str">
        <f>IF(ISERROR(VLOOKUP(T_Cuotas[[#This Row],[RUN]],T_Voluntarios[],10,FALSE)),"No Existe",VLOOKUP(T_Cuotas[[#This Row],[RUN]],T_Voluntarios[],10,FALSE))</f>
        <v>Santa Bárbara</v>
      </c>
      <c r="L83" s="5" t="str">
        <f>IF(ISERROR(VLOOKUP(T_Cuotas[[#This Row],[RUN]],T_Voluntarios[],30,FALSE)),"No Existe",VLOOKUP(T_Cuotas[[#This Row],[RUN]],T_Voluntarios[],30,FALSE))</f>
        <v>Vigente</v>
      </c>
      <c r="M83" s="5" t="str">
        <f>IF(ISERROR(VLOOKUP(T_Cuotas[[#This Row],[RUN]],T_Voluntarios[],13,FALSE)),"No Existe",VLOOKUP(T_Cuotas[[#This Row],[RUN]],T_Voluntarios[],13,FALSE))</f>
        <v>Alimentación Tradicional</v>
      </c>
    </row>
    <row r="84" spans="1:13" hidden="1" x14ac:dyDescent="0.3">
      <c r="A84" s="2" t="s">
        <v>1620</v>
      </c>
      <c r="B84" t="str">
        <f>IF(ISERROR(VLOOKUP(T_Cuotas[[#This Row],[RUN]],T_Voluntarios[],3,FALSE)),"No Existe",VLOOKUP(T_Cuotas[[#This Row],[RUN]],T_Voluntarios[],3,FALSE))</f>
        <v>Constanza Muriel Mora Robles</v>
      </c>
      <c r="C84" s="5">
        <f>IF(ISERROR(VLOOKUP(T_Cuotas[[#This Row],[RUN]],Tabla_Pagos[],7,FALSE)),0,VLOOKUP(T_Cuotas[[#This Row],[RUN]],Tabla_Pagos[],7,FALSE))</f>
        <v>15000</v>
      </c>
      <c r="D84" s="5">
        <f>IF(ISERROR(VLOOKUP(T_Cuotas[[#This Row],[RUN]],Tabla_Pagos[],8,FALSE)),0,VLOOKUP(T_Cuotas[[#This Row],[RUN]],Tabla_Pagos[],8,FALSE))</f>
        <v>0</v>
      </c>
      <c r="E84" s="5">
        <f>IF(ISERROR(VLOOKUP(T_Cuotas[[#This Row],[RUN]],Tabla_Pagos[],9,FALSE)),0,VLOOKUP(T_Cuotas[[#This Row],[RUN]],Tabla_Pagos[],9,FALSE))</f>
        <v>0</v>
      </c>
      <c r="F84" s="5">
        <f>T_Cuotas[[#This Row],[Cuota_1]]+T_Cuotas[[#This Row],[Cuota_2]]+T_Cuotas[[#This Row],[Cuota_3]]</f>
        <v>15000</v>
      </c>
      <c r="G84" s="1">
        <f>COUNTIF(T_Cuotas[RUN],T_Cuotas[[#This Row],[RUN]])</f>
        <v>1</v>
      </c>
      <c r="H84" s="5" t="str">
        <f>IF(ISERROR(VLOOKUP(T_Cuotas[[#This Row],[RUN]],T_Voluntarios[],2,FALSE)),"No Existe",VLOOKUP(T_Cuotas[[#This Row],[RUN]],T_Voluntarios[],2,FALSE))</f>
        <v>constanza.mora.r16@gmail.com</v>
      </c>
      <c r="I84" s="5"/>
      <c r="J84" s="5" t="str">
        <f>IF(ISERROR(VLOOKUP(T_Cuotas[[#This Row],[RUN]],T_Voluntarios[],8,FALSE)),"No Existe",VLOOKUP(T_Cuotas[[#This Row],[RUN]],T_Voluntarios[],8,FALSE))</f>
        <v>+56988947281</v>
      </c>
      <c r="K84" s="5" t="str">
        <f>IF(ISERROR(VLOOKUP(T_Cuotas[[#This Row],[RUN]],T_Voluntarios[],10,FALSE)),"No Existe",VLOOKUP(T_Cuotas[[#This Row],[RUN]],T_Voluntarios[],10,FALSE))</f>
        <v>Mahuidanche</v>
      </c>
      <c r="L84" s="5" t="str">
        <f>IF(ISERROR(VLOOKUP(T_Cuotas[[#This Row],[RUN]],T_Voluntarios[],30,FALSE)),"No Existe",VLOOKUP(T_Cuotas[[#This Row],[RUN]],T_Voluntarios[],30,FALSE))</f>
        <v>NO Vigente</v>
      </c>
      <c r="M84" s="5" t="str">
        <f>IF(ISERROR(VLOOKUP(T_Cuotas[[#This Row],[RUN]],T_Voluntarios[],13,FALSE)),"No Existe",VLOOKUP(T_Cuotas[[#This Row],[RUN]],T_Voluntarios[],13,FALSE))</f>
        <v>Alimentación Tradicional</v>
      </c>
    </row>
    <row r="85" spans="1:13" x14ac:dyDescent="0.3">
      <c r="A85" s="2" t="s">
        <v>1642</v>
      </c>
      <c r="B85" t="str">
        <f>IF(ISERROR(VLOOKUP(T_Cuotas[[#This Row],[RUN]],T_Voluntarios[],3,FALSE)),"No Existe",VLOOKUP(T_Cuotas[[#This Row],[RUN]],T_Voluntarios[],3,FALSE))</f>
        <v>Sebastián Gilberto Hermosilla Miño</v>
      </c>
      <c r="C85" s="5">
        <f>IF(ISERROR(VLOOKUP(T_Cuotas[[#This Row],[RUN]],Tabla_Pagos[],7,FALSE)),0,VLOOKUP(T_Cuotas[[#This Row],[RUN]],Tabla_Pagos[],7,FALSE))</f>
        <v>20000</v>
      </c>
      <c r="D85" s="5">
        <f>IF(ISERROR(VLOOKUP(T_Cuotas[[#This Row],[RUN]],Tabla_Pagos[],8,FALSE)),0,VLOOKUP(T_Cuotas[[#This Row],[RUN]],Tabla_Pagos[],8,FALSE))</f>
        <v>15000</v>
      </c>
      <c r="E85" s="5">
        <f>IF(ISERROR(VLOOKUP(T_Cuotas[[#This Row],[RUN]],Tabla_Pagos[],9,FALSE)),0,VLOOKUP(T_Cuotas[[#This Row],[RUN]],Tabla_Pagos[],9,FALSE))</f>
        <v>15000</v>
      </c>
      <c r="F85" s="5">
        <f>T_Cuotas[[#This Row],[Cuota_1]]+T_Cuotas[[#This Row],[Cuota_2]]+T_Cuotas[[#This Row],[Cuota_3]]</f>
        <v>50000</v>
      </c>
      <c r="G85" s="1">
        <f>COUNTIF(T_Cuotas[RUN],T_Cuotas[[#This Row],[RUN]])</f>
        <v>1</v>
      </c>
      <c r="H85" s="5" t="str">
        <f>IF(ISERROR(VLOOKUP(T_Cuotas[[#This Row],[RUN]],T_Voluntarios[],2,FALSE)),"No Existe",VLOOKUP(T_Cuotas[[#This Row],[RUN]],T_Voluntarios[],2,FALSE))</f>
        <v>hermosillasebastian8@gmail.com</v>
      </c>
      <c r="I85" s="5"/>
      <c r="J85" s="5" t="str">
        <f>IF(ISERROR(VLOOKUP(T_Cuotas[[#This Row],[RUN]],T_Voluntarios[],8,FALSE)),"No Existe",VLOOKUP(T_Cuotas[[#This Row],[RUN]],T_Voluntarios[],8,FALSE))</f>
        <v>+56967391936</v>
      </c>
      <c r="K85" s="5" t="str">
        <f>IF(ISERROR(VLOOKUP(T_Cuotas[[#This Row],[RUN]],T_Voluntarios[],10,FALSE)),"No Existe",VLOOKUP(T_Cuotas[[#This Row],[RUN]],T_Voluntarios[],10,FALSE))</f>
        <v>Inmaculada Concepción de Talcahuano</v>
      </c>
      <c r="L85" s="5" t="str">
        <f>IF(ISERROR(VLOOKUP(T_Cuotas[[#This Row],[RUN]],T_Voluntarios[],30,FALSE)),"No Existe",VLOOKUP(T_Cuotas[[#This Row],[RUN]],T_Voluntarios[],30,FALSE))</f>
        <v>Vigente</v>
      </c>
      <c r="M85" s="5" t="str">
        <f>IF(ISERROR(VLOOKUP(T_Cuotas[[#This Row],[RUN]],T_Voluntarios[],13,FALSE)),"No Existe",VLOOKUP(T_Cuotas[[#This Row],[RUN]],T_Voluntarios[],13,FALSE))</f>
        <v>Alimentación Tradicional</v>
      </c>
    </row>
    <row r="86" spans="1:13" x14ac:dyDescent="0.3">
      <c r="A86" s="2" t="s">
        <v>1883</v>
      </c>
      <c r="B86" t="str">
        <f>IF(ISERROR(VLOOKUP(T_Cuotas[[#This Row],[RUN]],T_Voluntarios[],3,FALSE)),"No Existe",VLOOKUP(T_Cuotas[[#This Row],[RUN]],T_Voluntarios[],3,FALSE))</f>
        <v>Treycer Nivor Castillo Rojas</v>
      </c>
      <c r="C86" s="5">
        <f>IF(ISERROR(VLOOKUP(T_Cuotas[[#This Row],[RUN]],Tabla_Pagos[],7,FALSE)),0,VLOOKUP(T_Cuotas[[#This Row],[RUN]],Tabla_Pagos[],7,FALSE))</f>
        <v>20000</v>
      </c>
      <c r="D86" s="5">
        <f>IF(ISERROR(VLOOKUP(T_Cuotas[[#This Row],[RUN]],Tabla_Pagos[],8,FALSE)),0,VLOOKUP(T_Cuotas[[#This Row],[RUN]],Tabla_Pagos[],8,FALSE))</f>
        <v>15000</v>
      </c>
      <c r="E86" s="5">
        <f>IF(ISERROR(VLOOKUP(T_Cuotas[[#This Row],[RUN]],Tabla_Pagos[],9,FALSE)),0,VLOOKUP(T_Cuotas[[#This Row],[RUN]],Tabla_Pagos[],9,FALSE))</f>
        <v>15000</v>
      </c>
      <c r="F86" s="5">
        <f>T_Cuotas[[#This Row],[Cuota_1]]+T_Cuotas[[#This Row],[Cuota_2]]+T_Cuotas[[#This Row],[Cuota_3]]</f>
        <v>50000</v>
      </c>
      <c r="G86" s="1">
        <f>COUNTIF(T_Cuotas[RUN],T_Cuotas[[#This Row],[RUN]])</f>
        <v>1</v>
      </c>
      <c r="H86" s="5" t="str">
        <f>IF(ISERROR(VLOOKUP(T_Cuotas[[#This Row],[RUN]],T_Voluntarios[],2,FALSE)),"No Existe",VLOOKUP(T_Cuotas[[#This Row],[RUN]],T_Voluntarios[],2,FALSE))</f>
        <v>treycer_c@hotmail.com</v>
      </c>
      <c r="I86" s="5"/>
      <c r="J86" s="5" t="str">
        <f>IF(ISERROR(VLOOKUP(T_Cuotas[[#This Row],[RUN]],T_Voluntarios[],8,FALSE)),"No Existe",VLOOKUP(T_Cuotas[[#This Row],[RUN]],T_Voluntarios[],8,FALSE))</f>
        <v>+56992368169</v>
      </c>
      <c r="K86" s="5" t="str">
        <f>IF(ISERROR(VLOOKUP(T_Cuotas[[#This Row],[RUN]],T_Voluntarios[],10,FALSE)),"No Existe",VLOOKUP(T_Cuotas[[#This Row],[RUN]],T_Voluntarios[],10,FALSE))</f>
        <v>Huilliche</v>
      </c>
      <c r="L86" s="5" t="str">
        <f>IF(ISERROR(VLOOKUP(T_Cuotas[[#This Row],[RUN]],T_Voluntarios[],30,FALSE)),"No Existe",VLOOKUP(T_Cuotas[[#This Row],[RUN]],T_Voluntarios[],30,FALSE))</f>
        <v>Vigente</v>
      </c>
      <c r="M86" s="5" t="str">
        <f>IF(ISERROR(VLOOKUP(T_Cuotas[[#This Row],[RUN]],T_Voluntarios[],13,FALSE)),"No Existe",VLOOKUP(T_Cuotas[[#This Row],[RUN]],T_Voluntarios[],13,FALSE))</f>
        <v>Alimentación Tradicional</v>
      </c>
    </row>
    <row r="87" spans="1:13" hidden="1" x14ac:dyDescent="0.3">
      <c r="A87" s="2" t="s">
        <v>1745</v>
      </c>
      <c r="B87" t="str">
        <f>IF(ISERROR(VLOOKUP(T_Cuotas[[#This Row],[RUN]],T_Voluntarios[],3,FALSE)),"No Existe",VLOOKUP(T_Cuotas[[#This Row],[RUN]],T_Voluntarios[],3,FALSE))</f>
        <v>Cristian Julian Ernesto Urra Parra</v>
      </c>
      <c r="C87" s="5">
        <f>IF(ISERROR(VLOOKUP(T_Cuotas[[#This Row],[RUN]],Tabla_Pagos[],7,FALSE)),0,VLOOKUP(T_Cuotas[[#This Row],[RUN]],Tabla_Pagos[],7,FALSE))</f>
        <v>20000</v>
      </c>
      <c r="D87" s="5">
        <f>IF(ISERROR(VLOOKUP(T_Cuotas[[#This Row],[RUN]],Tabla_Pagos[],8,FALSE)),0,VLOOKUP(T_Cuotas[[#This Row],[RUN]],Tabla_Pagos[],8,FALSE))</f>
        <v>0</v>
      </c>
      <c r="E87" s="5">
        <f>IF(ISERROR(VLOOKUP(T_Cuotas[[#This Row],[RUN]],Tabla_Pagos[],9,FALSE)),0,VLOOKUP(T_Cuotas[[#This Row],[RUN]],Tabla_Pagos[],9,FALSE))</f>
        <v>0</v>
      </c>
      <c r="F87" s="5">
        <f>T_Cuotas[[#This Row],[Cuota_1]]+T_Cuotas[[#This Row],[Cuota_2]]+T_Cuotas[[#This Row],[Cuota_3]]</f>
        <v>20000</v>
      </c>
      <c r="G87" s="1">
        <f>COUNTIF(T_Cuotas[RUN],T_Cuotas[[#This Row],[RUN]])</f>
        <v>1</v>
      </c>
      <c r="H87" s="5" t="str">
        <f>IF(ISERROR(VLOOKUP(T_Cuotas[[#This Row],[RUN]],T_Voluntarios[],2,FALSE)),"No Existe",VLOOKUP(T_Cuotas[[#This Row],[RUN]],T_Voluntarios[],2,FALSE))</f>
        <v>cristianurratrabajo@gmail.com</v>
      </c>
      <c r="I87" s="5"/>
      <c r="J87" s="5" t="str">
        <f>IF(ISERROR(VLOOKUP(T_Cuotas[[#This Row],[RUN]],T_Voluntarios[],8,FALSE)),"No Existe",VLOOKUP(T_Cuotas[[#This Row],[RUN]],T_Voluntarios[],8,FALSE))</f>
        <v>+56977809683</v>
      </c>
      <c r="K87" s="5" t="str">
        <f>IF(ISERROR(VLOOKUP(T_Cuotas[[#This Row],[RUN]],T_Voluntarios[],10,FALSE)),"No Existe",VLOOKUP(T_Cuotas[[#This Row],[RUN]],T_Voluntarios[],10,FALSE))</f>
        <v>Monte Kenya</v>
      </c>
      <c r="L87" s="5" t="str">
        <f>IF(ISERROR(VLOOKUP(T_Cuotas[[#This Row],[RUN]],T_Voluntarios[],30,FALSE)),"No Existe",VLOOKUP(T_Cuotas[[#This Row],[RUN]],T_Voluntarios[],30,FALSE))</f>
        <v>NO Vigente</v>
      </c>
      <c r="M87" s="5" t="str">
        <f>IF(ISERROR(VLOOKUP(T_Cuotas[[#This Row],[RUN]],T_Voluntarios[],13,FALSE)),"No Existe",VLOOKUP(T_Cuotas[[#This Row],[RUN]],T_Voluntarios[],13,FALSE))</f>
        <v>Alimentación Tradicional</v>
      </c>
    </row>
    <row r="88" spans="1:13" x14ac:dyDescent="0.3">
      <c r="A88" s="2" t="s">
        <v>1758</v>
      </c>
      <c r="B88" t="str">
        <f>IF(ISERROR(VLOOKUP(T_Cuotas[[#This Row],[RUN]],T_Voluntarios[],3,FALSE)),"No Existe",VLOOKUP(T_Cuotas[[#This Row],[RUN]],T_Voluntarios[],3,FALSE))</f>
        <v>Luis Alfredo Burgos Contreras</v>
      </c>
      <c r="C88" s="5">
        <f>IF(ISERROR(VLOOKUP(T_Cuotas[[#This Row],[RUN]],Tabla_Pagos[],7,FALSE)),0,VLOOKUP(T_Cuotas[[#This Row],[RUN]],Tabla_Pagos[],7,FALSE))</f>
        <v>20000</v>
      </c>
      <c r="D88" s="5">
        <f>IF(ISERROR(VLOOKUP(T_Cuotas[[#This Row],[RUN]],Tabla_Pagos[],8,FALSE)),0,VLOOKUP(T_Cuotas[[#This Row],[RUN]],Tabla_Pagos[],8,FALSE))</f>
        <v>15000</v>
      </c>
      <c r="E88" s="5">
        <f>IF(ISERROR(VLOOKUP(T_Cuotas[[#This Row],[RUN]],Tabla_Pagos[],9,FALSE)),0,VLOOKUP(T_Cuotas[[#This Row],[RUN]],Tabla_Pagos[],9,FALSE))</f>
        <v>15000</v>
      </c>
      <c r="F88" s="5">
        <f>T_Cuotas[[#This Row],[Cuota_1]]+T_Cuotas[[#This Row],[Cuota_2]]+T_Cuotas[[#This Row],[Cuota_3]]</f>
        <v>50000</v>
      </c>
      <c r="G88" s="1">
        <f>COUNTIF(T_Cuotas[RUN],T_Cuotas[[#This Row],[RUN]])</f>
        <v>1</v>
      </c>
      <c r="H88" s="5" t="str">
        <f>IF(ISERROR(VLOOKUP(T_Cuotas[[#This Row],[RUN]],T_Voluntarios[],2,FALSE)),"No Existe",VLOOKUP(T_Cuotas[[#This Row],[RUN]],T_Voluntarios[],2,FALSE))</f>
        <v>luisalfredoburgoscontreras@gmail.com</v>
      </c>
      <c r="I88" s="5"/>
      <c r="J88" s="5" t="str">
        <f>IF(ISERROR(VLOOKUP(T_Cuotas[[#This Row],[RUN]],T_Voluntarios[],8,FALSE)),"No Existe",VLOOKUP(T_Cuotas[[#This Row],[RUN]],T_Voluntarios[],8,FALSE))</f>
        <v>+56977008466</v>
      </c>
      <c r="K88" s="5" t="str">
        <f>IF(ISERROR(VLOOKUP(T_Cuotas[[#This Row],[RUN]],T_Voluntarios[],10,FALSE)),"No Existe",VLOOKUP(T_Cuotas[[#This Row],[RUN]],T_Voluntarios[],10,FALSE))</f>
        <v>Helen Keller</v>
      </c>
      <c r="L88" s="5" t="str">
        <f>IF(ISERROR(VLOOKUP(T_Cuotas[[#This Row],[RUN]],T_Voluntarios[],30,FALSE)),"No Existe",VLOOKUP(T_Cuotas[[#This Row],[RUN]],T_Voluntarios[],30,FALSE))</f>
        <v>Vigente</v>
      </c>
      <c r="M88" s="5" t="str">
        <f>IF(ISERROR(VLOOKUP(T_Cuotas[[#This Row],[RUN]],T_Voluntarios[],13,FALSE)),"No Existe",VLOOKUP(T_Cuotas[[#This Row],[RUN]],T_Voluntarios[],13,FALSE))</f>
        <v>Alimentación Tradicional</v>
      </c>
    </row>
    <row r="89" spans="1:13" hidden="1" x14ac:dyDescent="0.3">
      <c r="A89" s="2" t="s">
        <v>1771</v>
      </c>
      <c r="B89" t="str">
        <f>IF(ISERROR(VLOOKUP(T_Cuotas[[#This Row],[RUN]],T_Voluntarios[],3,FALSE)),"No Existe",VLOOKUP(T_Cuotas[[#This Row],[RUN]],T_Voluntarios[],3,FALSE))</f>
        <v>Camila Parra Lillo</v>
      </c>
      <c r="C89" s="5">
        <f>IF(ISERROR(VLOOKUP(T_Cuotas[[#This Row],[RUN]],Tabla_Pagos[],7,FALSE)),0,VLOOKUP(T_Cuotas[[#This Row],[RUN]],Tabla_Pagos[],7,FALSE))</f>
        <v>0</v>
      </c>
      <c r="D89" s="5">
        <f>IF(ISERROR(VLOOKUP(T_Cuotas[[#This Row],[RUN]],Tabla_Pagos[],8,FALSE)),0,VLOOKUP(T_Cuotas[[#This Row],[RUN]],Tabla_Pagos[],8,FALSE))</f>
        <v>0</v>
      </c>
      <c r="E89" s="5">
        <f>IF(ISERROR(VLOOKUP(T_Cuotas[[#This Row],[RUN]],Tabla_Pagos[],9,FALSE)),0,VLOOKUP(T_Cuotas[[#This Row],[RUN]],Tabla_Pagos[],9,FALSE))</f>
        <v>0</v>
      </c>
      <c r="F89" s="5">
        <f>T_Cuotas[[#This Row],[Cuota_1]]+T_Cuotas[[#This Row],[Cuota_2]]+T_Cuotas[[#This Row],[Cuota_3]]</f>
        <v>0</v>
      </c>
      <c r="G89" s="1">
        <f>COUNTIF(T_Cuotas[RUN],T_Cuotas[[#This Row],[RUN]])</f>
        <v>1</v>
      </c>
      <c r="H89" s="5" t="str">
        <f>IF(ISERROR(VLOOKUP(T_Cuotas[[#This Row],[RUN]],T_Voluntarios[],2,FALSE)),"No Existe",VLOOKUP(T_Cuotas[[#This Row],[RUN]],T_Voluntarios[],2,FALSE))</f>
        <v>cami.parra.lillo@gmail.com</v>
      </c>
      <c r="I89" s="5"/>
      <c r="J89" s="5" t="str">
        <f>IF(ISERROR(VLOOKUP(T_Cuotas[[#This Row],[RUN]],T_Voluntarios[],8,FALSE)),"No Existe",VLOOKUP(T_Cuotas[[#This Row],[RUN]],T_Voluntarios[],8,FALSE))</f>
        <v>+56956731068</v>
      </c>
      <c r="K89" s="5" t="str">
        <f>IF(ISERROR(VLOOKUP(T_Cuotas[[#This Row],[RUN]],T_Voluntarios[],10,FALSE)),"No Existe",VLOOKUP(T_Cuotas[[#This Row],[RUN]],T_Voluntarios[],10,FALSE))</f>
        <v>Rañileufu</v>
      </c>
      <c r="L89" s="5" t="str">
        <f>IF(ISERROR(VLOOKUP(T_Cuotas[[#This Row],[RUN]],T_Voluntarios[],30,FALSE)),"No Existe",VLOOKUP(T_Cuotas[[#This Row],[RUN]],T_Voluntarios[],30,FALSE))</f>
        <v>NO Vigente</v>
      </c>
      <c r="M89" s="5" t="str">
        <f>IF(ISERROR(VLOOKUP(T_Cuotas[[#This Row],[RUN]],T_Voluntarios[],13,FALSE)),"No Existe",VLOOKUP(T_Cuotas[[#This Row],[RUN]],T_Voluntarios[],13,FALSE))</f>
        <v>Sin Almuerzo</v>
      </c>
    </row>
    <row r="90" spans="1:13" x14ac:dyDescent="0.3">
      <c r="A90" s="2" t="s">
        <v>1780</v>
      </c>
      <c r="B90" t="str">
        <f>IF(ISERROR(VLOOKUP(T_Cuotas[[#This Row],[RUN]],T_Voluntarios[],3,FALSE)),"No Existe",VLOOKUP(T_Cuotas[[#This Row],[RUN]],T_Voluntarios[],3,FALSE))</f>
        <v>Antonia Alejandra Brante Peña</v>
      </c>
      <c r="C90" s="5">
        <f>IF(ISERROR(VLOOKUP(T_Cuotas[[#This Row],[RUN]],Tabla_Pagos[],7,FALSE)),0,VLOOKUP(T_Cuotas[[#This Row],[RUN]],Tabla_Pagos[],7,FALSE))</f>
        <v>20000</v>
      </c>
      <c r="D90" s="5">
        <f>IF(ISERROR(VLOOKUP(T_Cuotas[[#This Row],[RUN]],Tabla_Pagos[],8,FALSE)),0,VLOOKUP(T_Cuotas[[#This Row],[RUN]],Tabla_Pagos[],8,FALSE))</f>
        <v>16500</v>
      </c>
      <c r="E90" s="5">
        <f>IF(ISERROR(VLOOKUP(T_Cuotas[[#This Row],[RUN]],Tabla_Pagos[],9,FALSE)),0,VLOOKUP(T_Cuotas[[#This Row],[RUN]],Tabla_Pagos[],9,FALSE))</f>
        <v>0</v>
      </c>
      <c r="F90" s="5">
        <f>T_Cuotas[[#This Row],[Cuota_1]]+T_Cuotas[[#This Row],[Cuota_2]]+T_Cuotas[[#This Row],[Cuota_3]]</f>
        <v>36500</v>
      </c>
      <c r="G90" s="1">
        <f>COUNTIF(T_Cuotas[RUN],T_Cuotas[[#This Row],[RUN]])</f>
        <v>1</v>
      </c>
      <c r="H90" s="5" t="str">
        <f>IF(ISERROR(VLOOKUP(T_Cuotas[[#This Row],[RUN]],T_Voluntarios[],2,FALSE)),"No Existe",VLOOKUP(T_Cuotas[[#This Row],[RUN]],T_Voluntarios[],2,FALSE))</f>
        <v>aabrantepe@gmail.com</v>
      </c>
      <c r="I90" s="5"/>
      <c r="J90" s="5" t="str">
        <f>IF(ISERROR(VLOOKUP(T_Cuotas[[#This Row],[RUN]],T_Voluntarios[],8,FALSE)),"No Existe",VLOOKUP(T_Cuotas[[#This Row],[RUN]],T_Voluntarios[],8,FALSE))</f>
        <v>+56942943701</v>
      </c>
      <c r="K90" s="5" t="str">
        <f>IF(ISERROR(VLOOKUP(T_Cuotas[[#This Row],[RUN]],T_Voluntarios[],10,FALSE)),"No Existe",VLOOKUP(T_Cuotas[[#This Row],[RUN]],T_Voluntarios[],10,FALSE))</f>
        <v>Rañileufu</v>
      </c>
      <c r="L90" s="5" t="str">
        <f>IF(ISERROR(VLOOKUP(T_Cuotas[[#This Row],[RUN]],T_Voluntarios[],30,FALSE)),"No Existe",VLOOKUP(T_Cuotas[[#This Row],[RUN]],T_Voluntarios[],30,FALSE))</f>
        <v>Vigente</v>
      </c>
      <c r="M90" s="5" t="str">
        <f>IF(ISERROR(VLOOKUP(T_Cuotas[[#This Row],[RUN]],T_Voluntarios[],13,FALSE)),"No Existe",VLOOKUP(T_Cuotas[[#This Row],[RUN]],T_Voluntarios[],13,FALSE))</f>
        <v>Sin Almuerzo</v>
      </c>
    </row>
    <row r="91" spans="1:13" hidden="1" x14ac:dyDescent="0.3">
      <c r="A91" s="2" t="s">
        <v>1788</v>
      </c>
      <c r="B91" t="str">
        <f>IF(ISERROR(VLOOKUP(T_Cuotas[[#This Row],[RUN]],T_Voluntarios[],3,FALSE)),"No Existe",VLOOKUP(T_Cuotas[[#This Row],[RUN]],T_Voluntarios[],3,FALSE))</f>
        <v>Bruno Bastian Herrera Sobarzo</v>
      </c>
      <c r="C91" s="5">
        <f>IF(ISERROR(VLOOKUP(T_Cuotas[[#This Row],[RUN]],Tabla_Pagos[],7,FALSE)),0,VLOOKUP(T_Cuotas[[#This Row],[RUN]],Tabla_Pagos[],7,FALSE))</f>
        <v>0</v>
      </c>
      <c r="D91" s="5">
        <f>IF(ISERROR(VLOOKUP(T_Cuotas[[#This Row],[RUN]],Tabla_Pagos[],8,FALSE)),0,VLOOKUP(T_Cuotas[[#This Row],[RUN]],Tabla_Pagos[],8,FALSE))</f>
        <v>0</v>
      </c>
      <c r="E91" s="5">
        <f>IF(ISERROR(VLOOKUP(T_Cuotas[[#This Row],[RUN]],Tabla_Pagos[],9,FALSE)),0,VLOOKUP(T_Cuotas[[#This Row],[RUN]],Tabla_Pagos[],9,FALSE))</f>
        <v>0</v>
      </c>
      <c r="F91" s="5">
        <f>T_Cuotas[[#This Row],[Cuota_1]]+T_Cuotas[[#This Row],[Cuota_2]]+T_Cuotas[[#This Row],[Cuota_3]]</f>
        <v>0</v>
      </c>
      <c r="G91" s="1">
        <f>COUNTIF(T_Cuotas[RUN],T_Cuotas[[#This Row],[RUN]])</f>
        <v>1</v>
      </c>
      <c r="H91" s="5" t="str">
        <f>IF(ISERROR(VLOOKUP(T_Cuotas[[#This Row],[RUN]],T_Voluntarios[],2,FALSE)),"No Existe",VLOOKUP(T_Cuotas[[#This Row],[RUN]],T_Voluntarios[],2,FALSE))</f>
        <v>brunobastian.herrera@gmail.com</v>
      </c>
      <c r="I91" s="5"/>
      <c r="J91" s="5" t="str">
        <f>IF(ISERROR(VLOOKUP(T_Cuotas[[#This Row],[RUN]],T_Voluntarios[],8,FALSE)),"No Existe",VLOOKUP(T_Cuotas[[#This Row],[RUN]],T_Voluntarios[],8,FALSE))</f>
        <v>+56965835382</v>
      </c>
      <c r="K91" s="5" t="str">
        <f>IF(ISERROR(VLOOKUP(T_Cuotas[[#This Row],[RUN]],T_Voluntarios[],10,FALSE)),"No Existe",VLOOKUP(T_Cuotas[[#This Row],[RUN]],T_Voluntarios[],10,FALSE))</f>
        <v>Alfa Cruz</v>
      </c>
      <c r="L91" s="5" t="str">
        <f>IF(ISERROR(VLOOKUP(T_Cuotas[[#This Row],[RUN]],T_Voluntarios[],30,FALSE)),"No Existe",VLOOKUP(T_Cuotas[[#This Row],[RUN]],T_Voluntarios[],30,FALSE))</f>
        <v>NO Vigente</v>
      </c>
      <c r="M91" s="5" t="str">
        <f>IF(ISERROR(VLOOKUP(T_Cuotas[[#This Row],[RUN]],T_Voluntarios[],13,FALSE)),"No Existe",VLOOKUP(T_Cuotas[[#This Row],[RUN]],T_Voluntarios[],13,FALSE))</f>
        <v>Sin Almuerzo</v>
      </c>
    </row>
    <row r="92" spans="1:13" x14ac:dyDescent="0.3">
      <c r="A92" s="2" t="s">
        <v>1798</v>
      </c>
      <c r="B92" t="str">
        <f>IF(ISERROR(VLOOKUP(T_Cuotas[[#This Row],[RUN]],T_Voluntarios[],3,FALSE)),"No Existe",VLOOKUP(T_Cuotas[[#This Row],[RUN]],T_Voluntarios[],3,FALSE))</f>
        <v>Solange Andrea Ruiz Rivera</v>
      </c>
      <c r="C92" s="5">
        <f>IF(ISERROR(VLOOKUP(T_Cuotas[[#This Row],[RUN]],Tabla_Pagos[],7,FALSE)),0,VLOOKUP(T_Cuotas[[#This Row],[RUN]],Tabla_Pagos[],7,FALSE))</f>
        <v>20000</v>
      </c>
      <c r="D92" s="5">
        <f>IF(ISERROR(VLOOKUP(T_Cuotas[[#This Row],[RUN]],Tabla_Pagos[],8,FALSE)),0,VLOOKUP(T_Cuotas[[#This Row],[RUN]],Tabla_Pagos[],8,FALSE))</f>
        <v>15000</v>
      </c>
      <c r="E92" s="5">
        <f>IF(ISERROR(VLOOKUP(T_Cuotas[[#This Row],[RUN]],Tabla_Pagos[],9,FALSE)),0,VLOOKUP(T_Cuotas[[#This Row],[RUN]],Tabla_Pagos[],9,FALSE))</f>
        <v>15000</v>
      </c>
      <c r="F92" s="5">
        <f>T_Cuotas[[#This Row],[Cuota_1]]+T_Cuotas[[#This Row],[Cuota_2]]+T_Cuotas[[#This Row],[Cuota_3]]</f>
        <v>50000</v>
      </c>
      <c r="G92" s="1">
        <f>COUNTIF(T_Cuotas[RUN],T_Cuotas[[#This Row],[RUN]])</f>
        <v>1</v>
      </c>
      <c r="H92" s="5" t="str">
        <f>IF(ISERROR(VLOOKUP(T_Cuotas[[#This Row],[RUN]],T_Voluntarios[],2,FALSE)),"No Existe",VLOOKUP(T_Cuotas[[#This Row],[RUN]],T_Voluntarios[],2,FALSE))</f>
        <v>rivera583@gmail.com</v>
      </c>
      <c r="I92" s="5"/>
      <c r="J92" s="5" t="str">
        <f>IF(ISERROR(VLOOKUP(T_Cuotas[[#This Row],[RUN]],T_Voluntarios[],8,FALSE)),"No Existe",VLOOKUP(T_Cuotas[[#This Row],[RUN]],T_Voluntarios[],8,FALSE))</f>
        <v>+56952054822</v>
      </c>
      <c r="K92" s="5" t="str">
        <f>IF(ISERROR(VLOOKUP(T_Cuotas[[#This Row],[RUN]],T_Voluntarios[],10,FALSE)),"No Existe",VLOOKUP(T_Cuotas[[#This Row],[RUN]],T_Voluntarios[],10,FALSE))</f>
        <v>Buen Pastor</v>
      </c>
      <c r="L92" s="5" t="str">
        <f>IF(ISERROR(VLOOKUP(T_Cuotas[[#This Row],[RUN]],T_Voluntarios[],30,FALSE)),"No Existe",VLOOKUP(T_Cuotas[[#This Row],[RUN]],T_Voluntarios[],30,FALSE))</f>
        <v>Vigente</v>
      </c>
      <c r="M92" s="5" t="str">
        <f>IF(ISERROR(VLOOKUP(T_Cuotas[[#This Row],[RUN]],T_Voluntarios[],13,FALSE)),"No Existe",VLOOKUP(T_Cuotas[[#This Row],[RUN]],T_Voluntarios[],13,FALSE))</f>
        <v>Alimentación Tradicional</v>
      </c>
    </row>
    <row r="93" spans="1:13" x14ac:dyDescent="0.3">
      <c r="A93" s="2" t="s">
        <v>1807</v>
      </c>
      <c r="B93" t="str">
        <f>IF(ISERROR(VLOOKUP(T_Cuotas[[#This Row],[RUN]],T_Voluntarios[],3,FALSE)),"No Existe",VLOOKUP(T_Cuotas[[#This Row],[RUN]],T_Voluntarios[],3,FALSE))</f>
        <v>Francine Anaís Smith Martínez</v>
      </c>
      <c r="C93" s="5">
        <f>IF(ISERROR(VLOOKUP(T_Cuotas[[#This Row],[RUN]],Tabla_Pagos[],7,FALSE)),0,VLOOKUP(T_Cuotas[[#This Row],[RUN]],Tabla_Pagos[],7,FALSE))</f>
        <v>20000</v>
      </c>
      <c r="D93" s="5">
        <f>IF(ISERROR(VLOOKUP(T_Cuotas[[#This Row],[RUN]],Tabla_Pagos[],8,FALSE)),0,VLOOKUP(T_Cuotas[[#This Row],[RUN]],Tabla_Pagos[],8,FALSE))</f>
        <v>15000</v>
      </c>
      <c r="E93" s="5">
        <f>IF(ISERROR(VLOOKUP(T_Cuotas[[#This Row],[RUN]],Tabla_Pagos[],9,FALSE)),0,VLOOKUP(T_Cuotas[[#This Row],[RUN]],Tabla_Pagos[],9,FALSE))</f>
        <v>15000</v>
      </c>
      <c r="F93" s="5">
        <f>T_Cuotas[[#This Row],[Cuota_1]]+T_Cuotas[[#This Row],[Cuota_2]]+T_Cuotas[[#This Row],[Cuota_3]]</f>
        <v>50000</v>
      </c>
      <c r="G93" s="1">
        <f>COUNTIF(T_Cuotas[RUN],T_Cuotas[[#This Row],[RUN]])</f>
        <v>1</v>
      </c>
      <c r="H93" s="5" t="str">
        <f>IF(ISERROR(VLOOKUP(T_Cuotas[[#This Row],[RUN]],T_Voluntarios[],2,FALSE)),"No Existe",VLOOKUP(T_Cuotas[[#This Row],[RUN]],T_Voluntarios[],2,FALSE))</f>
        <v>francine.smith.martinez@gmail.com</v>
      </c>
      <c r="I93" s="5"/>
      <c r="J93" s="5" t="str">
        <f>IF(ISERROR(VLOOKUP(T_Cuotas[[#This Row],[RUN]],T_Voluntarios[],8,FALSE)),"No Existe",VLOOKUP(T_Cuotas[[#This Row],[RUN]],T_Voluntarios[],8,FALSE))</f>
        <v>+56940174341</v>
      </c>
      <c r="K93" s="5" t="str">
        <f>IF(ISERROR(VLOOKUP(T_Cuotas[[#This Row],[RUN]],T_Voluntarios[],10,FALSE)),"No Existe",VLOOKUP(T_Cuotas[[#This Row],[RUN]],T_Voluntarios[],10,FALSE))</f>
        <v>San Ignacio de Loyola</v>
      </c>
      <c r="L93" s="5" t="str">
        <f>IF(ISERROR(VLOOKUP(T_Cuotas[[#This Row],[RUN]],T_Voluntarios[],30,FALSE)),"No Existe",VLOOKUP(T_Cuotas[[#This Row],[RUN]],T_Voluntarios[],30,FALSE))</f>
        <v>Vigente</v>
      </c>
      <c r="M93" s="5" t="str">
        <f>IF(ISERROR(VLOOKUP(T_Cuotas[[#This Row],[RUN]],T_Voluntarios[],13,FALSE)),"No Existe",VLOOKUP(T_Cuotas[[#This Row],[RUN]],T_Voluntarios[],13,FALSE))</f>
        <v>Alimentación Vegetariana</v>
      </c>
    </row>
    <row r="94" spans="1:13" x14ac:dyDescent="0.3">
      <c r="A94" s="2" t="s">
        <v>1891</v>
      </c>
      <c r="B94" t="str">
        <f>IF(ISERROR(VLOOKUP(T_Cuotas[[#This Row],[RUN]],T_Voluntarios[],3,FALSE)),"No Existe",VLOOKUP(T_Cuotas[[#This Row],[RUN]],T_Voluntarios[],3,FALSE))</f>
        <v>Benjamin Alejandro Villa Solar</v>
      </c>
      <c r="C94" s="5">
        <f>IF(ISERROR(VLOOKUP(T_Cuotas[[#This Row],[RUN]],Tabla_Pagos[],7,FALSE)),0,VLOOKUP(T_Cuotas[[#This Row],[RUN]],Tabla_Pagos[],7,FALSE))</f>
        <v>20000</v>
      </c>
      <c r="D94" s="5">
        <f>IF(ISERROR(VLOOKUP(T_Cuotas[[#This Row],[RUN]],Tabla_Pagos[],8,FALSE)),0,VLOOKUP(T_Cuotas[[#This Row],[RUN]],Tabla_Pagos[],8,FALSE))</f>
        <v>15000</v>
      </c>
      <c r="E94" s="5">
        <f>IF(ISERROR(VLOOKUP(T_Cuotas[[#This Row],[RUN]],Tabla_Pagos[],9,FALSE)),0,VLOOKUP(T_Cuotas[[#This Row],[RUN]],Tabla_Pagos[],9,FALSE))</f>
        <v>15000</v>
      </c>
      <c r="F94" s="5">
        <f>T_Cuotas[[#This Row],[Cuota_1]]+T_Cuotas[[#This Row],[Cuota_2]]+T_Cuotas[[#This Row],[Cuota_3]]</f>
        <v>50000</v>
      </c>
      <c r="G94" s="1">
        <f>COUNTIF(T_Cuotas[RUN],T_Cuotas[[#This Row],[RUN]])</f>
        <v>1</v>
      </c>
      <c r="H94" s="5" t="str">
        <f>IF(ISERROR(VLOOKUP(T_Cuotas[[#This Row],[RUN]],T_Voluntarios[],2,FALSE)),"No Existe",VLOOKUP(T_Cuotas[[#This Row],[RUN]],T_Voluntarios[],2,FALSE))</f>
        <v>bvillasolar@gmail.com</v>
      </c>
      <c r="I94" s="5"/>
      <c r="J94" s="5" t="str">
        <f>IF(ISERROR(VLOOKUP(T_Cuotas[[#This Row],[RUN]],T_Voluntarios[],8,FALSE)),"No Existe",VLOOKUP(T_Cuotas[[#This Row],[RUN]],T_Voluntarios[],8,FALSE))</f>
        <v>+56957767911</v>
      </c>
      <c r="K94" s="5" t="str">
        <f>IF(ISERROR(VLOOKUP(T_Cuotas[[#This Row],[RUN]],T_Voluntarios[],10,FALSE)),"No Existe",VLOOKUP(T_Cuotas[[#This Row],[RUN]],T_Voluntarios[],10,FALSE))</f>
        <v>Santa Cecilia</v>
      </c>
      <c r="L94" s="5" t="str">
        <f>IF(ISERROR(VLOOKUP(T_Cuotas[[#This Row],[RUN]],T_Voluntarios[],30,FALSE)),"No Existe",VLOOKUP(T_Cuotas[[#This Row],[RUN]],T_Voluntarios[],30,FALSE))</f>
        <v>Vigente</v>
      </c>
      <c r="M94" s="5" t="str">
        <f>IF(ISERROR(VLOOKUP(T_Cuotas[[#This Row],[RUN]],T_Voluntarios[],13,FALSE)),"No Existe",VLOOKUP(T_Cuotas[[#This Row],[RUN]],T_Voluntarios[],13,FALSE))</f>
        <v>Alimentación Tradicional</v>
      </c>
    </row>
    <row r="95" spans="1:13" hidden="1" x14ac:dyDescent="0.3">
      <c r="A95" s="2" t="s">
        <v>1963</v>
      </c>
      <c r="B95" t="str">
        <f>IF(ISERROR(VLOOKUP(T_Cuotas[[#This Row],[RUN]],T_Voluntarios[],3,FALSE)),"No Existe",VLOOKUP(T_Cuotas[[#This Row],[RUN]],T_Voluntarios[],3,FALSE))</f>
        <v>Romina Andrea Daza Espinoza</v>
      </c>
      <c r="C95" s="5">
        <f>IF(ISERROR(VLOOKUP(T_Cuotas[[#This Row],[RUN]],Tabla_Pagos[],7,FALSE)),0,VLOOKUP(T_Cuotas[[#This Row],[RUN]],Tabla_Pagos[],7,FALSE))</f>
        <v>0</v>
      </c>
      <c r="D95" s="5">
        <f>IF(ISERROR(VLOOKUP(T_Cuotas[[#This Row],[RUN]],Tabla_Pagos[],8,FALSE)),0,VLOOKUP(T_Cuotas[[#This Row],[RUN]],Tabla_Pagos[],8,FALSE))</f>
        <v>0</v>
      </c>
      <c r="E95" s="5">
        <f>IF(ISERROR(VLOOKUP(T_Cuotas[[#This Row],[RUN]],Tabla_Pagos[],9,FALSE)),0,VLOOKUP(T_Cuotas[[#This Row],[RUN]],Tabla_Pagos[],9,FALSE))</f>
        <v>0</v>
      </c>
      <c r="F95" s="5">
        <f>T_Cuotas[[#This Row],[Cuota_1]]+T_Cuotas[[#This Row],[Cuota_2]]+T_Cuotas[[#This Row],[Cuota_3]]</f>
        <v>0</v>
      </c>
      <c r="G95" s="1">
        <f>COUNTIF(T_Cuotas[RUN],T_Cuotas[[#This Row],[RUN]])</f>
        <v>1</v>
      </c>
      <c r="H95" s="5" t="str">
        <f>IF(ISERROR(VLOOKUP(T_Cuotas[[#This Row],[RUN]],T_Voluntarios[],2,FALSE)),"No Existe",VLOOKUP(T_Cuotas[[#This Row],[RUN]],T_Voluntarios[],2,FALSE))</f>
        <v>rominaandrea.de@gmail.com</v>
      </c>
      <c r="I95" s="5"/>
      <c r="J95" s="5" t="str">
        <f>IF(ISERROR(VLOOKUP(T_Cuotas[[#This Row],[RUN]],T_Voluntarios[],8,FALSE)),"No Existe",VLOOKUP(T_Cuotas[[#This Row],[RUN]],T_Voluntarios[],8,FALSE))</f>
        <v>+56990602354</v>
      </c>
      <c r="K95" s="5" t="str">
        <f>IF(ISERROR(VLOOKUP(T_Cuotas[[#This Row],[RUN]],T_Voluntarios[],10,FALSE)),"No Existe",VLOOKUP(T_Cuotas[[#This Row],[RUN]],T_Voluntarios[],10,FALSE))</f>
        <v>Helen Keller</v>
      </c>
      <c r="L95" s="5" t="str">
        <f>IF(ISERROR(VLOOKUP(T_Cuotas[[#This Row],[RUN]],T_Voluntarios[],30,FALSE)),"No Existe",VLOOKUP(T_Cuotas[[#This Row],[RUN]],T_Voluntarios[],30,FALSE))</f>
        <v>NO Vigente</v>
      </c>
      <c r="M95" s="5" t="str">
        <f>IF(ISERROR(VLOOKUP(T_Cuotas[[#This Row],[RUN]],T_Voluntarios[],13,FALSE)),"No Existe",VLOOKUP(T_Cuotas[[#This Row],[RUN]],T_Voluntarios[],13,FALSE))</f>
        <v>Alimentación Vegetariana</v>
      </c>
    </row>
    <row r="96" spans="1:13" x14ac:dyDescent="0.3">
      <c r="A96" s="2" t="s">
        <v>1900</v>
      </c>
      <c r="B96" t="str">
        <f>IF(ISERROR(VLOOKUP(T_Cuotas[[#This Row],[RUN]],T_Voluntarios[],3,FALSE)),"No Existe",VLOOKUP(T_Cuotas[[#This Row],[RUN]],T_Voluntarios[],3,FALSE))</f>
        <v>Alejandra Andrea Luna Gallardo</v>
      </c>
      <c r="C96" s="5">
        <f>IF(ISERROR(VLOOKUP(T_Cuotas[[#This Row],[RUN]],Tabla_Pagos[],7,FALSE)),0,VLOOKUP(T_Cuotas[[#This Row],[RUN]],Tabla_Pagos[],7,FALSE))</f>
        <v>20000</v>
      </c>
      <c r="D96" s="5">
        <f>IF(ISERROR(VLOOKUP(T_Cuotas[[#This Row],[RUN]],Tabla_Pagos[],8,FALSE)),0,VLOOKUP(T_Cuotas[[#This Row],[RUN]],Tabla_Pagos[],8,FALSE))</f>
        <v>15000</v>
      </c>
      <c r="E96" s="5">
        <f>IF(ISERROR(VLOOKUP(T_Cuotas[[#This Row],[RUN]],Tabla_Pagos[],9,FALSE)),0,VLOOKUP(T_Cuotas[[#This Row],[RUN]],Tabla_Pagos[],9,FALSE))</f>
        <v>15000</v>
      </c>
      <c r="F96" s="5">
        <f>T_Cuotas[[#This Row],[Cuota_1]]+T_Cuotas[[#This Row],[Cuota_2]]+T_Cuotas[[#This Row],[Cuota_3]]</f>
        <v>50000</v>
      </c>
      <c r="G96" s="1">
        <f>COUNTIF(T_Cuotas[RUN],T_Cuotas[[#This Row],[RUN]])</f>
        <v>1</v>
      </c>
      <c r="H96" s="5" t="str">
        <f>IF(ISERROR(VLOOKUP(T_Cuotas[[#This Row],[RUN]],T_Voluntarios[],2,FALSE)),"No Existe",VLOOKUP(T_Cuotas[[#This Row],[RUN]],T_Voluntarios[],2,FALSE))</f>
        <v>alejandraaluna@gmail.com</v>
      </c>
      <c r="I96" s="5"/>
      <c r="J96" s="5" t="str">
        <f>IF(ISERROR(VLOOKUP(T_Cuotas[[#This Row],[RUN]],T_Voluntarios[],8,FALSE)),"No Existe",VLOOKUP(T_Cuotas[[#This Row],[RUN]],T_Voluntarios[],8,FALSE))</f>
        <v>+56979775151</v>
      </c>
      <c r="K96" s="5" t="str">
        <f>IF(ISERROR(VLOOKUP(T_Cuotas[[#This Row],[RUN]],T_Voluntarios[],10,FALSE)),"No Existe",VLOOKUP(T_Cuotas[[#This Row],[RUN]],T_Voluntarios[],10,FALSE))</f>
        <v>Helen Keller</v>
      </c>
      <c r="L96" s="5" t="str">
        <f>IF(ISERROR(VLOOKUP(T_Cuotas[[#This Row],[RUN]],T_Voluntarios[],30,FALSE)),"No Existe",VLOOKUP(T_Cuotas[[#This Row],[RUN]],T_Voluntarios[],30,FALSE))</f>
        <v>Vigente</v>
      </c>
      <c r="M96" s="5" t="str">
        <f>IF(ISERROR(VLOOKUP(T_Cuotas[[#This Row],[RUN]],T_Voluntarios[],13,FALSE)),"No Existe",VLOOKUP(T_Cuotas[[#This Row],[RUN]],T_Voluntarios[],13,FALSE))</f>
        <v>Alimentación Tradicional</v>
      </c>
    </row>
    <row r="97" spans="1:13" x14ac:dyDescent="0.3">
      <c r="A97" s="2" t="s">
        <v>1908</v>
      </c>
      <c r="B97" t="str">
        <f>IF(ISERROR(VLOOKUP(T_Cuotas[[#This Row],[RUN]],T_Voluntarios[],3,FALSE)),"No Existe",VLOOKUP(T_Cuotas[[#This Row],[RUN]],T_Voluntarios[],3,FALSE))</f>
        <v>Camila Alejandra Roca Carvajal</v>
      </c>
      <c r="C97" s="5">
        <f>IF(ISERROR(VLOOKUP(T_Cuotas[[#This Row],[RUN]],Tabla_Pagos[],7,FALSE)),0,VLOOKUP(T_Cuotas[[#This Row],[RUN]],Tabla_Pagos[],7,FALSE))</f>
        <v>20000</v>
      </c>
      <c r="D97" s="5">
        <f>IF(ISERROR(VLOOKUP(T_Cuotas[[#This Row],[RUN]],Tabla_Pagos[],8,FALSE)),0,VLOOKUP(T_Cuotas[[#This Row],[RUN]],Tabla_Pagos[],8,FALSE))</f>
        <v>15000</v>
      </c>
      <c r="E97" s="5">
        <f>IF(ISERROR(VLOOKUP(T_Cuotas[[#This Row],[RUN]],Tabla_Pagos[],9,FALSE)),0,VLOOKUP(T_Cuotas[[#This Row],[RUN]],Tabla_Pagos[],9,FALSE))</f>
        <v>15000</v>
      </c>
      <c r="F97" s="5">
        <f>T_Cuotas[[#This Row],[Cuota_1]]+T_Cuotas[[#This Row],[Cuota_2]]+T_Cuotas[[#This Row],[Cuota_3]]</f>
        <v>50000</v>
      </c>
      <c r="G97" s="1">
        <f>COUNTIF(T_Cuotas[RUN],T_Cuotas[[#This Row],[RUN]])</f>
        <v>1</v>
      </c>
      <c r="H97" s="5" t="str">
        <f>IF(ISERROR(VLOOKUP(T_Cuotas[[#This Row],[RUN]],T_Voluntarios[],2,FALSE)),"No Existe",VLOOKUP(T_Cuotas[[#This Row],[RUN]],T_Voluntarios[],2,FALSE))</f>
        <v>rocamila98@gmail.com</v>
      </c>
      <c r="I97" s="5"/>
      <c r="J97" s="5" t="str">
        <f>IF(ISERROR(VLOOKUP(T_Cuotas[[#This Row],[RUN]],T_Voluntarios[],8,FALSE)),"No Existe",VLOOKUP(T_Cuotas[[#This Row],[RUN]],T_Voluntarios[],8,FALSE))</f>
        <v>+56958573099</v>
      </c>
      <c r="K97" s="5" t="str">
        <f>IF(ISERROR(VLOOKUP(T_Cuotas[[#This Row],[RUN]],T_Voluntarios[],10,FALSE)),"No Existe",VLOOKUP(T_Cuotas[[#This Row],[RUN]],T_Voluntarios[],10,FALSE))</f>
        <v>Pehuen</v>
      </c>
      <c r="L97" s="5" t="str">
        <f>IF(ISERROR(VLOOKUP(T_Cuotas[[#This Row],[RUN]],T_Voluntarios[],30,FALSE)),"No Existe",VLOOKUP(T_Cuotas[[#This Row],[RUN]],T_Voluntarios[],30,FALSE))</f>
        <v>Vigente</v>
      </c>
      <c r="M97" s="5" t="str">
        <f>IF(ISERROR(VLOOKUP(T_Cuotas[[#This Row],[RUN]],T_Voluntarios[],13,FALSE)),"No Existe",VLOOKUP(T_Cuotas[[#This Row],[RUN]],T_Voluntarios[],13,FALSE))</f>
        <v>Alimentación Tradicional</v>
      </c>
    </row>
    <row r="98" spans="1:13" x14ac:dyDescent="0.3">
      <c r="A98" s="2" t="s">
        <v>1923</v>
      </c>
      <c r="B98" t="str">
        <f>IF(ISERROR(VLOOKUP(T_Cuotas[[#This Row],[RUN]],T_Voluntarios[],3,FALSE)),"No Existe",VLOOKUP(T_Cuotas[[#This Row],[RUN]],T_Voluntarios[],3,FALSE))</f>
        <v>Macarena Andrea Rodriguez Vidal</v>
      </c>
      <c r="C98" s="5">
        <f>IF(ISERROR(VLOOKUP(T_Cuotas[[#This Row],[RUN]],Tabla_Pagos[],7,FALSE)),0,VLOOKUP(T_Cuotas[[#This Row],[RUN]],Tabla_Pagos[],7,FALSE))</f>
        <v>20000</v>
      </c>
      <c r="D98" s="5">
        <f>IF(ISERROR(VLOOKUP(T_Cuotas[[#This Row],[RUN]],Tabla_Pagos[],8,FALSE)),0,VLOOKUP(T_Cuotas[[#This Row],[RUN]],Tabla_Pagos[],8,FALSE))</f>
        <v>16500</v>
      </c>
      <c r="E98" s="5">
        <f>IF(ISERROR(VLOOKUP(T_Cuotas[[#This Row],[RUN]],Tabla_Pagos[],9,FALSE)),0,VLOOKUP(T_Cuotas[[#This Row],[RUN]],Tabla_Pagos[],9,FALSE))</f>
        <v>0</v>
      </c>
      <c r="F98" s="5">
        <f>T_Cuotas[[#This Row],[Cuota_1]]+T_Cuotas[[#This Row],[Cuota_2]]+T_Cuotas[[#This Row],[Cuota_3]]</f>
        <v>36500</v>
      </c>
      <c r="G98" s="1">
        <f>COUNTIF(T_Cuotas[RUN],T_Cuotas[[#This Row],[RUN]])</f>
        <v>1</v>
      </c>
      <c r="H98" s="5" t="str">
        <f>IF(ISERROR(VLOOKUP(T_Cuotas[[#This Row],[RUN]],T_Voluntarios[],2,FALSE)),"No Existe",VLOOKUP(T_Cuotas[[#This Row],[RUN]],T_Voluntarios[],2,FALSE))</f>
        <v>macarena.manutara@gmail.com</v>
      </c>
      <c r="I98" s="5"/>
      <c r="J98" s="5" t="str">
        <f>IF(ISERROR(VLOOKUP(T_Cuotas[[#This Row],[RUN]],T_Voluntarios[],8,FALSE)),"No Existe",VLOOKUP(T_Cuotas[[#This Row],[RUN]],T_Voluntarios[],8,FALSE))</f>
        <v>+56977422201</v>
      </c>
      <c r="K98" s="5" t="str">
        <f>IF(ISERROR(VLOOKUP(T_Cuotas[[#This Row],[RUN]],T_Voluntarios[],10,FALSE)),"No Existe",VLOOKUP(T_Cuotas[[#This Row],[RUN]],T_Voluntarios[],10,FALSE))</f>
        <v>Manutara</v>
      </c>
      <c r="L98" s="5" t="str">
        <f>IF(ISERROR(VLOOKUP(T_Cuotas[[#This Row],[RUN]],T_Voluntarios[],30,FALSE)),"No Existe",VLOOKUP(T_Cuotas[[#This Row],[RUN]],T_Voluntarios[],30,FALSE))</f>
        <v>Vigente</v>
      </c>
      <c r="M98" s="5" t="str">
        <f>IF(ISERROR(VLOOKUP(T_Cuotas[[#This Row],[RUN]],T_Voluntarios[],13,FALSE)),"No Existe",VLOOKUP(T_Cuotas[[#This Row],[RUN]],T_Voluntarios[],13,FALSE))</f>
        <v>Sin Almuerzo</v>
      </c>
    </row>
    <row r="99" spans="1:13" x14ac:dyDescent="0.3">
      <c r="A99" s="2" t="s">
        <v>1942</v>
      </c>
      <c r="B99" t="str">
        <f>IF(ISERROR(VLOOKUP(T_Cuotas[[#This Row],[RUN]],T_Voluntarios[],3,FALSE)),"No Existe",VLOOKUP(T_Cuotas[[#This Row],[RUN]],T_Voluntarios[],3,FALSE))</f>
        <v>Scarlet Denisse Oyarzun Diaz</v>
      </c>
      <c r="C99" s="5">
        <f>IF(ISERROR(VLOOKUP(T_Cuotas[[#This Row],[RUN]],Tabla_Pagos[],7,FALSE)),0,VLOOKUP(T_Cuotas[[#This Row],[RUN]],Tabla_Pagos[],7,FALSE))</f>
        <v>20000</v>
      </c>
      <c r="D99" s="5">
        <f>IF(ISERROR(VLOOKUP(T_Cuotas[[#This Row],[RUN]],Tabla_Pagos[],8,FALSE)),0,VLOOKUP(T_Cuotas[[#This Row],[RUN]],Tabla_Pagos[],8,FALSE))</f>
        <v>16500</v>
      </c>
      <c r="E99" s="5">
        <f>IF(ISERROR(VLOOKUP(T_Cuotas[[#This Row],[RUN]],Tabla_Pagos[],9,FALSE)),0,VLOOKUP(T_Cuotas[[#This Row],[RUN]],Tabla_Pagos[],9,FALSE))</f>
        <v>0</v>
      </c>
      <c r="F99" s="5">
        <f>T_Cuotas[[#This Row],[Cuota_1]]+T_Cuotas[[#This Row],[Cuota_2]]+T_Cuotas[[#This Row],[Cuota_3]]</f>
        <v>36500</v>
      </c>
      <c r="G99" s="1">
        <f>COUNTIF(T_Cuotas[RUN],T_Cuotas[[#This Row],[RUN]])</f>
        <v>1</v>
      </c>
      <c r="H99" s="5" t="str">
        <f>IF(ISERROR(VLOOKUP(T_Cuotas[[#This Row],[RUN]],T_Voluntarios[],2,FALSE)),"No Existe",VLOOKUP(T_Cuotas[[#This Row],[RUN]],T_Voluntarios[],2,FALSE))</f>
        <v>scarletoyarzundiaz@gmail.com</v>
      </c>
      <c r="I99" s="5"/>
      <c r="J99" s="5" t="str">
        <f>IF(ISERROR(VLOOKUP(T_Cuotas[[#This Row],[RUN]],T_Voluntarios[],8,FALSE)),"No Existe",VLOOKUP(T_Cuotas[[#This Row],[RUN]],T_Voluntarios[],8,FALSE))</f>
        <v>+56978458127</v>
      </c>
      <c r="K99" s="5" t="str">
        <f>IF(ISERROR(VLOOKUP(T_Cuotas[[#This Row],[RUN]],T_Voluntarios[],10,FALSE)),"No Existe",VLOOKUP(T_Cuotas[[#This Row],[RUN]],T_Voluntarios[],10,FALSE))</f>
        <v>Manutara</v>
      </c>
      <c r="L99" s="5" t="str">
        <f>IF(ISERROR(VLOOKUP(T_Cuotas[[#This Row],[RUN]],T_Voluntarios[],30,FALSE)),"No Existe",VLOOKUP(T_Cuotas[[#This Row],[RUN]],T_Voluntarios[],30,FALSE))</f>
        <v>Vigente</v>
      </c>
      <c r="M99" s="5" t="str">
        <f>IF(ISERROR(VLOOKUP(T_Cuotas[[#This Row],[RUN]],T_Voluntarios[],13,FALSE)),"No Existe",VLOOKUP(T_Cuotas[[#This Row],[RUN]],T_Voluntarios[],13,FALSE))</f>
        <v>Sin Almuerzo</v>
      </c>
    </row>
    <row r="100" spans="1:13" x14ac:dyDescent="0.3">
      <c r="A100" s="2" t="s">
        <v>1953</v>
      </c>
      <c r="B100" t="str">
        <f>IF(ISERROR(VLOOKUP(T_Cuotas[[#This Row],[RUN]],T_Voluntarios[],3,FALSE)),"No Existe",VLOOKUP(T_Cuotas[[#This Row],[RUN]],T_Voluntarios[],3,FALSE))</f>
        <v>Monserrat Milena Barra Hernández</v>
      </c>
      <c r="C100" s="5">
        <f>IF(ISERROR(VLOOKUP(T_Cuotas[[#This Row],[RUN]],Tabla_Pagos[],7,FALSE)),0,VLOOKUP(T_Cuotas[[#This Row],[RUN]],Tabla_Pagos[],7,FALSE))</f>
        <v>20000</v>
      </c>
      <c r="D100" s="5">
        <f>IF(ISERROR(VLOOKUP(T_Cuotas[[#This Row],[RUN]],Tabla_Pagos[],8,FALSE)),0,VLOOKUP(T_Cuotas[[#This Row],[RUN]],Tabla_Pagos[],8,FALSE))</f>
        <v>15000</v>
      </c>
      <c r="E100" s="5">
        <f>IF(ISERROR(VLOOKUP(T_Cuotas[[#This Row],[RUN]],Tabla_Pagos[],9,FALSE)),0,VLOOKUP(T_Cuotas[[#This Row],[RUN]],Tabla_Pagos[],9,FALSE))</f>
        <v>15000</v>
      </c>
      <c r="F100" s="5">
        <f>T_Cuotas[[#This Row],[Cuota_1]]+T_Cuotas[[#This Row],[Cuota_2]]+T_Cuotas[[#This Row],[Cuota_3]]</f>
        <v>50000</v>
      </c>
      <c r="G100" s="1">
        <f>COUNTIF(T_Cuotas[RUN],T_Cuotas[[#This Row],[RUN]])</f>
        <v>1</v>
      </c>
      <c r="H100" s="5" t="str">
        <f>IF(ISERROR(VLOOKUP(T_Cuotas[[#This Row],[RUN]],T_Voluntarios[],2,FALSE)),"No Existe",VLOOKUP(T_Cuotas[[#This Row],[RUN]],T_Voluntarios[],2,FALSE))</f>
        <v>barramonserrat101@gmail.com</v>
      </c>
      <c r="I100" s="5"/>
      <c r="J100" s="5" t="str">
        <f>IF(ISERROR(VLOOKUP(T_Cuotas[[#This Row],[RUN]],T_Voluntarios[],8,FALSE)),"No Existe",VLOOKUP(T_Cuotas[[#This Row],[RUN]],T_Voluntarios[],8,FALSE))</f>
        <v>+56956699258</v>
      </c>
      <c r="K100" s="5" t="str">
        <f>IF(ISERROR(VLOOKUP(T_Cuotas[[#This Row],[RUN]],T_Voluntarios[],10,FALSE)),"No Existe",VLOOKUP(T_Cuotas[[#This Row],[RUN]],T_Voluntarios[],10,FALSE))</f>
        <v>San Bartolomé</v>
      </c>
      <c r="L100" s="5" t="str">
        <f>IF(ISERROR(VLOOKUP(T_Cuotas[[#This Row],[RUN]],T_Voluntarios[],30,FALSE)),"No Existe",VLOOKUP(T_Cuotas[[#This Row],[RUN]],T_Voluntarios[],30,FALSE))</f>
        <v>Vigente</v>
      </c>
      <c r="M100" s="5" t="str">
        <f>IF(ISERROR(VLOOKUP(T_Cuotas[[#This Row],[RUN]],T_Voluntarios[],13,FALSE)),"No Existe",VLOOKUP(T_Cuotas[[#This Row],[RUN]],T_Voluntarios[],13,FALSE))</f>
        <v>Alimentación Vegetariana</v>
      </c>
    </row>
    <row r="101" spans="1:13" hidden="1" x14ac:dyDescent="0.3">
      <c r="A101" s="2" t="s">
        <v>2018</v>
      </c>
      <c r="B101" t="str">
        <f>IF(ISERROR(VLOOKUP(T_Cuotas[[#This Row],[RUN]],T_Voluntarios[],3,FALSE)),"No Existe",VLOOKUP(T_Cuotas[[#This Row],[RUN]],T_Voluntarios[],3,FALSE))</f>
        <v>Erick Alexis Rivas Macaya</v>
      </c>
      <c r="C101" s="5">
        <f>IF(ISERROR(VLOOKUP(T_Cuotas[[#This Row],[RUN]],Tabla_Pagos[],7,FALSE)),0,VLOOKUP(T_Cuotas[[#This Row],[RUN]],Tabla_Pagos[],7,FALSE))</f>
        <v>6000</v>
      </c>
      <c r="D101" s="5">
        <f>IF(ISERROR(VLOOKUP(T_Cuotas[[#This Row],[RUN]],Tabla_Pagos[],8,FALSE)),0,VLOOKUP(T_Cuotas[[#This Row],[RUN]],Tabla_Pagos[],8,FALSE))</f>
        <v>0</v>
      </c>
      <c r="E101" s="5">
        <f>IF(ISERROR(VLOOKUP(T_Cuotas[[#This Row],[RUN]],Tabla_Pagos[],9,FALSE)),0,VLOOKUP(T_Cuotas[[#This Row],[RUN]],Tabla_Pagos[],9,FALSE))</f>
        <v>0</v>
      </c>
      <c r="F101" s="5">
        <f>T_Cuotas[[#This Row],[Cuota_1]]+T_Cuotas[[#This Row],[Cuota_2]]+T_Cuotas[[#This Row],[Cuota_3]]</f>
        <v>6000</v>
      </c>
      <c r="G101" s="1">
        <f>COUNTIF(T_Cuotas[RUN],T_Cuotas[[#This Row],[RUN]])</f>
        <v>1</v>
      </c>
      <c r="H101" s="5" t="str">
        <f>IF(ISERROR(VLOOKUP(T_Cuotas[[#This Row],[RUN]],T_Voluntarios[],2,FALSE)),"No Existe",VLOOKUP(T_Cuotas[[#This Row],[RUN]],T_Voluntarios[],2,FALSE))</f>
        <v>erickrivas.macaya@gmail.com</v>
      </c>
      <c r="I101" s="5"/>
      <c r="J101" s="5" t="str">
        <f>IF(ISERROR(VLOOKUP(T_Cuotas[[#This Row],[RUN]],T_Voluntarios[],8,FALSE)),"No Existe",VLOOKUP(T_Cuotas[[#This Row],[RUN]],T_Voluntarios[],8,FALSE))</f>
        <v>+56997735872</v>
      </c>
      <c r="K101" s="5" t="str">
        <f>IF(ISERROR(VLOOKUP(T_Cuotas[[#This Row],[RUN]],T_Voluntarios[],10,FALSE)),"No Existe",VLOOKUP(T_Cuotas[[#This Row],[RUN]],T_Voluntarios[],10,FALSE))</f>
        <v>Manutara</v>
      </c>
      <c r="L101" s="5" t="str">
        <f>IF(ISERROR(VLOOKUP(T_Cuotas[[#This Row],[RUN]],T_Voluntarios[],30,FALSE)),"No Existe",VLOOKUP(T_Cuotas[[#This Row],[RUN]],T_Voluntarios[],30,FALSE))</f>
        <v>NO Vigente</v>
      </c>
      <c r="M101" s="5" t="str">
        <f>IF(ISERROR(VLOOKUP(T_Cuotas[[#This Row],[RUN]],T_Voluntarios[],13,FALSE)),"No Existe",VLOOKUP(T_Cuotas[[#This Row],[RUN]],T_Voluntarios[],13,FALSE))</f>
        <v>Sin Almuerzo</v>
      </c>
    </row>
    <row r="102" spans="1:13" x14ac:dyDescent="0.3">
      <c r="A102" s="2" t="s">
        <v>2114</v>
      </c>
      <c r="B102" t="str">
        <f>IF(ISERROR(VLOOKUP(T_Cuotas[[#This Row],[RUN]],T_Voluntarios[],3,FALSE)),"No Existe",VLOOKUP(T_Cuotas[[#This Row],[RUN]],T_Voluntarios[],3,FALSE))</f>
        <v>Carolina Andrea Vega Contreras</v>
      </c>
      <c r="C102" s="5">
        <f>IF(ISERROR(VLOOKUP(T_Cuotas[[#This Row],[RUN]],Tabla_Pagos[],7,FALSE)),0,VLOOKUP(T_Cuotas[[#This Row],[RUN]],Tabla_Pagos[],7,FALSE))</f>
        <v>20000</v>
      </c>
      <c r="D102" s="5">
        <f>IF(ISERROR(VLOOKUP(T_Cuotas[[#This Row],[RUN]],Tabla_Pagos[],8,FALSE)),0,VLOOKUP(T_Cuotas[[#This Row],[RUN]],Tabla_Pagos[],8,FALSE))</f>
        <v>15000</v>
      </c>
      <c r="E102" s="5">
        <f>IF(ISERROR(VLOOKUP(T_Cuotas[[#This Row],[RUN]],Tabla_Pagos[],9,FALSE)),0,VLOOKUP(T_Cuotas[[#This Row],[RUN]],Tabla_Pagos[],9,FALSE))</f>
        <v>15000</v>
      </c>
      <c r="F102" s="5">
        <f>T_Cuotas[[#This Row],[Cuota_1]]+T_Cuotas[[#This Row],[Cuota_2]]+T_Cuotas[[#This Row],[Cuota_3]]</f>
        <v>50000</v>
      </c>
      <c r="G102" s="1">
        <f>COUNTIF(T_Cuotas[RUN],T_Cuotas[[#This Row],[RUN]])</f>
        <v>1</v>
      </c>
      <c r="H102" s="5" t="str">
        <f>IF(ISERROR(VLOOKUP(T_Cuotas[[#This Row],[RUN]],T_Voluntarios[],2,FALSE)),"No Existe",VLOOKUP(T_Cuotas[[#This Row],[RUN]],T_Voluntarios[],2,FALSE))</f>
        <v>caritoandreabarcelona@gmail.com</v>
      </c>
      <c r="I102" s="5"/>
      <c r="J102" s="5" t="str">
        <f>IF(ISERROR(VLOOKUP(T_Cuotas[[#This Row],[RUN]],T_Voluntarios[],8,FALSE)),"No Existe",VLOOKUP(T_Cuotas[[#This Row],[RUN]],T_Voluntarios[],8,FALSE))</f>
        <v>+56956030526</v>
      </c>
      <c r="K102" s="5" t="str">
        <f>IF(ISERROR(VLOOKUP(T_Cuotas[[#This Row],[RUN]],T_Voluntarios[],10,FALSE)),"No Existe",VLOOKUP(T_Cuotas[[#This Row],[RUN]],T_Voluntarios[],10,FALSE))</f>
        <v>San Bartolomé</v>
      </c>
      <c r="L102" s="5" t="str">
        <f>IF(ISERROR(VLOOKUP(T_Cuotas[[#This Row],[RUN]],T_Voluntarios[],30,FALSE)),"No Existe",VLOOKUP(T_Cuotas[[#This Row],[RUN]],T_Voluntarios[],30,FALSE))</f>
        <v>Vigente</v>
      </c>
      <c r="M102" s="5" t="str">
        <f>IF(ISERROR(VLOOKUP(T_Cuotas[[#This Row],[RUN]],T_Voluntarios[],13,FALSE)),"No Existe",VLOOKUP(T_Cuotas[[#This Row],[RUN]],T_Voluntarios[],13,FALSE))</f>
        <v>Alimentación Tradicional</v>
      </c>
    </row>
    <row r="103" spans="1:13" x14ac:dyDescent="0.3">
      <c r="A103" s="2" t="s">
        <v>2054</v>
      </c>
      <c r="B103" t="str">
        <f>IF(ISERROR(VLOOKUP(T_Cuotas[[#This Row],[RUN]],T_Voluntarios[],3,FALSE)),"No Existe",VLOOKUP(T_Cuotas[[#This Row],[RUN]],T_Voluntarios[],3,FALSE))</f>
        <v>Andrés Nicolás González Michellod</v>
      </c>
      <c r="C103" s="5">
        <f>IF(ISERROR(VLOOKUP(T_Cuotas[[#This Row],[RUN]],Tabla_Pagos[],7,FALSE)),0,VLOOKUP(T_Cuotas[[#This Row],[RUN]],Tabla_Pagos[],7,FALSE))</f>
        <v>20000</v>
      </c>
      <c r="D103" s="5">
        <f>IF(ISERROR(VLOOKUP(T_Cuotas[[#This Row],[RUN]],Tabla_Pagos[],8,FALSE)),0,VLOOKUP(T_Cuotas[[#This Row],[RUN]],Tabla_Pagos[],8,FALSE))</f>
        <v>15000</v>
      </c>
      <c r="E103" s="5">
        <f>IF(ISERROR(VLOOKUP(T_Cuotas[[#This Row],[RUN]],Tabla_Pagos[],9,FALSE)),0,VLOOKUP(T_Cuotas[[#This Row],[RUN]],Tabla_Pagos[],9,FALSE))</f>
        <v>15000</v>
      </c>
      <c r="F103" s="5">
        <f>T_Cuotas[[#This Row],[Cuota_1]]+T_Cuotas[[#This Row],[Cuota_2]]+T_Cuotas[[#This Row],[Cuota_3]]</f>
        <v>50000</v>
      </c>
      <c r="G103" s="1">
        <f>COUNTIF(T_Cuotas[RUN],T_Cuotas[[#This Row],[RUN]])</f>
        <v>1</v>
      </c>
      <c r="H103" s="5" t="str">
        <f>IF(ISERROR(VLOOKUP(T_Cuotas[[#This Row],[RUN]],T_Voluntarios[],2,FALSE)),"No Existe",VLOOKUP(T_Cuotas[[#This Row],[RUN]],T_Voluntarios[],2,FALSE))</f>
        <v>ang.michellod@gmail.com</v>
      </c>
      <c r="I103" s="5"/>
      <c r="J103" s="5" t="str">
        <f>IF(ISERROR(VLOOKUP(T_Cuotas[[#This Row],[RUN]],T_Voluntarios[],8,FALSE)),"No Existe",VLOOKUP(T_Cuotas[[#This Row],[RUN]],T_Voluntarios[],8,FALSE))</f>
        <v>+56957612676</v>
      </c>
      <c r="K103" s="5" t="str">
        <f>IF(ISERROR(VLOOKUP(T_Cuotas[[#This Row],[RUN]],T_Voluntarios[],10,FALSE)),"No Existe",VLOOKUP(T_Cuotas[[#This Row],[RUN]],T_Voluntarios[],10,FALSE))</f>
        <v>La Asunción</v>
      </c>
      <c r="L103" s="5" t="str">
        <f>IF(ISERROR(VLOOKUP(T_Cuotas[[#This Row],[RUN]],T_Voluntarios[],30,FALSE)),"No Existe",VLOOKUP(T_Cuotas[[#This Row],[RUN]],T_Voluntarios[],30,FALSE))</f>
        <v>Vigente</v>
      </c>
      <c r="M103" s="5" t="str">
        <f>IF(ISERROR(VLOOKUP(T_Cuotas[[#This Row],[RUN]],T_Voluntarios[],13,FALSE)),"No Existe",VLOOKUP(T_Cuotas[[#This Row],[RUN]],T_Voluntarios[],13,FALSE))</f>
        <v>Alimentación Tradicional</v>
      </c>
    </row>
    <row r="104" spans="1:13" x14ac:dyDescent="0.3">
      <c r="A104" s="2" t="s">
        <v>2062</v>
      </c>
      <c r="B104" t="str">
        <f>IF(ISERROR(VLOOKUP(T_Cuotas[[#This Row],[RUN]],T_Voluntarios[],3,FALSE)),"No Existe",VLOOKUP(T_Cuotas[[#This Row],[RUN]],T_Voluntarios[],3,FALSE))</f>
        <v>Constanza Belén Donoso González</v>
      </c>
      <c r="C104" s="5">
        <f>IF(ISERROR(VLOOKUP(T_Cuotas[[#This Row],[RUN]],Tabla_Pagos[],7,FALSE)),0,VLOOKUP(T_Cuotas[[#This Row],[RUN]],Tabla_Pagos[],7,FALSE))</f>
        <v>20000</v>
      </c>
      <c r="D104" s="5">
        <f>IF(ISERROR(VLOOKUP(T_Cuotas[[#This Row],[RUN]],Tabla_Pagos[],8,FALSE)),0,VLOOKUP(T_Cuotas[[#This Row],[RUN]],Tabla_Pagos[],8,FALSE))</f>
        <v>15000</v>
      </c>
      <c r="E104" s="5">
        <f>IF(ISERROR(VLOOKUP(T_Cuotas[[#This Row],[RUN]],Tabla_Pagos[],9,FALSE)),0,VLOOKUP(T_Cuotas[[#This Row],[RUN]],Tabla_Pagos[],9,FALSE))</f>
        <v>15000</v>
      </c>
      <c r="F104" s="5">
        <f>T_Cuotas[[#This Row],[Cuota_1]]+T_Cuotas[[#This Row],[Cuota_2]]+T_Cuotas[[#This Row],[Cuota_3]]</f>
        <v>50000</v>
      </c>
      <c r="G104" s="1">
        <f>COUNTIF(T_Cuotas[RUN],T_Cuotas[[#This Row],[RUN]])</f>
        <v>1</v>
      </c>
      <c r="H104" s="5" t="str">
        <f>IF(ISERROR(VLOOKUP(T_Cuotas[[#This Row],[RUN]],T_Voluntarios[],2,FALSE)),"No Existe",VLOOKUP(T_Cuotas[[#This Row],[RUN]],T_Voluntarios[],2,FALSE))</f>
        <v>donoso.ce@gmail.com</v>
      </c>
      <c r="I104" s="5"/>
      <c r="J104" s="5" t="str">
        <f>IF(ISERROR(VLOOKUP(T_Cuotas[[#This Row],[RUN]],T_Voluntarios[],8,FALSE)),"No Existe",VLOOKUP(T_Cuotas[[#This Row],[RUN]],T_Voluntarios[],8,FALSE))</f>
        <v>+56995041101</v>
      </c>
      <c r="K104" s="5" t="str">
        <f>IF(ISERROR(VLOOKUP(T_Cuotas[[#This Row],[RUN]],T_Voluntarios[],10,FALSE)),"No Existe",VLOOKUP(T_Cuotas[[#This Row],[RUN]],T_Voluntarios[],10,FALSE))</f>
        <v>La Asunción</v>
      </c>
      <c r="L104" s="5" t="str">
        <f>IF(ISERROR(VLOOKUP(T_Cuotas[[#This Row],[RUN]],T_Voluntarios[],30,FALSE)),"No Existe",VLOOKUP(T_Cuotas[[#This Row],[RUN]],T_Voluntarios[],30,FALSE))</f>
        <v>Vigente</v>
      </c>
      <c r="M104" s="5" t="str">
        <f>IF(ISERROR(VLOOKUP(T_Cuotas[[#This Row],[RUN]],T_Voluntarios[],13,FALSE)),"No Existe",VLOOKUP(T_Cuotas[[#This Row],[RUN]],T_Voluntarios[],13,FALSE))</f>
        <v>Alimentación Vegetariana</v>
      </c>
    </row>
    <row r="105" spans="1:13" x14ac:dyDescent="0.3">
      <c r="A105" s="2" t="s">
        <v>2141</v>
      </c>
      <c r="B105" t="str">
        <f>IF(ISERROR(VLOOKUP(T_Cuotas[[#This Row],[RUN]],T_Voluntarios[],3,FALSE)),"No Existe",VLOOKUP(T_Cuotas[[#This Row],[RUN]],T_Voluntarios[],3,FALSE))</f>
        <v>Viviana Alejandra Rodríguez Vidal</v>
      </c>
      <c r="C105" s="5">
        <f>IF(ISERROR(VLOOKUP(T_Cuotas[[#This Row],[RUN]],Tabla_Pagos[],7,FALSE)),0,VLOOKUP(T_Cuotas[[#This Row],[RUN]],Tabla_Pagos[],7,FALSE))</f>
        <v>20000</v>
      </c>
      <c r="D105" s="5">
        <f>IF(ISERROR(VLOOKUP(T_Cuotas[[#This Row],[RUN]],Tabla_Pagos[],8,FALSE)),0,VLOOKUP(T_Cuotas[[#This Row],[RUN]],Tabla_Pagos[],8,FALSE))</f>
        <v>16500</v>
      </c>
      <c r="E105" s="5">
        <f>IF(ISERROR(VLOOKUP(T_Cuotas[[#This Row],[RUN]],Tabla_Pagos[],9,FALSE)),0,VLOOKUP(T_Cuotas[[#This Row],[RUN]],Tabla_Pagos[],9,FALSE))</f>
        <v>0</v>
      </c>
      <c r="F105" s="5">
        <f>T_Cuotas[[#This Row],[Cuota_1]]+T_Cuotas[[#This Row],[Cuota_2]]+T_Cuotas[[#This Row],[Cuota_3]]</f>
        <v>36500</v>
      </c>
      <c r="G105" s="1">
        <f>COUNTIF(T_Cuotas[RUN],T_Cuotas[[#This Row],[RUN]])</f>
        <v>1</v>
      </c>
      <c r="H105" s="5" t="str">
        <f>IF(ISERROR(VLOOKUP(T_Cuotas[[#This Row],[RUN]],T_Voluntarios[],2,FALSE)),"No Existe",VLOOKUP(T_Cuotas[[#This Row],[RUN]],T_Voluntarios[],2,FALSE))</f>
        <v>vivirodriguez.vidal@gmail.com</v>
      </c>
      <c r="I105" s="5"/>
      <c r="J105" s="5" t="str">
        <f>IF(ISERROR(VLOOKUP(T_Cuotas[[#This Row],[RUN]],T_Voluntarios[],8,FALSE)),"No Existe",VLOOKUP(T_Cuotas[[#This Row],[RUN]],T_Voluntarios[],8,FALSE))</f>
        <v>+56996444971</v>
      </c>
      <c r="K105" s="5" t="str">
        <f>IF(ISERROR(VLOOKUP(T_Cuotas[[#This Row],[RUN]],T_Voluntarios[],10,FALSE)),"No Existe",VLOOKUP(T_Cuotas[[#This Row],[RUN]],T_Voluntarios[],10,FALSE))</f>
        <v>Manutara</v>
      </c>
      <c r="L105" s="5" t="str">
        <f>IF(ISERROR(VLOOKUP(T_Cuotas[[#This Row],[RUN]],T_Voluntarios[],30,FALSE)),"No Existe",VLOOKUP(T_Cuotas[[#This Row],[RUN]],T_Voluntarios[],30,FALSE))</f>
        <v>Vigente</v>
      </c>
      <c r="M105" s="5" t="str">
        <f>IF(ISERROR(VLOOKUP(T_Cuotas[[#This Row],[RUN]],T_Voluntarios[],13,FALSE)),"No Existe",VLOOKUP(T_Cuotas[[#This Row],[RUN]],T_Voluntarios[],13,FALSE))</f>
        <v>Sin Almuerzo</v>
      </c>
    </row>
    <row r="106" spans="1:13" x14ac:dyDescent="0.3">
      <c r="A106" s="2" t="s">
        <v>2077</v>
      </c>
      <c r="B106" t="str">
        <f>IF(ISERROR(VLOOKUP(T_Cuotas[[#This Row],[RUN]],T_Voluntarios[],3,FALSE)),"No Existe",VLOOKUP(T_Cuotas[[#This Row],[RUN]],T_Voluntarios[],3,FALSE))</f>
        <v>Patricio Javier Esparza Espinoza</v>
      </c>
      <c r="C106" s="5">
        <f>IF(ISERROR(VLOOKUP(T_Cuotas[[#This Row],[RUN]],Tabla_Pagos[],7,FALSE)),0,VLOOKUP(T_Cuotas[[#This Row],[RUN]],Tabla_Pagos[],7,FALSE))</f>
        <v>20000</v>
      </c>
      <c r="D106" s="5">
        <f>IF(ISERROR(VLOOKUP(T_Cuotas[[#This Row],[RUN]],Tabla_Pagos[],8,FALSE)),0,VLOOKUP(T_Cuotas[[#This Row],[RUN]],Tabla_Pagos[],8,FALSE))</f>
        <v>15000</v>
      </c>
      <c r="E106" s="5">
        <f>IF(ISERROR(VLOOKUP(T_Cuotas[[#This Row],[RUN]],Tabla_Pagos[],9,FALSE)),0,VLOOKUP(T_Cuotas[[#This Row],[RUN]],Tabla_Pagos[],9,FALSE))</f>
        <v>15000</v>
      </c>
      <c r="F106" s="5">
        <f>T_Cuotas[[#This Row],[Cuota_1]]+T_Cuotas[[#This Row],[Cuota_2]]+T_Cuotas[[#This Row],[Cuota_3]]</f>
        <v>50000</v>
      </c>
      <c r="G106" s="1">
        <f>COUNTIF(T_Cuotas[RUN],T_Cuotas[[#This Row],[RUN]])</f>
        <v>1</v>
      </c>
      <c r="H106" s="5" t="str">
        <f>IF(ISERROR(VLOOKUP(T_Cuotas[[#This Row],[RUN]],T_Voluntarios[],2,FALSE)),"No Existe",VLOOKUP(T_Cuotas[[#This Row],[RUN]],T_Voluntarios[],2,FALSE))</f>
        <v>patricio1642@hotmail.com</v>
      </c>
      <c r="I106" s="5"/>
      <c r="J106" s="5" t="str">
        <f>IF(ISERROR(VLOOKUP(T_Cuotas[[#This Row],[RUN]],T_Voluntarios[],8,FALSE)),"No Existe",VLOOKUP(T_Cuotas[[#This Row],[RUN]],T_Voluntarios[],8,FALSE))</f>
        <v>+56962003621</v>
      </c>
      <c r="K106" s="5" t="str">
        <f>IF(ISERROR(VLOOKUP(T_Cuotas[[#This Row],[RUN]],T_Voluntarios[],10,FALSE)),"No Existe",VLOOKUP(T_Cuotas[[#This Row],[RUN]],T_Voluntarios[],10,FALSE))</f>
        <v>San Bartolomé</v>
      </c>
      <c r="L106" s="5" t="str">
        <f>IF(ISERROR(VLOOKUP(T_Cuotas[[#This Row],[RUN]],T_Voluntarios[],30,FALSE)),"No Existe",VLOOKUP(T_Cuotas[[#This Row],[RUN]],T_Voluntarios[],30,FALSE))</f>
        <v>Vigente</v>
      </c>
      <c r="M106" s="5" t="str">
        <f>IF(ISERROR(VLOOKUP(T_Cuotas[[#This Row],[RUN]],T_Voluntarios[],13,FALSE)),"No Existe",VLOOKUP(T_Cuotas[[#This Row],[RUN]],T_Voluntarios[],13,FALSE))</f>
        <v>Alimentación Tradicional</v>
      </c>
    </row>
    <row r="107" spans="1:13" hidden="1" x14ac:dyDescent="0.3">
      <c r="A107" s="2" t="s">
        <v>2087</v>
      </c>
      <c r="B107" t="str">
        <f>IF(ISERROR(VLOOKUP(T_Cuotas[[#This Row],[RUN]],T_Voluntarios[],3,FALSE)),"No Existe",VLOOKUP(T_Cuotas[[#This Row],[RUN]],T_Voluntarios[],3,FALSE))</f>
        <v>Javiera Abril Bastías Muñoz</v>
      </c>
      <c r="C107" s="5">
        <f>IF(ISERROR(VLOOKUP(T_Cuotas[[#This Row],[RUN]],Tabla_Pagos[],7,FALSE)),0,VLOOKUP(T_Cuotas[[#This Row],[RUN]],Tabla_Pagos[],7,FALSE))</f>
        <v>0</v>
      </c>
      <c r="D107" s="5">
        <f>IF(ISERROR(VLOOKUP(T_Cuotas[[#This Row],[RUN]],Tabla_Pagos[],8,FALSE)),0,VLOOKUP(T_Cuotas[[#This Row],[RUN]],Tabla_Pagos[],8,FALSE))</f>
        <v>0</v>
      </c>
      <c r="E107" s="5">
        <f>IF(ISERROR(VLOOKUP(T_Cuotas[[#This Row],[RUN]],Tabla_Pagos[],9,FALSE)),0,VLOOKUP(T_Cuotas[[#This Row],[RUN]],Tabla_Pagos[],9,FALSE))</f>
        <v>0</v>
      </c>
      <c r="F107" s="5">
        <f>T_Cuotas[[#This Row],[Cuota_1]]+T_Cuotas[[#This Row],[Cuota_2]]+T_Cuotas[[#This Row],[Cuota_3]]</f>
        <v>0</v>
      </c>
      <c r="G107" s="1">
        <f>COUNTIF(T_Cuotas[RUN],T_Cuotas[[#This Row],[RUN]])</f>
        <v>1</v>
      </c>
      <c r="H107" s="5" t="str">
        <f>IF(ISERROR(VLOOKUP(T_Cuotas[[#This Row],[RUN]],T_Voluntarios[],2,FALSE)),"No Existe",VLOOKUP(T_Cuotas[[#This Row],[RUN]],T_Voluntarios[],2,FALSE))</f>
        <v>javiera.abril3@gmail.com</v>
      </c>
      <c r="I107" s="5"/>
      <c r="J107" s="5" t="str">
        <f>IF(ISERROR(VLOOKUP(T_Cuotas[[#This Row],[RUN]],T_Voluntarios[],8,FALSE)),"No Existe",VLOOKUP(T_Cuotas[[#This Row],[RUN]],T_Voluntarios[],8,FALSE))</f>
        <v>+56964967222</v>
      </c>
      <c r="K107" s="5" t="str">
        <f>IF(ISERROR(VLOOKUP(T_Cuotas[[#This Row],[RUN]],T_Voluntarios[],10,FALSE)),"No Existe",VLOOKUP(T_Cuotas[[#This Row],[RUN]],T_Voluntarios[],10,FALSE))</f>
        <v>San Bartolomé</v>
      </c>
      <c r="L107" s="5" t="str">
        <f>IF(ISERROR(VLOOKUP(T_Cuotas[[#This Row],[RUN]],T_Voluntarios[],30,FALSE)),"No Existe",VLOOKUP(T_Cuotas[[#This Row],[RUN]],T_Voluntarios[],30,FALSE))</f>
        <v>NO Vigente</v>
      </c>
      <c r="M107" s="5" t="str">
        <f>IF(ISERROR(VLOOKUP(T_Cuotas[[#This Row],[RUN]],T_Voluntarios[],13,FALSE)),"No Existe",VLOOKUP(T_Cuotas[[#This Row],[RUN]],T_Voluntarios[],13,FALSE))</f>
        <v>Sin Almuerzo</v>
      </c>
    </row>
    <row r="108" spans="1:13" x14ac:dyDescent="0.3">
      <c r="A108" s="2" t="s">
        <v>2095</v>
      </c>
      <c r="B108" t="str">
        <f>IF(ISERROR(VLOOKUP(T_Cuotas[[#This Row],[RUN]],T_Voluntarios[],3,FALSE)),"No Existe",VLOOKUP(T_Cuotas[[#This Row],[RUN]],T_Voluntarios[],3,FALSE))</f>
        <v>Claudia Andrea Silvestre Maldonado</v>
      </c>
      <c r="C108" s="5">
        <f>IF(ISERROR(VLOOKUP(T_Cuotas[[#This Row],[RUN]],Tabla_Pagos[],7,FALSE)),0,VLOOKUP(T_Cuotas[[#This Row],[RUN]],Tabla_Pagos[],7,FALSE))</f>
        <v>20000</v>
      </c>
      <c r="D108" s="5">
        <f>IF(ISERROR(VLOOKUP(T_Cuotas[[#This Row],[RUN]],Tabla_Pagos[],8,FALSE)),0,VLOOKUP(T_Cuotas[[#This Row],[RUN]],Tabla_Pagos[],8,FALSE))</f>
        <v>15000</v>
      </c>
      <c r="E108" s="5">
        <f>IF(ISERROR(VLOOKUP(T_Cuotas[[#This Row],[RUN]],Tabla_Pagos[],9,FALSE)),0,VLOOKUP(T_Cuotas[[#This Row],[RUN]],Tabla_Pagos[],9,FALSE))</f>
        <v>15000</v>
      </c>
      <c r="F108" s="5">
        <f>T_Cuotas[[#This Row],[Cuota_1]]+T_Cuotas[[#This Row],[Cuota_2]]+T_Cuotas[[#This Row],[Cuota_3]]</f>
        <v>50000</v>
      </c>
      <c r="G108" s="1">
        <f>COUNTIF(T_Cuotas[RUN],T_Cuotas[[#This Row],[RUN]])</f>
        <v>1</v>
      </c>
      <c r="H108" s="5" t="str">
        <f>IF(ISERROR(VLOOKUP(T_Cuotas[[#This Row],[RUN]],T_Voluntarios[],2,FALSE)),"No Existe",VLOOKUP(T_Cuotas[[#This Row],[RUN]],T_Voluntarios[],2,FALSE))</f>
        <v>clauandreasilvestremaldonado@gmail.com</v>
      </c>
      <c r="I108" s="5"/>
      <c r="J108" s="5" t="str">
        <f>IF(ISERROR(VLOOKUP(T_Cuotas[[#This Row],[RUN]],T_Voluntarios[],8,FALSE)),"No Existe",VLOOKUP(T_Cuotas[[#This Row],[RUN]],T_Voluntarios[],8,FALSE))</f>
        <v>+56961368501</v>
      </c>
      <c r="K108" s="5" t="str">
        <f>IF(ISERROR(VLOOKUP(T_Cuotas[[#This Row],[RUN]],T_Voluntarios[],10,FALSE)),"No Existe",VLOOKUP(T_Cuotas[[#This Row],[RUN]],T_Voluntarios[],10,FALSE))</f>
        <v>San Sebastian</v>
      </c>
      <c r="L108" s="5" t="str">
        <f>IF(ISERROR(VLOOKUP(T_Cuotas[[#This Row],[RUN]],T_Voluntarios[],30,FALSE)),"No Existe",VLOOKUP(T_Cuotas[[#This Row],[RUN]],T_Voluntarios[],30,FALSE))</f>
        <v>Vigente</v>
      </c>
      <c r="M108" s="5" t="str">
        <f>IF(ISERROR(VLOOKUP(T_Cuotas[[#This Row],[RUN]],T_Voluntarios[],13,FALSE)),"No Existe",VLOOKUP(T_Cuotas[[#This Row],[RUN]],T_Voluntarios[],13,FALSE))</f>
        <v>Alimentación Vegetariana</v>
      </c>
    </row>
    <row r="109" spans="1:13" x14ac:dyDescent="0.3">
      <c r="A109" s="2" t="s">
        <v>2106</v>
      </c>
      <c r="B109" t="str">
        <f>IF(ISERROR(VLOOKUP(T_Cuotas[[#This Row],[RUN]],T_Voluntarios[],3,FALSE)),"No Existe",VLOOKUP(T_Cuotas[[#This Row],[RUN]],T_Voluntarios[],3,FALSE))</f>
        <v>Gabriel Alberto Faúndez Vera</v>
      </c>
      <c r="C109" s="5">
        <f>IF(ISERROR(VLOOKUP(T_Cuotas[[#This Row],[RUN]],Tabla_Pagos[],7,FALSE)),0,VLOOKUP(T_Cuotas[[#This Row],[RUN]],Tabla_Pagos[],7,FALSE))</f>
        <v>20000</v>
      </c>
      <c r="D109" s="5">
        <f>IF(ISERROR(VLOOKUP(T_Cuotas[[#This Row],[RUN]],Tabla_Pagos[],8,FALSE)),0,VLOOKUP(T_Cuotas[[#This Row],[RUN]],Tabla_Pagos[],8,FALSE))</f>
        <v>16500</v>
      </c>
      <c r="E109" s="5">
        <f>IF(ISERROR(VLOOKUP(T_Cuotas[[#This Row],[RUN]],Tabla_Pagos[],9,FALSE)),0,VLOOKUP(T_Cuotas[[#This Row],[RUN]],Tabla_Pagos[],9,FALSE))</f>
        <v>0</v>
      </c>
      <c r="F109" s="5">
        <f>T_Cuotas[[#This Row],[Cuota_1]]+T_Cuotas[[#This Row],[Cuota_2]]+T_Cuotas[[#This Row],[Cuota_3]]</f>
        <v>36500</v>
      </c>
      <c r="G109" s="1">
        <f>COUNTIF(T_Cuotas[RUN],T_Cuotas[[#This Row],[RUN]])</f>
        <v>1</v>
      </c>
      <c r="H109" s="5" t="str">
        <f>IF(ISERROR(VLOOKUP(T_Cuotas[[#This Row],[RUN]],T_Voluntarios[],2,FALSE)),"No Existe",VLOOKUP(T_Cuotas[[#This Row],[RUN]],T_Voluntarios[],2,FALSE))</f>
        <v>gabrirose25@gmail.com</v>
      </c>
      <c r="I109" s="5"/>
      <c r="J109" s="5" t="str">
        <f>IF(ISERROR(VLOOKUP(T_Cuotas[[#This Row],[RUN]],T_Voluntarios[],8,FALSE)),"No Existe",VLOOKUP(T_Cuotas[[#This Row],[RUN]],T_Voluntarios[],8,FALSE))</f>
        <v>+56949483106</v>
      </c>
      <c r="K109" s="5" t="str">
        <f>IF(ISERROR(VLOOKUP(T_Cuotas[[#This Row],[RUN]],T_Voluntarios[],10,FALSE)),"No Existe",VLOOKUP(T_Cuotas[[#This Row],[RUN]],T_Voluntarios[],10,FALSE))</f>
        <v>San Bartolomé</v>
      </c>
      <c r="L109" s="5" t="str">
        <f>IF(ISERROR(VLOOKUP(T_Cuotas[[#This Row],[RUN]],T_Voluntarios[],30,FALSE)),"No Existe",VLOOKUP(T_Cuotas[[#This Row],[RUN]],T_Voluntarios[],30,FALSE))</f>
        <v>Vigente</v>
      </c>
      <c r="M109" s="5" t="str">
        <f>IF(ISERROR(VLOOKUP(T_Cuotas[[#This Row],[RUN]],T_Voluntarios[],13,FALSE)),"No Existe",VLOOKUP(T_Cuotas[[#This Row],[RUN]],T_Voluntarios[],13,FALSE))</f>
        <v>Sin Almuerzo</v>
      </c>
    </row>
    <row r="110" spans="1:13" x14ac:dyDescent="0.3">
      <c r="A110" s="2" t="s">
        <v>2127</v>
      </c>
      <c r="B110" t="str">
        <f>IF(ISERROR(VLOOKUP(T_Cuotas[[#This Row],[RUN]],T_Voluntarios[],3,FALSE)),"No Existe",VLOOKUP(T_Cuotas[[#This Row],[RUN]],T_Voluntarios[],3,FALSE))</f>
        <v>Angela Alejandra Olave Zagal</v>
      </c>
      <c r="C110" s="5">
        <f>IF(ISERROR(VLOOKUP(T_Cuotas[[#This Row],[RUN]],Tabla_Pagos[],7,FALSE)),0,VLOOKUP(T_Cuotas[[#This Row],[RUN]],Tabla_Pagos[],7,FALSE))</f>
        <v>20000</v>
      </c>
      <c r="D110" s="5">
        <f>IF(ISERROR(VLOOKUP(T_Cuotas[[#This Row],[RUN]],Tabla_Pagos[],8,FALSE)),0,VLOOKUP(T_Cuotas[[#This Row],[RUN]],Tabla_Pagos[],8,FALSE))</f>
        <v>15000</v>
      </c>
      <c r="E110" s="5">
        <f>IF(ISERROR(VLOOKUP(T_Cuotas[[#This Row],[RUN]],Tabla_Pagos[],9,FALSE)),0,VLOOKUP(T_Cuotas[[#This Row],[RUN]],Tabla_Pagos[],9,FALSE))</f>
        <v>15000</v>
      </c>
      <c r="F110" s="5">
        <f>T_Cuotas[[#This Row],[Cuota_1]]+T_Cuotas[[#This Row],[Cuota_2]]+T_Cuotas[[#This Row],[Cuota_3]]</f>
        <v>50000</v>
      </c>
      <c r="G110" s="1">
        <f>COUNTIF(T_Cuotas[RUN],T_Cuotas[[#This Row],[RUN]])</f>
        <v>1</v>
      </c>
      <c r="H110" s="5" t="str">
        <f>IF(ISERROR(VLOOKUP(T_Cuotas[[#This Row],[RUN]],T_Voluntarios[],2,FALSE)),"No Existe",VLOOKUP(T_Cuotas[[#This Row],[RUN]],T_Voluntarios[],2,FALSE))</f>
        <v>aolavezagal@gmail.com</v>
      </c>
      <c r="I110" s="5"/>
      <c r="J110" s="5" t="str">
        <f>IF(ISERROR(VLOOKUP(T_Cuotas[[#This Row],[RUN]],T_Voluntarios[],8,FALSE)),"No Existe",VLOOKUP(T_Cuotas[[#This Row],[RUN]],T_Voluntarios[],8,FALSE))</f>
        <v>+56981567659</v>
      </c>
      <c r="K110" s="5" t="str">
        <f>IF(ISERROR(VLOOKUP(T_Cuotas[[#This Row],[RUN]],T_Voluntarios[],10,FALSE)),"No Existe",VLOOKUP(T_Cuotas[[#This Row],[RUN]],T_Voluntarios[],10,FALSE))</f>
        <v>Tricolor Chileno</v>
      </c>
      <c r="L110" s="5" t="str">
        <f>IF(ISERROR(VLOOKUP(T_Cuotas[[#This Row],[RUN]],T_Voluntarios[],30,FALSE)),"No Existe",VLOOKUP(T_Cuotas[[#This Row],[RUN]],T_Voluntarios[],30,FALSE))</f>
        <v>Vigente</v>
      </c>
      <c r="M110" s="5" t="str">
        <f>IF(ISERROR(VLOOKUP(T_Cuotas[[#This Row],[RUN]],T_Voluntarios[],13,FALSE)),"No Existe",VLOOKUP(T_Cuotas[[#This Row],[RUN]],T_Voluntarios[],13,FALSE))</f>
        <v>Alimentación Tradicional</v>
      </c>
    </row>
    <row r="111" spans="1:13" x14ac:dyDescent="0.3">
      <c r="A111" s="2" t="s">
        <v>2334</v>
      </c>
      <c r="B111" t="str">
        <f>IF(ISERROR(VLOOKUP(T_Cuotas[[#This Row],[RUN]],T_Voluntarios[],3,FALSE)),"No Existe",VLOOKUP(T_Cuotas[[#This Row],[RUN]],T_Voluntarios[],3,FALSE))</f>
        <v>Josefa Catalina Rebolledo González</v>
      </c>
      <c r="C111" s="5">
        <f>IF(ISERROR(VLOOKUP(T_Cuotas[[#This Row],[RUN]],Tabla_Pagos[],7,FALSE)),0,VLOOKUP(T_Cuotas[[#This Row],[RUN]],Tabla_Pagos[],7,FALSE))</f>
        <v>20000</v>
      </c>
      <c r="D111" s="5">
        <f>IF(ISERROR(VLOOKUP(T_Cuotas[[#This Row],[RUN]],Tabla_Pagos[],8,FALSE)),0,VLOOKUP(T_Cuotas[[#This Row],[RUN]],Tabla_Pagos[],8,FALSE))</f>
        <v>15000</v>
      </c>
      <c r="E111" s="5">
        <f>IF(ISERROR(VLOOKUP(T_Cuotas[[#This Row],[RUN]],Tabla_Pagos[],9,FALSE)),0,VLOOKUP(T_Cuotas[[#This Row],[RUN]],Tabla_Pagos[],9,FALSE))</f>
        <v>15000</v>
      </c>
      <c r="F111" s="5">
        <f>T_Cuotas[[#This Row],[Cuota_1]]+T_Cuotas[[#This Row],[Cuota_2]]+T_Cuotas[[#This Row],[Cuota_3]]</f>
        <v>50000</v>
      </c>
      <c r="G111" s="1">
        <f>COUNTIF(T_Cuotas[RUN],T_Cuotas[[#This Row],[RUN]])</f>
        <v>1</v>
      </c>
      <c r="H111" s="5" t="str">
        <f>IF(ISERROR(VLOOKUP(T_Cuotas[[#This Row],[RUN]],T_Voluntarios[],2,FALSE)),"No Existe",VLOOKUP(T_Cuotas[[#This Row],[RUN]],T_Voluntarios[],2,FALSE))</f>
        <v>josefarebolledogonzalez@gmail.com</v>
      </c>
      <c r="I111" s="5"/>
      <c r="J111" s="5" t="str">
        <f>IF(ISERROR(VLOOKUP(T_Cuotas[[#This Row],[RUN]],T_Voluntarios[],8,FALSE)),"No Existe",VLOOKUP(T_Cuotas[[#This Row],[RUN]],T_Voluntarios[],8,FALSE))</f>
        <v>+56973073309</v>
      </c>
      <c r="K111" s="5" t="str">
        <f>IF(ISERROR(VLOOKUP(T_Cuotas[[#This Row],[RUN]],T_Voluntarios[],10,FALSE)),"No Existe",VLOOKUP(T_Cuotas[[#This Row],[RUN]],T_Voluntarios[],10,FALSE))</f>
        <v>Sagrados Corazones</v>
      </c>
      <c r="L111" s="5" t="str">
        <f>IF(ISERROR(VLOOKUP(T_Cuotas[[#This Row],[RUN]],T_Voluntarios[],30,FALSE)),"No Existe",VLOOKUP(T_Cuotas[[#This Row],[RUN]],T_Voluntarios[],30,FALSE))</f>
        <v>Vigente</v>
      </c>
      <c r="M111" s="5" t="str">
        <f>IF(ISERROR(VLOOKUP(T_Cuotas[[#This Row],[RUN]],T_Voluntarios[],13,FALSE)),"No Existe",VLOOKUP(T_Cuotas[[#This Row],[RUN]],T_Voluntarios[],13,FALSE))</f>
        <v>Alimentación Tradicional</v>
      </c>
    </row>
    <row r="112" spans="1:13" x14ac:dyDescent="0.3">
      <c r="A112" s="2" t="s">
        <v>2178</v>
      </c>
      <c r="B112" t="str">
        <f>IF(ISERROR(VLOOKUP(T_Cuotas[[#This Row],[RUN]],T_Voluntarios[],3,FALSE)),"No Existe",VLOOKUP(T_Cuotas[[#This Row],[RUN]],T_Voluntarios[],3,FALSE))</f>
        <v>Bárbara Nicole Rebolledo González</v>
      </c>
      <c r="C112" s="5">
        <f>IF(ISERROR(VLOOKUP(T_Cuotas[[#This Row],[RUN]],Tabla_Pagos[],7,FALSE)),0,VLOOKUP(T_Cuotas[[#This Row],[RUN]],Tabla_Pagos[],7,FALSE))</f>
        <v>20000</v>
      </c>
      <c r="D112" s="5">
        <f>IF(ISERROR(VLOOKUP(T_Cuotas[[#This Row],[RUN]],Tabla_Pagos[],8,FALSE)),0,VLOOKUP(T_Cuotas[[#This Row],[RUN]],Tabla_Pagos[],8,FALSE))</f>
        <v>15000</v>
      </c>
      <c r="E112" s="5">
        <f>IF(ISERROR(VLOOKUP(T_Cuotas[[#This Row],[RUN]],Tabla_Pagos[],9,FALSE)),0,VLOOKUP(T_Cuotas[[#This Row],[RUN]],Tabla_Pagos[],9,FALSE))</f>
        <v>15000</v>
      </c>
      <c r="F112" s="5">
        <f>T_Cuotas[[#This Row],[Cuota_1]]+T_Cuotas[[#This Row],[Cuota_2]]+T_Cuotas[[#This Row],[Cuota_3]]</f>
        <v>50000</v>
      </c>
      <c r="G112" s="1">
        <f>COUNTIF(T_Cuotas[RUN],T_Cuotas[[#This Row],[RUN]])</f>
        <v>1</v>
      </c>
      <c r="H112" s="5" t="str">
        <f>IF(ISERROR(VLOOKUP(T_Cuotas[[#This Row],[RUN]],T_Voluntarios[],2,FALSE)),"No Existe",VLOOKUP(T_Cuotas[[#This Row],[RUN]],T_Voluntarios[],2,FALSE))</f>
        <v>barbararebolledogonzalez@gmail.com</v>
      </c>
      <c r="I112" s="5"/>
      <c r="J112" s="5" t="str">
        <f>IF(ISERROR(VLOOKUP(T_Cuotas[[#This Row],[RUN]],T_Voluntarios[],8,FALSE)),"No Existe",VLOOKUP(T_Cuotas[[#This Row],[RUN]],T_Voluntarios[],8,FALSE))</f>
        <v>+56973073235</v>
      </c>
      <c r="K112" s="5" t="str">
        <f>IF(ISERROR(VLOOKUP(T_Cuotas[[#This Row],[RUN]],T_Voluntarios[],10,FALSE)),"No Existe",VLOOKUP(T_Cuotas[[#This Row],[RUN]],T_Voluntarios[],10,FALSE))</f>
        <v>Sagrados Corazones</v>
      </c>
      <c r="L112" s="5" t="str">
        <f>IF(ISERROR(VLOOKUP(T_Cuotas[[#This Row],[RUN]],T_Voluntarios[],30,FALSE)),"No Existe",VLOOKUP(T_Cuotas[[#This Row],[RUN]],T_Voluntarios[],30,FALSE))</f>
        <v>Vigente</v>
      </c>
      <c r="M112" s="5" t="str">
        <f>IF(ISERROR(VLOOKUP(T_Cuotas[[#This Row],[RUN]],T_Voluntarios[],13,FALSE)),"No Existe",VLOOKUP(T_Cuotas[[#This Row],[RUN]],T_Voluntarios[],13,FALSE))</f>
        <v>Alimentación Tradicional</v>
      </c>
    </row>
    <row r="113" spans="1:13" x14ac:dyDescent="0.3">
      <c r="A113" s="2" t="s">
        <v>2189</v>
      </c>
      <c r="B113" t="str">
        <f>IF(ISERROR(VLOOKUP(T_Cuotas[[#This Row],[RUN]],T_Voluntarios[],3,FALSE)),"No Existe",VLOOKUP(T_Cuotas[[#This Row],[RUN]],T_Voluntarios[],3,FALSE))</f>
        <v>José Antonio Poza Pérez</v>
      </c>
      <c r="C113" s="5">
        <f>IF(ISERROR(VLOOKUP(T_Cuotas[[#This Row],[RUN]],Tabla_Pagos[],7,FALSE)),0,VLOOKUP(T_Cuotas[[#This Row],[RUN]],Tabla_Pagos[],7,FALSE))</f>
        <v>20000</v>
      </c>
      <c r="D113" s="5">
        <f>IF(ISERROR(VLOOKUP(T_Cuotas[[#This Row],[RUN]],Tabla_Pagos[],8,FALSE)),0,VLOOKUP(T_Cuotas[[#This Row],[RUN]],Tabla_Pagos[],8,FALSE))</f>
        <v>15000</v>
      </c>
      <c r="E113" s="5">
        <f>IF(ISERROR(VLOOKUP(T_Cuotas[[#This Row],[RUN]],Tabla_Pagos[],9,FALSE)),0,VLOOKUP(T_Cuotas[[#This Row],[RUN]],Tabla_Pagos[],9,FALSE))</f>
        <v>15000</v>
      </c>
      <c r="F113" s="5">
        <f>T_Cuotas[[#This Row],[Cuota_1]]+T_Cuotas[[#This Row],[Cuota_2]]+T_Cuotas[[#This Row],[Cuota_3]]</f>
        <v>50000</v>
      </c>
      <c r="G113" s="1">
        <f>COUNTIF(T_Cuotas[RUN],T_Cuotas[[#This Row],[RUN]])</f>
        <v>1</v>
      </c>
      <c r="H113" s="5" t="str">
        <f>IF(ISERROR(VLOOKUP(T_Cuotas[[#This Row],[RUN]],T_Voluntarios[],2,FALSE)),"No Existe",VLOOKUP(T_Cuotas[[#This Row],[RUN]],T_Voluntarios[],2,FALSE))</f>
        <v>joseantonio17092003@gmail.com</v>
      </c>
      <c r="I113" s="5"/>
      <c r="J113" s="5" t="str">
        <f>IF(ISERROR(VLOOKUP(T_Cuotas[[#This Row],[RUN]],T_Voluntarios[],8,FALSE)),"No Existe",VLOOKUP(T_Cuotas[[#This Row],[RUN]],T_Voluntarios[],8,FALSE))</f>
        <v>+56961559967</v>
      </c>
      <c r="K113" s="5" t="str">
        <f>IF(ISERROR(VLOOKUP(T_Cuotas[[#This Row],[RUN]],T_Voluntarios[],10,FALSE)),"No Existe",VLOOKUP(T_Cuotas[[#This Row],[RUN]],T_Voluntarios[],10,FALSE))</f>
        <v>Sagrados Corazones</v>
      </c>
      <c r="L113" s="5" t="str">
        <f>IF(ISERROR(VLOOKUP(T_Cuotas[[#This Row],[RUN]],T_Voluntarios[],30,FALSE)),"No Existe",VLOOKUP(T_Cuotas[[#This Row],[RUN]],T_Voluntarios[],30,FALSE))</f>
        <v>Vigente</v>
      </c>
      <c r="M113" s="5" t="str">
        <f>IF(ISERROR(VLOOKUP(T_Cuotas[[#This Row],[RUN]],T_Voluntarios[],13,FALSE)),"No Existe",VLOOKUP(T_Cuotas[[#This Row],[RUN]],T_Voluntarios[],13,FALSE))</f>
        <v>Alimentación Tradicional</v>
      </c>
    </row>
    <row r="114" spans="1:13" hidden="1" x14ac:dyDescent="0.3">
      <c r="A114" s="2" t="s">
        <v>2227</v>
      </c>
      <c r="B114" t="str">
        <f>IF(ISERROR(VLOOKUP(T_Cuotas[[#This Row],[RUN]],T_Voluntarios[],3,FALSE)),"No Existe",VLOOKUP(T_Cuotas[[#This Row],[RUN]],T_Voluntarios[],3,FALSE))</f>
        <v>Martina Aravena Rivas</v>
      </c>
      <c r="C114" s="5">
        <f>IF(ISERROR(VLOOKUP(T_Cuotas[[#This Row],[RUN]],Tabla_Pagos[],7,FALSE)),0,VLOOKUP(T_Cuotas[[#This Row],[RUN]],Tabla_Pagos[],7,FALSE))</f>
        <v>0</v>
      </c>
      <c r="D114" s="5">
        <f>IF(ISERROR(VLOOKUP(T_Cuotas[[#This Row],[RUN]],Tabla_Pagos[],8,FALSE)),0,VLOOKUP(T_Cuotas[[#This Row],[RUN]],Tabla_Pagos[],8,FALSE))</f>
        <v>0</v>
      </c>
      <c r="E114" s="5">
        <f>IF(ISERROR(VLOOKUP(T_Cuotas[[#This Row],[RUN]],Tabla_Pagos[],9,FALSE)),0,VLOOKUP(T_Cuotas[[#This Row],[RUN]],Tabla_Pagos[],9,FALSE))</f>
        <v>0</v>
      </c>
      <c r="F114" s="5">
        <f>T_Cuotas[[#This Row],[Cuota_1]]+T_Cuotas[[#This Row],[Cuota_2]]+T_Cuotas[[#This Row],[Cuota_3]]</f>
        <v>0</v>
      </c>
      <c r="G114" s="1">
        <f>COUNTIF(T_Cuotas[RUN],T_Cuotas[[#This Row],[RUN]])</f>
        <v>1</v>
      </c>
      <c r="H114" s="5" t="str">
        <f>IF(ISERROR(VLOOKUP(T_Cuotas[[#This Row],[RUN]],T_Voluntarios[],2,FALSE)),"No Existe",VLOOKUP(T_Cuotas[[#This Row],[RUN]],T_Voluntarios[],2,FALSE))</f>
        <v>martina.araa@gmail.com</v>
      </c>
      <c r="I114" s="5"/>
      <c r="J114" s="5" t="str">
        <f>IF(ISERROR(VLOOKUP(T_Cuotas[[#This Row],[RUN]],T_Voluntarios[],8,FALSE)),"No Existe",VLOOKUP(T_Cuotas[[#This Row],[RUN]],T_Voluntarios[],8,FALSE))</f>
        <v>+56969065236</v>
      </c>
      <c r="K114" s="5" t="str">
        <f>IF(ISERROR(VLOOKUP(T_Cuotas[[#This Row],[RUN]],T_Voluntarios[],10,FALSE)),"No Existe",VLOOKUP(T_Cuotas[[#This Row],[RUN]],T_Voluntarios[],10,FALSE))</f>
        <v>Peulla</v>
      </c>
      <c r="L114" s="5" t="str">
        <f>IF(ISERROR(VLOOKUP(T_Cuotas[[#This Row],[RUN]],T_Voluntarios[],30,FALSE)),"No Existe",VLOOKUP(T_Cuotas[[#This Row],[RUN]],T_Voluntarios[],30,FALSE))</f>
        <v>NO Vigente</v>
      </c>
      <c r="M114" s="5" t="str">
        <f>IF(ISERROR(VLOOKUP(T_Cuotas[[#This Row],[RUN]],T_Voluntarios[],13,FALSE)),"No Existe",VLOOKUP(T_Cuotas[[#This Row],[RUN]],T_Voluntarios[],13,FALSE))</f>
        <v>Sin Almuerzo</v>
      </c>
    </row>
    <row r="115" spans="1:13" x14ac:dyDescent="0.3">
      <c r="A115" s="2" t="s">
        <v>2197</v>
      </c>
      <c r="B115" t="str">
        <f>IF(ISERROR(VLOOKUP(T_Cuotas[[#This Row],[RUN]],T_Voluntarios[],3,FALSE)),"No Existe",VLOOKUP(T_Cuotas[[#This Row],[RUN]],T_Voluntarios[],3,FALSE))</f>
        <v>Matías Santiago Mancilla Ríos</v>
      </c>
      <c r="C115" s="5">
        <f>IF(ISERROR(VLOOKUP(T_Cuotas[[#This Row],[RUN]],Tabla_Pagos[],7,FALSE)),0,VLOOKUP(T_Cuotas[[#This Row],[RUN]],Tabla_Pagos[],7,FALSE))</f>
        <v>20000</v>
      </c>
      <c r="D115" s="5">
        <f>IF(ISERROR(VLOOKUP(T_Cuotas[[#This Row],[RUN]],Tabla_Pagos[],8,FALSE)),0,VLOOKUP(T_Cuotas[[#This Row],[RUN]],Tabla_Pagos[],8,FALSE))</f>
        <v>15000</v>
      </c>
      <c r="E115" s="5">
        <f>IF(ISERROR(VLOOKUP(T_Cuotas[[#This Row],[RUN]],Tabla_Pagos[],9,FALSE)),0,VLOOKUP(T_Cuotas[[#This Row],[RUN]],Tabla_Pagos[],9,FALSE))</f>
        <v>15000</v>
      </c>
      <c r="F115" s="5">
        <f>T_Cuotas[[#This Row],[Cuota_1]]+T_Cuotas[[#This Row],[Cuota_2]]+T_Cuotas[[#This Row],[Cuota_3]]</f>
        <v>50000</v>
      </c>
      <c r="G115" s="1">
        <f>COUNTIF(T_Cuotas[RUN],T_Cuotas[[#This Row],[RUN]])</f>
        <v>1</v>
      </c>
      <c r="H115" s="5" t="str">
        <f>IF(ISERROR(VLOOKUP(T_Cuotas[[#This Row],[RUN]],T_Voluntarios[],2,FALSE)),"No Existe",VLOOKUP(T_Cuotas[[#This Row],[RUN]],T_Voluntarios[],2,FALSE))</f>
        <v>mancilla.stgo@gmail.com</v>
      </c>
      <c r="I115" s="5"/>
      <c r="J115" s="5" t="str">
        <f>IF(ISERROR(VLOOKUP(T_Cuotas[[#This Row],[RUN]],T_Voluntarios[],8,FALSE)),"No Existe",VLOOKUP(T_Cuotas[[#This Row],[RUN]],T_Voluntarios[],8,FALSE))</f>
        <v>+56953951030</v>
      </c>
      <c r="K115" s="5" t="str">
        <f>IF(ISERROR(VLOOKUP(T_Cuotas[[#This Row],[RUN]],T_Voluntarios[],10,FALSE)),"No Existe",VLOOKUP(T_Cuotas[[#This Row],[RUN]],T_Voluntarios[],10,FALSE))</f>
        <v>Santa Cecilia</v>
      </c>
      <c r="L115" s="5" t="str">
        <f>IF(ISERROR(VLOOKUP(T_Cuotas[[#This Row],[RUN]],T_Voluntarios[],30,FALSE)),"No Existe",VLOOKUP(T_Cuotas[[#This Row],[RUN]],T_Voluntarios[],30,FALSE))</f>
        <v>Vigente</v>
      </c>
      <c r="M115" s="5" t="str">
        <f>IF(ISERROR(VLOOKUP(T_Cuotas[[#This Row],[RUN]],T_Voluntarios[],13,FALSE)),"No Existe",VLOOKUP(T_Cuotas[[#This Row],[RUN]],T_Voluntarios[],13,FALSE))</f>
        <v>Alimentación Tradicional</v>
      </c>
    </row>
    <row r="116" spans="1:13" x14ac:dyDescent="0.3">
      <c r="A116" s="2" t="s">
        <v>2237</v>
      </c>
      <c r="B116" t="str">
        <f>IF(ISERROR(VLOOKUP(T_Cuotas[[#This Row],[RUN]],T_Voluntarios[],3,FALSE)),"No Existe",VLOOKUP(T_Cuotas[[#This Row],[RUN]],T_Voluntarios[],3,FALSE))</f>
        <v>Manuel Alejandro Borquez Maluenda</v>
      </c>
      <c r="C116" s="5">
        <f>IF(ISERROR(VLOOKUP(T_Cuotas[[#This Row],[RUN]],Tabla_Pagos[],7,FALSE)),0,VLOOKUP(T_Cuotas[[#This Row],[RUN]],Tabla_Pagos[],7,FALSE))</f>
        <v>20000</v>
      </c>
      <c r="D116" s="5">
        <f>IF(ISERROR(VLOOKUP(T_Cuotas[[#This Row],[RUN]],Tabla_Pagos[],8,FALSE)),0,VLOOKUP(T_Cuotas[[#This Row],[RUN]],Tabla_Pagos[],8,FALSE))</f>
        <v>15000</v>
      </c>
      <c r="E116" s="5">
        <f>IF(ISERROR(VLOOKUP(T_Cuotas[[#This Row],[RUN]],Tabla_Pagos[],9,FALSE)),0,VLOOKUP(T_Cuotas[[#This Row],[RUN]],Tabla_Pagos[],9,FALSE))</f>
        <v>15000</v>
      </c>
      <c r="F116" s="5">
        <f>T_Cuotas[[#This Row],[Cuota_1]]+T_Cuotas[[#This Row],[Cuota_2]]+T_Cuotas[[#This Row],[Cuota_3]]</f>
        <v>50000</v>
      </c>
      <c r="G116" s="1">
        <f>COUNTIF(T_Cuotas[RUN],T_Cuotas[[#This Row],[RUN]])</f>
        <v>1</v>
      </c>
      <c r="H116" s="5" t="str">
        <f>IF(ISERROR(VLOOKUP(T_Cuotas[[#This Row],[RUN]],T_Voluntarios[],2,FALSE)),"No Existe",VLOOKUP(T_Cuotas[[#This Row],[RUN]],T_Voluntarios[],2,FALSE))</f>
        <v>manuel.borquez29@gmail.com</v>
      </c>
      <c r="I116" s="5"/>
      <c r="J116" s="5" t="str">
        <f>IF(ISERROR(VLOOKUP(T_Cuotas[[#This Row],[RUN]],T_Voluntarios[],8,FALSE)),"No Existe",VLOOKUP(T_Cuotas[[#This Row],[RUN]],T_Voluntarios[],8,FALSE))</f>
        <v>+56982295437</v>
      </c>
      <c r="K116" s="5" t="str">
        <f>IF(ISERROR(VLOOKUP(T_Cuotas[[#This Row],[RUN]],T_Voluntarios[],10,FALSE)),"No Existe",VLOOKUP(T_Cuotas[[#This Row],[RUN]],T_Voluntarios[],10,FALSE))</f>
        <v>Manutara</v>
      </c>
      <c r="L116" s="5" t="str">
        <f>IF(ISERROR(VLOOKUP(T_Cuotas[[#This Row],[RUN]],T_Voluntarios[],30,FALSE)),"No Existe",VLOOKUP(T_Cuotas[[#This Row],[RUN]],T_Voluntarios[],30,FALSE))</f>
        <v>Vigente</v>
      </c>
      <c r="M116" s="5" t="str">
        <f>IF(ISERROR(VLOOKUP(T_Cuotas[[#This Row],[RUN]],T_Voluntarios[],13,FALSE)),"No Existe",VLOOKUP(T_Cuotas[[#This Row],[RUN]],T_Voluntarios[],13,FALSE))</f>
        <v>Alimentación Tradicional</v>
      </c>
    </row>
    <row r="117" spans="1:13" x14ac:dyDescent="0.3">
      <c r="A117" s="2" t="s">
        <v>2322</v>
      </c>
      <c r="B117" t="str">
        <f>IF(ISERROR(VLOOKUP(T_Cuotas[[#This Row],[RUN]],T_Voluntarios[],3,FALSE)),"No Existe",VLOOKUP(T_Cuotas[[#This Row],[RUN]],T_Voluntarios[],3,FALSE))</f>
        <v>Trinidad Ferrada González</v>
      </c>
      <c r="C117" s="5">
        <f>IF(ISERROR(VLOOKUP(T_Cuotas[[#This Row],[RUN]],Tabla_Pagos[],7,FALSE)),0,VLOOKUP(T_Cuotas[[#This Row],[RUN]],Tabla_Pagos[],7,FALSE))</f>
        <v>20000</v>
      </c>
      <c r="D117" s="5">
        <f>IF(ISERROR(VLOOKUP(T_Cuotas[[#This Row],[RUN]],Tabla_Pagos[],8,FALSE)),0,VLOOKUP(T_Cuotas[[#This Row],[RUN]],Tabla_Pagos[],8,FALSE))</f>
        <v>15000</v>
      </c>
      <c r="E117" s="5">
        <f>IF(ISERROR(VLOOKUP(T_Cuotas[[#This Row],[RUN]],Tabla_Pagos[],9,FALSE)),0,VLOOKUP(T_Cuotas[[#This Row],[RUN]],Tabla_Pagos[],9,FALSE))</f>
        <v>15000</v>
      </c>
      <c r="F117" s="5">
        <f>T_Cuotas[[#This Row],[Cuota_1]]+T_Cuotas[[#This Row],[Cuota_2]]+T_Cuotas[[#This Row],[Cuota_3]]</f>
        <v>50000</v>
      </c>
      <c r="G117" s="1">
        <f>COUNTIF(T_Cuotas[RUN],T_Cuotas[[#This Row],[RUN]])</f>
        <v>1</v>
      </c>
      <c r="H117" s="5" t="str">
        <f>IF(ISERROR(VLOOKUP(T_Cuotas[[#This Row],[RUN]],T_Voluntarios[],2,FALSE)),"No Existe",VLOOKUP(T_Cuotas[[#This Row],[RUN]],T_Voluntarios[],2,FALSE))</f>
        <v>trinity.pfg@gmail.com</v>
      </c>
      <c r="I117" s="5"/>
      <c r="J117" s="5" t="str">
        <f>IF(ISERROR(VLOOKUP(T_Cuotas[[#This Row],[RUN]],T_Voluntarios[],8,FALSE)),"No Existe",VLOOKUP(T_Cuotas[[#This Row],[RUN]],T_Voluntarios[],8,FALSE))</f>
        <v>+56962470347</v>
      </c>
      <c r="K117" s="5" t="str">
        <f>IF(ISERROR(VLOOKUP(T_Cuotas[[#This Row],[RUN]],T_Voluntarios[],10,FALSE)),"No Existe",VLOOKUP(T_Cuotas[[#This Row],[RUN]],T_Voluntarios[],10,FALSE))</f>
        <v>San Bartolomé</v>
      </c>
      <c r="L117" s="5" t="str">
        <f>IF(ISERROR(VLOOKUP(T_Cuotas[[#This Row],[RUN]],T_Voluntarios[],30,FALSE)),"No Existe",VLOOKUP(T_Cuotas[[#This Row],[RUN]],T_Voluntarios[],30,FALSE))</f>
        <v>Vigente</v>
      </c>
      <c r="M117" s="5" t="str">
        <f>IF(ISERROR(VLOOKUP(T_Cuotas[[#This Row],[RUN]],T_Voluntarios[],13,FALSE)),"No Existe",VLOOKUP(T_Cuotas[[#This Row],[RUN]],T_Voluntarios[],13,FALSE))</f>
        <v>Alimentación Tradicional</v>
      </c>
    </row>
    <row r="118" spans="1:13" x14ac:dyDescent="0.3">
      <c r="A118" s="2" t="s">
        <v>2204</v>
      </c>
      <c r="B118" t="str">
        <f>IF(ISERROR(VLOOKUP(T_Cuotas[[#This Row],[RUN]],T_Voluntarios[],3,FALSE)),"No Existe",VLOOKUP(T_Cuotas[[#This Row],[RUN]],T_Voluntarios[],3,FALSE))</f>
        <v>Fernanda Isidora Salas Perez</v>
      </c>
      <c r="C118" s="5">
        <f>IF(ISERROR(VLOOKUP(T_Cuotas[[#This Row],[RUN]],Tabla_Pagos[],7,FALSE)),0,VLOOKUP(T_Cuotas[[#This Row],[RUN]],Tabla_Pagos[],7,FALSE))</f>
        <v>20000</v>
      </c>
      <c r="D118" s="5">
        <f>IF(ISERROR(VLOOKUP(T_Cuotas[[#This Row],[RUN]],Tabla_Pagos[],8,FALSE)),0,VLOOKUP(T_Cuotas[[#This Row],[RUN]],Tabla_Pagos[],8,FALSE))</f>
        <v>15000</v>
      </c>
      <c r="E118" s="5">
        <f>IF(ISERROR(VLOOKUP(T_Cuotas[[#This Row],[RUN]],Tabla_Pagos[],9,FALSE)),0,VLOOKUP(T_Cuotas[[#This Row],[RUN]],Tabla_Pagos[],9,FALSE))</f>
        <v>15000</v>
      </c>
      <c r="F118" s="5">
        <f>T_Cuotas[[#This Row],[Cuota_1]]+T_Cuotas[[#This Row],[Cuota_2]]+T_Cuotas[[#This Row],[Cuota_3]]</f>
        <v>50000</v>
      </c>
      <c r="G118" s="1">
        <f>COUNTIF(T_Cuotas[RUN],T_Cuotas[[#This Row],[RUN]])</f>
        <v>1</v>
      </c>
      <c r="H118" s="5" t="str">
        <f>IF(ISERROR(VLOOKUP(T_Cuotas[[#This Row],[RUN]],T_Voluntarios[],2,FALSE)),"No Existe",VLOOKUP(T_Cuotas[[#This Row],[RUN]],T_Voluntarios[],2,FALSE))</f>
        <v>fsalas067@gmail.com</v>
      </c>
      <c r="I118" s="5"/>
      <c r="J118" s="5" t="str">
        <f>IF(ISERROR(VLOOKUP(T_Cuotas[[#This Row],[RUN]],T_Voluntarios[],8,FALSE)),"No Existe",VLOOKUP(T_Cuotas[[#This Row],[RUN]],T_Voluntarios[],8,FALSE))</f>
        <v>+56945300995</v>
      </c>
      <c r="K118" s="5" t="str">
        <f>IF(ISERROR(VLOOKUP(T_Cuotas[[#This Row],[RUN]],T_Voluntarios[],10,FALSE)),"No Existe",VLOOKUP(T_Cuotas[[#This Row],[RUN]],T_Voluntarios[],10,FALSE))</f>
        <v>Sagrados Corazones</v>
      </c>
      <c r="L118" s="5" t="str">
        <f>IF(ISERROR(VLOOKUP(T_Cuotas[[#This Row],[RUN]],T_Voluntarios[],30,FALSE)),"No Existe",VLOOKUP(T_Cuotas[[#This Row],[RUN]],T_Voluntarios[],30,FALSE))</f>
        <v>Vigente</v>
      </c>
      <c r="M118" s="5" t="str">
        <f>IF(ISERROR(VLOOKUP(T_Cuotas[[#This Row],[RUN]],T_Voluntarios[],13,FALSE)),"No Existe",VLOOKUP(T_Cuotas[[#This Row],[RUN]],T_Voluntarios[],13,FALSE))</f>
        <v>Alimentación Tradicional</v>
      </c>
    </row>
    <row r="119" spans="1:13" x14ac:dyDescent="0.3">
      <c r="A119" s="2" t="s">
        <v>2289</v>
      </c>
      <c r="B119" t="str">
        <f>IF(ISERROR(VLOOKUP(T_Cuotas[[#This Row],[RUN]],T_Voluntarios[],3,FALSE)),"No Existe",VLOOKUP(T_Cuotas[[#This Row],[RUN]],T_Voluntarios[],3,FALSE))</f>
        <v>Gloria Stephanie Olave Zagal</v>
      </c>
      <c r="C119" s="5">
        <f>IF(ISERROR(VLOOKUP(T_Cuotas[[#This Row],[RUN]],Tabla_Pagos[],7,FALSE)),0,VLOOKUP(T_Cuotas[[#This Row],[RUN]],Tabla_Pagos[],7,FALSE))</f>
        <v>20000</v>
      </c>
      <c r="D119" s="5">
        <f>IF(ISERROR(VLOOKUP(T_Cuotas[[#This Row],[RUN]],Tabla_Pagos[],8,FALSE)),0,VLOOKUP(T_Cuotas[[#This Row],[RUN]],Tabla_Pagos[],8,FALSE))</f>
        <v>15000</v>
      </c>
      <c r="E119" s="5">
        <f>IF(ISERROR(VLOOKUP(T_Cuotas[[#This Row],[RUN]],Tabla_Pagos[],9,FALSE)),0,VLOOKUP(T_Cuotas[[#This Row],[RUN]],Tabla_Pagos[],9,FALSE))</f>
        <v>15000</v>
      </c>
      <c r="F119" s="5">
        <f>T_Cuotas[[#This Row],[Cuota_1]]+T_Cuotas[[#This Row],[Cuota_2]]+T_Cuotas[[#This Row],[Cuota_3]]</f>
        <v>50000</v>
      </c>
      <c r="G119" s="1">
        <f>COUNTIF(T_Cuotas[RUN],T_Cuotas[[#This Row],[RUN]])</f>
        <v>1</v>
      </c>
      <c r="H119" s="5" t="str">
        <f>IF(ISERROR(VLOOKUP(T_Cuotas[[#This Row],[RUN]],T_Voluntarios[],2,FALSE)),"No Existe",VLOOKUP(T_Cuotas[[#This Row],[RUN]],T_Voluntarios[],2,FALSE))</f>
        <v>glorita_021@hotmail.com</v>
      </c>
      <c r="I119" s="5"/>
      <c r="J119" s="5" t="str">
        <f>IF(ISERROR(VLOOKUP(T_Cuotas[[#This Row],[RUN]],T_Voluntarios[],8,FALSE)),"No Existe",VLOOKUP(T_Cuotas[[#This Row],[RUN]],T_Voluntarios[],8,FALSE))</f>
        <v>+56975756741</v>
      </c>
      <c r="K119" s="5" t="str">
        <f>IF(ISERROR(VLOOKUP(T_Cuotas[[#This Row],[RUN]],T_Voluntarios[],10,FALSE)),"No Existe",VLOOKUP(T_Cuotas[[#This Row],[RUN]],T_Voluntarios[],10,FALSE))</f>
        <v>Tricolor Chileno</v>
      </c>
      <c r="L119" s="5" t="str">
        <f>IF(ISERROR(VLOOKUP(T_Cuotas[[#This Row],[RUN]],T_Voluntarios[],30,FALSE)),"No Existe",VLOOKUP(T_Cuotas[[#This Row],[RUN]],T_Voluntarios[],30,FALSE))</f>
        <v>Vigente</v>
      </c>
      <c r="M119" s="5" t="str">
        <f>IF(ISERROR(VLOOKUP(T_Cuotas[[#This Row],[RUN]],T_Voluntarios[],13,FALSE)),"No Existe",VLOOKUP(T_Cuotas[[#This Row],[RUN]],T_Voluntarios[],13,FALSE))</f>
        <v>Alimentación Tradicional</v>
      </c>
    </row>
    <row r="120" spans="1:13" hidden="1" x14ac:dyDescent="0.3">
      <c r="A120" s="2" t="s">
        <v>2346</v>
      </c>
      <c r="B120" t="str">
        <f>IF(ISERROR(VLOOKUP(T_Cuotas[[#This Row],[RUN]],T_Voluntarios[],3,FALSE)),"No Existe",VLOOKUP(T_Cuotas[[#This Row],[RUN]],T_Voluntarios[],3,FALSE))</f>
        <v>Lucas Alfredo Fernández Vega</v>
      </c>
      <c r="C120" s="5">
        <f>IF(ISERROR(VLOOKUP(T_Cuotas[[#This Row],[RUN]],Tabla_Pagos[],7,FALSE)),0,VLOOKUP(T_Cuotas[[#This Row],[RUN]],Tabla_Pagos[],7,FALSE))</f>
        <v>0</v>
      </c>
      <c r="D120" s="5">
        <f>IF(ISERROR(VLOOKUP(T_Cuotas[[#This Row],[RUN]],Tabla_Pagos[],8,FALSE)),0,VLOOKUP(T_Cuotas[[#This Row],[RUN]],Tabla_Pagos[],8,FALSE))</f>
        <v>0</v>
      </c>
      <c r="E120" s="5">
        <f>IF(ISERROR(VLOOKUP(T_Cuotas[[#This Row],[RUN]],Tabla_Pagos[],9,FALSE)),0,VLOOKUP(T_Cuotas[[#This Row],[RUN]],Tabla_Pagos[],9,FALSE))</f>
        <v>0</v>
      </c>
      <c r="F120" s="5">
        <f>T_Cuotas[[#This Row],[Cuota_1]]+T_Cuotas[[#This Row],[Cuota_2]]+T_Cuotas[[#This Row],[Cuota_3]]</f>
        <v>0</v>
      </c>
      <c r="G120" s="1">
        <f>COUNTIF(T_Cuotas[RUN],T_Cuotas[[#This Row],[RUN]])</f>
        <v>1</v>
      </c>
      <c r="H120" s="5" t="str">
        <f>IF(ISERROR(VLOOKUP(T_Cuotas[[#This Row],[RUN]],T_Voluntarios[],2,FALSE)),"No Existe",VLOOKUP(T_Cuotas[[#This Row],[RUN]],T_Voluntarios[],2,FALSE))</f>
        <v>lucasfernandez1314@gmail.com</v>
      </c>
      <c r="I120" s="5"/>
      <c r="J120" s="5" t="str">
        <f>IF(ISERROR(VLOOKUP(T_Cuotas[[#This Row],[RUN]],T_Voluntarios[],8,FALSE)),"No Existe",VLOOKUP(T_Cuotas[[#This Row],[RUN]],T_Voluntarios[],8,FALSE))</f>
        <v>+56933979124</v>
      </c>
      <c r="K120" s="5" t="str">
        <f>IF(ISERROR(VLOOKUP(T_Cuotas[[#This Row],[RUN]],T_Voluntarios[],10,FALSE)),"No Existe",VLOOKUP(T_Cuotas[[#This Row],[RUN]],T_Voluntarios[],10,FALSE))</f>
        <v>San Bartolomé</v>
      </c>
      <c r="L120" s="5" t="str">
        <f>IF(ISERROR(VLOOKUP(T_Cuotas[[#This Row],[RUN]],T_Voluntarios[],30,FALSE)),"No Existe",VLOOKUP(T_Cuotas[[#This Row],[RUN]],T_Voluntarios[],30,FALSE))</f>
        <v>NO Vigente</v>
      </c>
      <c r="M120" s="5" t="str">
        <f>IF(ISERROR(VLOOKUP(T_Cuotas[[#This Row],[RUN]],T_Voluntarios[],13,FALSE)),"No Existe",VLOOKUP(T_Cuotas[[#This Row],[RUN]],T_Voluntarios[],13,FALSE))</f>
        <v>Sin Almuerzo</v>
      </c>
    </row>
    <row r="121" spans="1:13" x14ac:dyDescent="0.3">
      <c r="A121" s="2" t="s">
        <v>2211</v>
      </c>
      <c r="B121" t="str">
        <f>IF(ISERROR(VLOOKUP(T_Cuotas[[#This Row],[RUN]],T_Voluntarios[],3,FALSE)),"No Existe",VLOOKUP(T_Cuotas[[#This Row],[RUN]],T_Voluntarios[],3,FALSE))</f>
        <v>Tamara Patricia Ponss Riffo</v>
      </c>
      <c r="C121" s="5">
        <f>IF(ISERROR(VLOOKUP(T_Cuotas[[#This Row],[RUN]],Tabla_Pagos[],7,FALSE)),0,VLOOKUP(T_Cuotas[[#This Row],[RUN]],Tabla_Pagos[],7,FALSE))</f>
        <v>20000</v>
      </c>
      <c r="D121" s="5">
        <f>IF(ISERROR(VLOOKUP(T_Cuotas[[#This Row],[RUN]],Tabla_Pagos[],8,FALSE)),0,VLOOKUP(T_Cuotas[[#This Row],[RUN]],Tabla_Pagos[],8,FALSE))</f>
        <v>15000</v>
      </c>
      <c r="E121" s="5">
        <f>IF(ISERROR(VLOOKUP(T_Cuotas[[#This Row],[RUN]],Tabla_Pagos[],9,FALSE)),0,VLOOKUP(T_Cuotas[[#This Row],[RUN]],Tabla_Pagos[],9,FALSE))</f>
        <v>15000</v>
      </c>
      <c r="F121" s="5">
        <f>T_Cuotas[[#This Row],[Cuota_1]]+T_Cuotas[[#This Row],[Cuota_2]]+T_Cuotas[[#This Row],[Cuota_3]]</f>
        <v>50000</v>
      </c>
      <c r="G121" s="1">
        <f>COUNTIF(T_Cuotas[RUN],T_Cuotas[[#This Row],[RUN]])</f>
        <v>1</v>
      </c>
      <c r="H121" s="5" t="str">
        <f>IF(ISERROR(VLOOKUP(T_Cuotas[[#This Row],[RUN]],T_Voluntarios[],2,FALSE)),"No Existe",VLOOKUP(T_Cuotas[[#This Row],[RUN]],T_Voluntarios[],2,FALSE))</f>
        <v>tamiponss@gmail.com</v>
      </c>
      <c r="I121" s="5"/>
      <c r="J121" s="5" t="str">
        <f>IF(ISERROR(VLOOKUP(T_Cuotas[[#This Row],[RUN]],T_Voluntarios[],8,FALSE)),"No Existe",VLOOKUP(T_Cuotas[[#This Row],[RUN]],T_Voluntarios[],8,FALSE))</f>
        <v>+56939046628</v>
      </c>
      <c r="K121" s="5" t="str">
        <f>IF(ISERROR(VLOOKUP(T_Cuotas[[#This Row],[RUN]],T_Voluntarios[],10,FALSE)),"No Existe",VLOOKUP(T_Cuotas[[#This Row],[RUN]],T_Voluntarios[],10,FALSE))</f>
        <v>Santa Cecilia</v>
      </c>
      <c r="L121" s="5" t="str">
        <f>IF(ISERROR(VLOOKUP(T_Cuotas[[#This Row],[RUN]],T_Voluntarios[],30,FALSE)),"No Existe",VLOOKUP(T_Cuotas[[#This Row],[RUN]],T_Voluntarios[],30,FALSE))</f>
        <v>Vigente</v>
      </c>
      <c r="M121" s="5" t="str">
        <f>IF(ISERROR(VLOOKUP(T_Cuotas[[#This Row],[RUN]],T_Voluntarios[],13,FALSE)),"No Existe",VLOOKUP(T_Cuotas[[#This Row],[RUN]],T_Voluntarios[],13,FALSE))</f>
        <v>Alimentación Tradicional</v>
      </c>
    </row>
    <row r="122" spans="1:13" x14ac:dyDescent="0.3">
      <c r="A122" s="2" t="s">
        <v>2935</v>
      </c>
      <c r="B122" t="str">
        <f>IF(ISERROR(VLOOKUP(T_Cuotas[[#This Row],[RUN]],T_Voluntarios[],3,FALSE)),"No Existe",VLOOKUP(T_Cuotas[[#This Row],[RUN]],T_Voluntarios[],3,FALSE))</f>
        <v>Nadia Sofía Varela Meza</v>
      </c>
      <c r="C122" s="5">
        <f>IF(ISERROR(VLOOKUP(T_Cuotas[[#This Row],[RUN]],Tabla_Pagos[],7,FALSE)),0,VLOOKUP(T_Cuotas[[#This Row],[RUN]],Tabla_Pagos[],7,FALSE))</f>
        <v>20000</v>
      </c>
      <c r="D122" s="5">
        <f>IF(ISERROR(VLOOKUP(T_Cuotas[[#This Row],[RUN]],Tabla_Pagos[],8,FALSE)),0,VLOOKUP(T_Cuotas[[#This Row],[RUN]],Tabla_Pagos[],8,FALSE))</f>
        <v>15000</v>
      </c>
      <c r="E122" s="5">
        <f>IF(ISERROR(VLOOKUP(T_Cuotas[[#This Row],[RUN]],Tabla_Pagos[],9,FALSE)),0,VLOOKUP(T_Cuotas[[#This Row],[RUN]],Tabla_Pagos[],9,FALSE))</f>
        <v>15000</v>
      </c>
      <c r="F122" s="5">
        <f>T_Cuotas[[#This Row],[Cuota_1]]+T_Cuotas[[#This Row],[Cuota_2]]+T_Cuotas[[#This Row],[Cuota_3]]</f>
        <v>50000</v>
      </c>
      <c r="G122" s="1">
        <f>COUNTIF(T_Cuotas[RUN],T_Cuotas[[#This Row],[RUN]])</f>
        <v>1</v>
      </c>
      <c r="H122" s="5" t="str">
        <f>IF(ISERROR(VLOOKUP(T_Cuotas[[#This Row],[RUN]],T_Voluntarios[],2,FALSE)),"No Existe",VLOOKUP(T_Cuotas[[#This Row],[RUN]],T_Voluntarios[],2,FALSE))</f>
        <v>nadiavarela79@gmail.com</v>
      </c>
      <c r="I122" s="5"/>
      <c r="J122" s="5" t="str">
        <f>IF(ISERROR(VLOOKUP(T_Cuotas[[#This Row],[RUN]],T_Voluntarios[],8,FALSE)),"No Existe",VLOOKUP(T_Cuotas[[#This Row],[RUN]],T_Voluntarios[],8,FALSE))</f>
        <v>+56974975657</v>
      </c>
      <c r="K122" s="5" t="str">
        <f>IF(ISERROR(VLOOKUP(T_Cuotas[[#This Row],[RUN]],T_Voluntarios[],10,FALSE)),"No Existe",VLOOKUP(T_Cuotas[[#This Row],[RUN]],T_Voluntarios[],10,FALSE))</f>
        <v>Tricolor Chileno</v>
      </c>
      <c r="L122" s="5" t="str">
        <f>IF(ISERROR(VLOOKUP(T_Cuotas[[#This Row],[RUN]],T_Voluntarios[],30,FALSE)),"No Existe",VLOOKUP(T_Cuotas[[#This Row],[RUN]],T_Voluntarios[],30,FALSE))</f>
        <v>Vigente</v>
      </c>
      <c r="M122" s="5" t="str">
        <f>IF(ISERROR(VLOOKUP(T_Cuotas[[#This Row],[RUN]],T_Voluntarios[],13,FALSE)),"No Existe",VLOOKUP(T_Cuotas[[#This Row],[RUN]],T_Voluntarios[],13,FALSE))</f>
        <v>Alimentación Tradicional</v>
      </c>
    </row>
    <row r="123" spans="1:13" x14ac:dyDescent="0.3">
      <c r="A123" s="2" t="s">
        <v>2219</v>
      </c>
      <c r="B123" t="str">
        <f>IF(ISERROR(VLOOKUP(T_Cuotas[[#This Row],[RUN]],T_Voluntarios[],3,FALSE)),"No Existe",VLOOKUP(T_Cuotas[[#This Row],[RUN]],T_Voluntarios[],3,FALSE))</f>
        <v>Ignacio Andrés Olivares Hernández</v>
      </c>
      <c r="C123" s="5">
        <f>IF(ISERROR(VLOOKUP(T_Cuotas[[#This Row],[RUN]],Tabla_Pagos[],7,FALSE)),0,VLOOKUP(T_Cuotas[[#This Row],[RUN]],Tabla_Pagos[],7,FALSE))</f>
        <v>20000</v>
      </c>
      <c r="D123" s="5">
        <f>IF(ISERROR(VLOOKUP(T_Cuotas[[#This Row],[RUN]],Tabla_Pagos[],8,FALSE)),0,VLOOKUP(T_Cuotas[[#This Row],[RUN]],Tabla_Pagos[],8,FALSE))</f>
        <v>15000</v>
      </c>
      <c r="E123" s="5">
        <f>IF(ISERROR(VLOOKUP(T_Cuotas[[#This Row],[RUN]],Tabla_Pagos[],9,FALSE)),0,VLOOKUP(T_Cuotas[[#This Row],[RUN]],Tabla_Pagos[],9,FALSE))</f>
        <v>15000</v>
      </c>
      <c r="F123" s="5">
        <f>T_Cuotas[[#This Row],[Cuota_1]]+T_Cuotas[[#This Row],[Cuota_2]]+T_Cuotas[[#This Row],[Cuota_3]]</f>
        <v>50000</v>
      </c>
      <c r="G123" s="1">
        <f>COUNTIF(T_Cuotas[RUN],T_Cuotas[[#This Row],[RUN]])</f>
        <v>1</v>
      </c>
      <c r="H123" s="5" t="str">
        <f>IF(ISERROR(VLOOKUP(T_Cuotas[[#This Row],[RUN]],T_Voluntarios[],2,FALSE)),"No Existe",VLOOKUP(T_Cuotas[[#This Row],[RUN]],T_Voluntarios[],2,FALSE))</f>
        <v>ignacio.olivaresh@gmail.com</v>
      </c>
      <c r="I123" s="5"/>
      <c r="J123" s="5" t="str">
        <f>IF(ISERROR(VLOOKUP(T_Cuotas[[#This Row],[RUN]],T_Voluntarios[],8,FALSE)),"No Existe",VLOOKUP(T_Cuotas[[#This Row],[RUN]],T_Voluntarios[],8,FALSE))</f>
        <v>+56940658180</v>
      </c>
      <c r="K123" s="5" t="str">
        <f>IF(ISERROR(VLOOKUP(T_Cuotas[[#This Row],[RUN]],T_Voluntarios[],10,FALSE)),"No Existe",VLOOKUP(T_Cuotas[[#This Row],[RUN]],T_Voluntarios[],10,FALSE))</f>
        <v>Peulla</v>
      </c>
      <c r="L123" s="5" t="str">
        <f>IF(ISERROR(VLOOKUP(T_Cuotas[[#This Row],[RUN]],T_Voluntarios[],30,FALSE)),"No Existe",VLOOKUP(T_Cuotas[[#This Row],[RUN]],T_Voluntarios[],30,FALSE))</f>
        <v>Vigente</v>
      </c>
      <c r="M123" s="5" t="str">
        <f>IF(ISERROR(VLOOKUP(T_Cuotas[[#This Row],[RUN]],T_Voluntarios[],13,FALSE)),"No Existe",VLOOKUP(T_Cuotas[[#This Row],[RUN]],T_Voluntarios[],13,FALSE))</f>
        <v>Alimentación Tradicional</v>
      </c>
    </row>
    <row r="124" spans="1:13" x14ac:dyDescent="0.3">
      <c r="A124" s="2" t="s">
        <v>2355</v>
      </c>
      <c r="B124" t="str">
        <f>IF(ISERROR(VLOOKUP(T_Cuotas[[#This Row],[RUN]],T_Voluntarios[],3,FALSE)),"No Existe",VLOOKUP(T_Cuotas[[#This Row],[RUN]],T_Voluntarios[],3,FALSE))</f>
        <v>Jari Lorena Leiva Mardones</v>
      </c>
      <c r="C124" s="5">
        <f>IF(ISERROR(VLOOKUP(T_Cuotas[[#This Row],[RUN]],Tabla_Pagos[],7,FALSE)),0,VLOOKUP(T_Cuotas[[#This Row],[RUN]],Tabla_Pagos[],7,FALSE))</f>
        <v>20000</v>
      </c>
      <c r="D124" s="5">
        <f>IF(ISERROR(VLOOKUP(T_Cuotas[[#This Row],[RUN]],Tabla_Pagos[],8,FALSE)),0,VLOOKUP(T_Cuotas[[#This Row],[RUN]],Tabla_Pagos[],8,FALSE))</f>
        <v>15000</v>
      </c>
      <c r="E124" s="5">
        <f>IF(ISERROR(VLOOKUP(T_Cuotas[[#This Row],[RUN]],Tabla_Pagos[],9,FALSE)),0,VLOOKUP(T_Cuotas[[#This Row],[RUN]],Tabla_Pagos[],9,FALSE))</f>
        <v>15000</v>
      </c>
      <c r="F124" s="5">
        <f>T_Cuotas[[#This Row],[Cuota_1]]+T_Cuotas[[#This Row],[Cuota_2]]+T_Cuotas[[#This Row],[Cuota_3]]</f>
        <v>50000</v>
      </c>
      <c r="G124" s="1">
        <f>COUNTIF(T_Cuotas[RUN],T_Cuotas[[#This Row],[RUN]])</f>
        <v>1</v>
      </c>
      <c r="H124" s="5" t="str">
        <f>IF(ISERROR(VLOOKUP(T_Cuotas[[#This Row],[RUN]],T_Voluntarios[],2,FALSE)),"No Existe",VLOOKUP(T_Cuotas[[#This Row],[RUN]],T_Voluntarios[],2,FALSE))</f>
        <v>jarileivam.24@gmail.com</v>
      </c>
      <c r="I124" s="5"/>
      <c r="J124" s="5" t="str">
        <f>IF(ISERROR(VLOOKUP(T_Cuotas[[#This Row],[RUN]],T_Voluntarios[],8,FALSE)),"No Existe",VLOOKUP(T_Cuotas[[#This Row],[RUN]],T_Voluntarios[],8,FALSE))</f>
        <v>+56982795248</v>
      </c>
      <c r="K124" s="5" t="str">
        <f>IF(ISERROR(VLOOKUP(T_Cuotas[[#This Row],[RUN]],T_Voluntarios[],10,FALSE)),"No Existe",VLOOKUP(T_Cuotas[[#This Row],[RUN]],T_Voluntarios[],10,FALSE))</f>
        <v>Mahuidanche</v>
      </c>
      <c r="L124" s="5" t="str">
        <f>IF(ISERROR(VLOOKUP(T_Cuotas[[#This Row],[RUN]],T_Voluntarios[],30,FALSE)),"No Existe",VLOOKUP(T_Cuotas[[#This Row],[RUN]],T_Voluntarios[],30,FALSE))</f>
        <v>Vigente</v>
      </c>
      <c r="M124" s="5" t="str">
        <f>IF(ISERROR(VLOOKUP(T_Cuotas[[#This Row],[RUN]],T_Voluntarios[],13,FALSE)),"No Existe",VLOOKUP(T_Cuotas[[#This Row],[RUN]],T_Voluntarios[],13,FALSE))</f>
        <v>Alimentación Tradicional</v>
      </c>
    </row>
    <row r="125" spans="1:13" x14ac:dyDescent="0.3">
      <c r="A125" s="2" t="s">
        <v>2307</v>
      </c>
      <c r="B125" t="str">
        <f>IF(ISERROR(VLOOKUP(T_Cuotas[[#This Row],[RUN]],T_Voluntarios[],3,FALSE)),"No Existe",VLOOKUP(T_Cuotas[[#This Row],[RUN]],T_Voluntarios[],3,FALSE))</f>
        <v>Daniel Elias Troncoso Riquelme</v>
      </c>
      <c r="C125" s="5">
        <f>IF(ISERROR(VLOOKUP(T_Cuotas[[#This Row],[RUN]],Tabla_Pagos[],7,FALSE)),0,VLOOKUP(T_Cuotas[[#This Row],[RUN]],Tabla_Pagos[],7,FALSE))</f>
        <v>20000</v>
      </c>
      <c r="D125" s="5">
        <f>IF(ISERROR(VLOOKUP(T_Cuotas[[#This Row],[RUN]],Tabla_Pagos[],8,FALSE)),0,VLOOKUP(T_Cuotas[[#This Row],[RUN]],Tabla_Pagos[],8,FALSE))</f>
        <v>15000</v>
      </c>
      <c r="E125" s="5">
        <f>IF(ISERROR(VLOOKUP(T_Cuotas[[#This Row],[RUN]],Tabla_Pagos[],9,FALSE)),0,VLOOKUP(T_Cuotas[[#This Row],[RUN]],Tabla_Pagos[],9,FALSE))</f>
        <v>15000</v>
      </c>
      <c r="F125" s="5">
        <f>T_Cuotas[[#This Row],[Cuota_1]]+T_Cuotas[[#This Row],[Cuota_2]]+T_Cuotas[[#This Row],[Cuota_3]]</f>
        <v>50000</v>
      </c>
      <c r="G125" s="1">
        <f>COUNTIF(T_Cuotas[RUN],T_Cuotas[[#This Row],[RUN]])</f>
        <v>1</v>
      </c>
      <c r="H125" s="5" t="str">
        <f>IF(ISERROR(VLOOKUP(T_Cuotas[[#This Row],[RUN]],T_Voluntarios[],2,FALSE)),"No Existe",VLOOKUP(T_Cuotas[[#This Row],[RUN]],T_Voluntarios[],2,FALSE))</f>
        <v>datroncoso1@gmail.com</v>
      </c>
      <c r="I125" s="5"/>
      <c r="J125" s="5" t="str">
        <f>IF(ISERROR(VLOOKUP(T_Cuotas[[#This Row],[RUN]],T_Voluntarios[],8,FALSE)),"No Existe",VLOOKUP(T_Cuotas[[#This Row],[RUN]],T_Voluntarios[],8,FALSE))</f>
        <v>±56976866115</v>
      </c>
      <c r="K125" s="5" t="str">
        <f>IF(ISERROR(VLOOKUP(T_Cuotas[[#This Row],[RUN]],T_Voluntarios[],10,FALSE)),"No Existe",VLOOKUP(T_Cuotas[[#This Row],[RUN]],T_Voluntarios[],10,FALSE))</f>
        <v>Mahuidanche</v>
      </c>
      <c r="L125" s="5" t="str">
        <f>IF(ISERROR(VLOOKUP(T_Cuotas[[#This Row],[RUN]],T_Voluntarios[],30,FALSE)),"No Existe",VLOOKUP(T_Cuotas[[#This Row],[RUN]],T_Voluntarios[],30,FALSE))</f>
        <v>Vigente</v>
      </c>
      <c r="M125" s="5" t="str">
        <f>IF(ISERROR(VLOOKUP(T_Cuotas[[#This Row],[RUN]],T_Voluntarios[],13,FALSE)),"No Existe",VLOOKUP(T_Cuotas[[#This Row],[RUN]],T_Voluntarios[],13,FALSE))</f>
        <v>Alimentación Tradicional</v>
      </c>
    </row>
    <row r="126" spans="1:13" x14ac:dyDescent="0.3">
      <c r="A126" s="2" t="s">
        <v>2369</v>
      </c>
      <c r="B126" t="str">
        <f>IF(ISERROR(VLOOKUP(T_Cuotas[[#This Row],[RUN]],T_Voluntarios[],3,FALSE)),"No Existe",VLOOKUP(T_Cuotas[[#This Row],[RUN]],T_Voluntarios[],3,FALSE))</f>
        <v>Estephanie Ninette Salamanca Gutiérrez</v>
      </c>
      <c r="C126" s="5">
        <f>IF(ISERROR(VLOOKUP(T_Cuotas[[#This Row],[RUN]],Tabla_Pagos[],7,FALSE)),0,VLOOKUP(T_Cuotas[[#This Row],[RUN]],Tabla_Pagos[],7,FALSE))</f>
        <v>20000</v>
      </c>
      <c r="D126" s="5">
        <f>IF(ISERROR(VLOOKUP(T_Cuotas[[#This Row],[RUN]],Tabla_Pagos[],8,FALSE)),0,VLOOKUP(T_Cuotas[[#This Row],[RUN]],Tabla_Pagos[],8,FALSE))</f>
        <v>15000</v>
      </c>
      <c r="E126" s="5">
        <f>IF(ISERROR(VLOOKUP(T_Cuotas[[#This Row],[RUN]],Tabla_Pagos[],9,FALSE)),0,VLOOKUP(T_Cuotas[[#This Row],[RUN]],Tabla_Pagos[],9,FALSE))</f>
        <v>15000</v>
      </c>
      <c r="F126" s="5">
        <f>T_Cuotas[[#This Row],[Cuota_1]]+T_Cuotas[[#This Row],[Cuota_2]]+T_Cuotas[[#This Row],[Cuota_3]]</f>
        <v>50000</v>
      </c>
      <c r="G126" s="1">
        <f>COUNTIF(T_Cuotas[RUN],T_Cuotas[[#This Row],[RUN]])</f>
        <v>1</v>
      </c>
      <c r="H126" s="5" t="str">
        <f>IF(ISERROR(VLOOKUP(T_Cuotas[[#This Row],[RUN]],T_Voluntarios[],2,FALSE)),"No Existe",VLOOKUP(T_Cuotas[[#This Row],[RUN]],T_Voluntarios[],2,FALSE))</f>
        <v>sgtefhi@gmail.com</v>
      </c>
      <c r="I126" s="5"/>
      <c r="J126" s="5" t="str">
        <f>IF(ISERROR(VLOOKUP(T_Cuotas[[#This Row],[RUN]],T_Voluntarios[],8,FALSE)),"No Existe",VLOOKUP(T_Cuotas[[#This Row],[RUN]],T_Voluntarios[],8,FALSE))</f>
        <v>+56945755832</v>
      </c>
      <c r="K126" s="5" t="str">
        <f>IF(ISERROR(VLOOKUP(T_Cuotas[[#This Row],[RUN]],T_Voluntarios[],10,FALSE)),"No Existe",VLOOKUP(T_Cuotas[[#This Row],[RUN]],T_Voluntarios[],10,FALSE))</f>
        <v>Mahuidanche</v>
      </c>
      <c r="L126" s="5" t="str">
        <f>IF(ISERROR(VLOOKUP(T_Cuotas[[#This Row],[RUN]],T_Voluntarios[],30,FALSE)),"No Existe",VLOOKUP(T_Cuotas[[#This Row],[RUN]],T_Voluntarios[],30,FALSE))</f>
        <v>Vigente</v>
      </c>
      <c r="M126" s="5" t="str">
        <f>IF(ISERROR(VLOOKUP(T_Cuotas[[#This Row],[RUN]],T_Voluntarios[],13,FALSE)),"No Existe",VLOOKUP(T_Cuotas[[#This Row],[RUN]],T_Voluntarios[],13,FALSE))</f>
        <v>Alimentación Tradicional</v>
      </c>
    </row>
    <row r="127" spans="1:13" hidden="1" x14ac:dyDescent="0.3">
      <c r="A127" s="2" t="s">
        <v>2248</v>
      </c>
      <c r="B127" t="str">
        <f>IF(ISERROR(VLOOKUP(T_Cuotas[[#This Row],[RUN]],T_Voluntarios[],3,FALSE)),"No Existe",VLOOKUP(T_Cuotas[[#This Row],[RUN]],T_Voluntarios[],3,FALSE))</f>
        <v>Isidora Ignacia Jara Ceballos</v>
      </c>
      <c r="C127" s="5">
        <f>IF(ISERROR(VLOOKUP(T_Cuotas[[#This Row],[RUN]],Tabla_Pagos[],7,FALSE)),0,VLOOKUP(T_Cuotas[[#This Row],[RUN]],Tabla_Pagos[],7,FALSE))</f>
        <v>0</v>
      </c>
      <c r="D127" s="5">
        <f>IF(ISERROR(VLOOKUP(T_Cuotas[[#This Row],[RUN]],Tabla_Pagos[],8,FALSE)),0,VLOOKUP(T_Cuotas[[#This Row],[RUN]],Tabla_Pagos[],8,FALSE))</f>
        <v>0</v>
      </c>
      <c r="E127" s="5">
        <f>IF(ISERROR(VLOOKUP(T_Cuotas[[#This Row],[RUN]],Tabla_Pagos[],9,FALSE)),0,VLOOKUP(T_Cuotas[[#This Row],[RUN]],Tabla_Pagos[],9,FALSE))</f>
        <v>0</v>
      </c>
      <c r="F127" s="5">
        <f>T_Cuotas[[#This Row],[Cuota_1]]+T_Cuotas[[#This Row],[Cuota_2]]+T_Cuotas[[#This Row],[Cuota_3]]</f>
        <v>0</v>
      </c>
      <c r="G127" s="1">
        <f>COUNTIF(T_Cuotas[RUN],T_Cuotas[[#This Row],[RUN]])</f>
        <v>1</v>
      </c>
      <c r="H127" s="5" t="str">
        <f>IF(ISERROR(VLOOKUP(T_Cuotas[[#This Row],[RUN]],T_Voluntarios[],2,FALSE)),"No Existe",VLOOKUP(T_Cuotas[[#This Row],[RUN]],T_Voluntarios[],2,FALSE))</f>
        <v>isidorajara1910@gmail.com</v>
      </c>
      <c r="I127" s="5"/>
      <c r="J127" s="5" t="str">
        <f>IF(ISERROR(VLOOKUP(T_Cuotas[[#This Row],[RUN]],T_Voluntarios[],8,FALSE)),"No Existe",VLOOKUP(T_Cuotas[[#This Row],[RUN]],T_Voluntarios[],8,FALSE))</f>
        <v>+56998999503</v>
      </c>
      <c r="K127" s="5" t="str">
        <f>IF(ISERROR(VLOOKUP(T_Cuotas[[#This Row],[RUN]],T_Voluntarios[],10,FALSE)),"No Existe",VLOOKUP(T_Cuotas[[#This Row],[RUN]],T_Voluntarios[],10,FALSE))</f>
        <v>Peulla</v>
      </c>
      <c r="L127" s="5" t="str">
        <f>IF(ISERROR(VLOOKUP(T_Cuotas[[#This Row],[RUN]],T_Voluntarios[],30,FALSE)),"No Existe",VLOOKUP(T_Cuotas[[#This Row],[RUN]],T_Voluntarios[],30,FALSE))</f>
        <v>NO Vigente</v>
      </c>
      <c r="M127" s="5" t="str">
        <f>IF(ISERROR(VLOOKUP(T_Cuotas[[#This Row],[RUN]],T_Voluntarios[],13,FALSE)),"No Existe",VLOOKUP(T_Cuotas[[#This Row],[RUN]],T_Voluntarios[],13,FALSE))</f>
        <v>Sin Almuerzo</v>
      </c>
    </row>
    <row r="128" spans="1:13" x14ac:dyDescent="0.3">
      <c r="A128" s="2" t="s">
        <v>2258</v>
      </c>
      <c r="B128" t="str">
        <f>IF(ISERROR(VLOOKUP(T_Cuotas[[#This Row],[RUN]],T_Voluntarios[],3,FALSE)),"No Existe",VLOOKUP(T_Cuotas[[#This Row],[RUN]],T_Voluntarios[],3,FALSE))</f>
        <v>Daniel Alonso Sandoval Villanueva</v>
      </c>
      <c r="C128" s="5">
        <f>IF(ISERROR(VLOOKUP(T_Cuotas[[#This Row],[RUN]],Tabla_Pagos[],7,FALSE)),0,VLOOKUP(T_Cuotas[[#This Row],[RUN]],Tabla_Pagos[],7,FALSE))</f>
        <v>20000</v>
      </c>
      <c r="D128" s="5">
        <f>IF(ISERROR(VLOOKUP(T_Cuotas[[#This Row],[RUN]],Tabla_Pagos[],8,FALSE)),0,VLOOKUP(T_Cuotas[[#This Row],[RUN]],Tabla_Pagos[],8,FALSE))</f>
        <v>15000</v>
      </c>
      <c r="E128" s="5">
        <f>IF(ISERROR(VLOOKUP(T_Cuotas[[#This Row],[RUN]],Tabla_Pagos[],9,FALSE)),0,VLOOKUP(T_Cuotas[[#This Row],[RUN]],Tabla_Pagos[],9,FALSE))</f>
        <v>15000</v>
      </c>
      <c r="F128" s="5">
        <f>T_Cuotas[[#This Row],[Cuota_1]]+T_Cuotas[[#This Row],[Cuota_2]]+T_Cuotas[[#This Row],[Cuota_3]]</f>
        <v>50000</v>
      </c>
      <c r="G128" s="1">
        <f>COUNTIF(T_Cuotas[RUN],T_Cuotas[[#This Row],[RUN]])</f>
        <v>1</v>
      </c>
      <c r="H128" s="5" t="str">
        <f>IF(ISERROR(VLOOKUP(T_Cuotas[[#This Row],[RUN]],T_Voluntarios[],2,FALSE)),"No Existe",VLOOKUP(T_Cuotas[[#This Row],[RUN]],T_Voluntarios[],2,FALSE))</f>
        <v>danielyn10@gmail.com</v>
      </c>
      <c r="I128" s="5"/>
      <c r="J128" s="5" t="str">
        <f>IF(ISERROR(VLOOKUP(T_Cuotas[[#This Row],[RUN]],T_Voluntarios[],8,FALSE)),"No Existe",VLOOKUP(T_Cuotas[[#This Row],[RUN]],T_Voluntarios[],8,FALSE))</f>
        <v>+56944550102</v>
      </c>
      <c r="K128" s="5" t="str">
        <f>IF(ISERROR(VLOOKUP(T_Cuotas[[#This Row],[RUN]],T_Voluntarios[],10,FALSE)),"No Existe",VLOOKUP(T_Cuotas[[#This Row],[RUN]],T_Voluntarios[],10,FALSE))</f>
        <v>Mahuidanche</v>
      </c>
      <c r="L128" s="5" t="str">
        <f>IF(ISERROR(VLOOKUP(T_Cuotas[[#This Row],[RUN]],T_Voluntarios[],30,FALSE)),"No Existe",VLOOKUP(T_Cuotas[[#This Row],[RUN]],T_Voluntarios[],30,FALSE))</f>
        <v>Vigente</v>
      </c>
      <c r="M128" s="5" t="str">
        <f>IF(ISERROR(VLOOKUP(T_Cuotas[[#This Row],[RUN]],T_Voluntarios[],13,FALSE)),"No Existe",VLOOKUP(T_Cuotas[[#This Row],[RUN]],T_Voluntarios[],13,FALSE))</f>
        <v>Alimentación Tradicional</v>
      </c>
    </row>
    <row r="129" spans="1:13" x14ac:dyDescent="0.3">
      <c r="A129" s="2" t="s">
        <v>2280</v>
      </c>
      <c r="B129" t="str">
        <f>IF(ISERROR(VLOOKUP(T_Cuotas[[#This Row],[RUN]],T_Voluntarios[],3,FALSE)),"No Existe",VLOOKUP(T_Cuotas[[#This Row],[RUN]],T_Voluntarios[],3,FALSE))</f>
        <v>Jaime Antonio Sanhueza Orostica</v>
      </c>
      <c r="C129" s="5">
        <f>IF(ISERROR(VLOOKUP(T_Cuotas[[#This Row],[RUN]],Tabla_Pagos[],7,FALSE)),0,VLOOKUP(T_Cuotas[[#This Row],[RUN]],Tabla_Pagos[],7,FALSE))</f>
        <v>20000</v>
      </c>
      <c r="D129" s="5">
        <f>IF(ISERROR(VLOOKUP(T_Cuotas[[#This Row],[RUN]],Tabla_Pagos[],8,FALSE)),0,VLOOKUP(T_Cuotas[[#This Row],[RUN]],Tabla_Pagos[],8,FALSE))</f>
        <v>15000</v>
      </c>
      <c r="E129" s="5">
        <f>IF(ISERROR(VLOOKUP(T_Cuotas[[#This Row],[RUN]],Tabla_Pagos[],9,FALSE)),0,VLOOKUP(T_Cuotas[[#This Row],[RUN]],Tabla_Pagos[],9,FALSE))</f>
        <v>15000</v>
      </c>
      <c r="F129" s="5">
        <f>T_Cuotas[[#This Row],[Cuota_1]]+T_Cuotas[[#This Row],[Cuota_2]]+T_Cuotas[[#This Row],[Cuota_3]]</f>
        <v>50000</v>
      </c>
      <c r="G129" s="1">
        <f>COUNTIF(T_Cuotas[RUN],T_Cuotas[[#This Row],[RUN]])</f>
        <v>1</v>
      </c>
      <c r="H129" s="5" t="str">
        <f>IF(ISERROR(VLOOKUP(T_Cuotas[[#This Row],[RUN]],T_Voluntarios[],2,FALSE)),"No Existe",VLOOKUP(T_Cuotas[[#This Row],[RUN]],T_Voluntarios[],2,FALSE))</f>
        <v>jaimesanhueza249@gmail.com</v>
      </c>
      <c r="I129" s="5"/>
      <c r="J129" s="5" t="str">
        <f>IF(ISERROR(VLOOKUP(T_Cuotas[[#This Row],[RUN]],T_Voluntarios[],8,FALSE)),"No Existe",VLOOKUP(T_Cuotas[[#This Row],[RUN]],T_Voluntarios[],8,FALSE))</f>
        <v>+56952186469</v>
      </c>
      <c r="K129" s="5" t="str">
        <f>IF(ISERROR(VLOOKUP(T_Cuotas[[#This Row],[RUN]],T_Voluntarios[],10,FALSE)),"No Existe",VLOOKUP(T_Cuotas[[#This Row],[RUN]],T_Voluntarios[],10,FALSE))</f>
        <v>Mahuidanche</v>
      </c>
      <c r="L129" s="5" t="str">
        <f>IF(ISERROR(VLOOKUP(T_Cuotas[[#This Row],[RUN]],T_Voluntarios[],30,FALSE)),"No Existe",VLOOKUP(T_Cuotas[[#This Row],[RUN]],T_Voluntarios[],30,FALSE))</f>
        <v>Vigente</v>
      </c>
      <c r="M129" s="5" t="str">
        <f>IF(ISERROR(VLOOKUP(T_Cuotas[[#This Row],[RUN]],T_Voluntarios[],13,FALSE)),"No Existe",VLOOKUP(T_Cuotas[[#This Row],[RUN]],T_Voluntarios[],13,FALSE))</f>
        <v>Alimentación Tradicional</v>
      </c>
    </row>
    <row r="130" spans="1:13" x14ac:dyDescent="0.3">
      <c r="A130" s="2" t="s">
        <v>2267</v>
      </c>
      <c r="B130" t="str">
        <f>IF(ISERROR(VLOOKUP(T_Cuotas[[#This Row],[RUN]],T_Voluntarios[],3,FALSE)),"No Existe",VLOOKUP(T_Cuotas[[#This Row],[RUN]],T_Voluntarios[],3,FALSE))</f>
        <v>Constanza Javiera Muñoz Bello</v>
      </c>
      <c r="C130" s="5">
        <f>IF(ISERROR(VLOOKUP(T_Cuotas[[#This Row],[RUN]],Tabla_Pagos[],7,FALSE)),0,VLOOKUP(T_Cuotas[[#This Row],[RUN]],Tabla_Pagos[],7,FALSE))</f>
        <v>20000</v>
      </c>
      <c r="D130" s="5">
        <f>IF(ISERROR(VLOOKUP(T_Cuotas[[#This Row],[RUN]],Tabla_Pagos[],8,FALSE)),0,VLOOKUP(T_Cuotas[[#This Row],[RUN]],Tabla_Pagos[],8,FALSE))</f>
        <v>15000</v>
      </c>
      <c r="E130" s="5">
        <f>IF(ISERROR(VLOOKUP(T_Cuotas[[#This Row],[RUN]],Tabla_Pagos[],9,FALSE)),0,VLOOKUP(T_Cuotas[[#This Row],[RUN]],Tabla_Pagos[],9,FALSE))</f>
        <v>15000</v>
      </c>
      <c r="F130" s="5">
        <f>T_Cuotas[[#This Row],[Cuota_1]]+T_Cuotas[[#This Row],[Cuota_2]]+T_Cuotas[[#This Row],[Cuota_3]]</f>
        <v>50000</v>
      </c>
      <c r="G130" s="1">
        <f>COUNTIF(T_Cuotas[RUN],T_Cuotas[[#This Row],[RUN]])</f>
        <v>1</v>
      </c>
      <c r="H130" s="5" t="str">
        <f>IF(ISERROR(VLOOKUP(T_Cuotas[[#This Row],[RUN]],T_Voluntarios[],2,FALSE)),"No Existe",VLOOKUP(T_Cuotas[[#This Row],[RUN]],T_Voluntarios[],2,FALSE))</f>
        <v>coniimu@gmail.com</v>
      </c>
      <c r="I130" s="5"/>
      <c r="J130" s="5" t="str">
        <f>IF(ISERROR(VLOOKUP(T_Cuotas[[#This Row],[RUN]],T_Voluntarios[],8,FALSE)),"No Existe",VLOOKUP(T_Cuotas[[#This Row],[RUN]],T_Voluntarios[],8,FALSE))</f>
        <v>+56965963744</v>
      </c>
      <c r="K130" s="5" t="str">
        <f>IF(ISERROR(VLOOKUP(T_Cuotas[[#This Row],[RUN]],T_Voluntarios[],10,FALSE)),"No Existe",VLOOKUP(T_Cuotas[[#This Row],[RUN]],T_Voluntarios[],10,FALSE))</f>
        <v>Sagrados Corazones</v>
      </c>
      <c r="L130" s="5" t="str">
        <f>IF(ISERROR(VLOOKUP(T_Cuotas[[#This Row],[RUN]],T_Voluntarios[],30,FALSE)),"No Existe",VLOOKUP(T_Cuotas[[#This Row],[RUN]],T_Voluntarios[],30,FALSE))</f>
        <v>Vigente</v>
      </c>
      <c r="M130" s="5" t="str">
        <f>IF(ISERROR(VLOOKUP(T_Cuotas[[#This Row],[RUN]],T_Voluntarios[],13,FALSE)),"No Existe",VLOOKUP(T_Cuotas[[#This Row],[RUN]],T_Voluntarios[],13,FALSE))</f>
        <v>Alimentación Tradicional</v>
      </c>
    </row>
    <row r="131" spans="1:13" x14ac:dyDescent="0.3">
      <c r="A131" s="2" t="s">
        <v>2380</v>
      </c>
      <c r="B131" t="str">
        <f>IF(ISERROR(VLOOKUP(T_Cuotas[[#This Row],[RUN]],T_Voluntarios[],3,FALSE)),"No Existe",VLOOKUP(T_Cuotas[[#This Row],[RUN]],T_Voluntarios[],3,FALSE))</f>
        <v>Ayannís Mara Venegas Vargas</v>
      </c>
      <c r="C131" s="5">
        <f>IF(ISERROR(VLOOKUP(T_Cuotas[[#This Row],[RUN]],Tabla_Pagos[],7,FALSE)),0,VLOOKUP(T_Cuotas[[#This Row],[RUN]],Tabla_Pagos[],7,FALSE))</f>
        <v>20000</v>
      </c>
      <c r="D131" s="5">
        <f>IF(ISERROR(VLOOKUP(T_Cuotas[[#This Row],[RUN]],Tabla_Pagos[],8,FALSE)),0,VLOOKUP(T_Cuotas[[#This Row],[RUN]],Tabla_Pagos[],8,FALSE))</f>
        <v>15000</v>
      </c>
      <c r="E131" s="5">
        <f>IF(ISERROR(VLOOKUP(T_Cuotas[[#This Row],[RUN]],Tabla_Pagos[],9,FALSE)),0,VLOOKUP(T_Cuotas[[#This Row],[RUN]],Tabla_Pagos[],9,FALSE))</f>
        <v>15000</v>
      </c>
      <c r="F131" s="5">
        <f>T_Cuotas[[#This Row],[Cuota_1]]+T_Cuotas[[#This Row],[Cuota_2]]+T_Cuotas[[#This Row],[Cuota_3]]</f>
        <v>50000</v>
      </c>
      <c r="G131" s="1">
        <f>COUNTIF(T_Cuotas[RUN],T_Cuotas[[#This Row],[RUN]])</f>
        <v>1</v>
      </c>
      <c r="H131" s="5" t="str">
        <f>IF(ISERROR(VLOOKUP(T_Cuotas[[#This Row],[RUN]],T_Voluntarios[],2,FALSE)),"No Existe",VLOOKUP(T_Cuotas[[#This Row],[RUN]],T_Voluntarios[],2,FALSE))</f>
        <v>ayannisvenegas@gmail.com</v>
      </c>
      <c r="I131" s="5"/>
      <c r="J131" s="5" t="str">
        <f>IF(ISERROR(VLOOKUP(T_Cuotas[[#This Row],[RUN]],T_Voluntarios[],8,FALSE)),"No Existe",VLOOKUP(T_Cuotas[[#This Row],[RUN]],T_Voluntarios[],8,FALSE))</f>
        <v>+56926324484</v>
      </c>
      <c r="K131" s="5" t="str">
        <f>IF(ISERROR(VLOOKUP(T_Cuotas[[#This Row],[RUN]],T_Voluntarios[],10,FALSE)),"No Existe",VLOOKUP(T_Cuotas[[#This Row],[RUN]],T_Voluntarios[],10,FALSE))</f>
        <v>PADRE ISMAEL CRUZ</v>
      </c>
      <c r="L131" s="5" t="str">
        <f>IF(ISERROR(VLOOKUP(T_Cuotas[[#This Row],[RUN]],T_Voluntarios[],30,FALSE)),"No Existe",VLOOKUP(T_Cuotas[[#This Row],[RUN]],T_Voluntarios[],30,FALSE))</f>
        <v>Vigente</v>
      </c>
      <c r="M131" s="5" t="str">
        <f>IF(ISERROR(VLOOKUP(T_Cuotas[[#This Row],[RUN]],T_Voluntarios[],13,FALSE)),"No Existe",VLOOKUP(T_Cuotas[[#This Row],[RUN]],T_Voluntarios[],13,FALSE))</f>
        <v>Alimentación Tradicional</v>
      </c>
    </row>
    <row r="132" spans="1:13" x14ac:dyDescent="0.3">
      <c r="A132" s="2" t="s">
        <v>2397</v>
      </c>
      <c r="B132" t="str">
        <f>IF(ISERROR(VLOOKUP(T_Cuotas[[#This Row],[RUN]],T_Voluntarios[],3,FALSE)),"No Existe",VLOOKUP(T_Cuotas[[#This Row],[RUN]],T_Voluntarios[],3,FALSE))</f>
        <v>Matías Alejandro Castro Essmann</v>
      </c>
      <c r="C132" s="5">
        <f>IF(ISERROR(VLOOKUP(T_Cuotas[[#This Row],[RUN]],Tabla_Pagos[],7,FALSE)),0,VLOOKUP(T_Cuotas[[#This Row],[RUN]],Tabla_Pagos[],7,FALSE))</f>
        <v>20000</v>
      </c>
      <c r="D132" s="5">
        <f>IF(ISERROR(VLOOKUP(T_Cuotas[[#This Row],[RUN]],Tabla_Pagos[],8,FALSE)),0,VLOOKUP(T_Cuotas[[#This Row],[RUN]],Tabla_Pagos[],8,FALSE))</f>
        <v>15000</v>
      </c>
      <c r="E132" s="5">
        <f>IF(ISERROR(VLOOKUP(T_Cuotas[[#This Row],[RUN]],Tabla_Pagos[],9,FALSE)),0,VLOOKUP(T_Cuotas[[#This Row],[RUN]],Tabla_Pagos[],9,FALSE))</f>
        <v>15000</v>
      </c>
      <c r="F132" s="5">
        <f>T_Cuotas[[#This Row],[Cuota_1]]+T_Cuotas[[#This Row],[Cuota_2]]+T_Cuotas[[#This Row],[Cuota_3]]</f>
        <v>50000</v>
      </c>
      <c r="G132" s="1">
        <f>COUNTIF(T_Cuotas[RUN],T_Cuotas[[#This Row],[RUN]])</f>
        <v>1</v>
      </c>
      <c r="H132" s="5" t="str">
        <f>IF(ISERROR(VLOOKUP(T_Cuotas[[#This Row],[RUN]],T_Voluntarios[],2,FALSE)),"No Existe",VLOOKUP(T_Cuotas[[#This Row],[RUN]],T_Voluntarios[],2,FALSE))</f>
        <v>matiasessmann@gmail.com</v>
      </c>
      <c r="I132" s="5"/>
      <c r="J132" s="5" t="str">
        <f>IF(ISERROR(VLOOKUP(T_Cuotas[[#This Row],[RUN]],T_Voluntarios[],8,FALSE)),"No Existe",VLOOKUP(T_Cuotas[[#This Row],[RUN]],T_Voluntarios[],8,FALSE))</f>
        <v>+56944723273</v>
      </c>
      <c r="K132" s="5" t="str">
        <f>IF(ISERROR(VLOOKUP(T_Cuotas[[#This Row],[RUN]],T_Voluntarios[],10,FALSE)),"No Existe",VLOOKUP(T_Cuotas[[#This Row],[RUN]],T_Voluntarios[],10,FALSE))</f>
        <v>Sagrados Corazones</v>
      </c>
      <c r="L132" s="5" t="str">
        <f>IF(ISERROR(VLOOKUP(T_Cuotas[[#This Row],[RUN]],T_Voluntarios[],30,FALSE)),"No Existe",VLOOKUP(T_Cuotas[[#This Row],[RUN]],T_Voluntarios[],30,FALSE))</f>
        <v>Vigente</v>
      </c>
      <c r="M132" s="5" t="str">
        <f>IF(ISERROR(VLOOKUP(T_Cuotas[[#This Row],[RUN]],T_Voluntarios[],13,FALSE)),"No Existe",VLOOKUP(T_Cuotas[[#This Row],[RUN]],T_Voluntarios[],13,FALSE))</f>
        <v>Alimentación Tradicional</v>
      </c>
    </row>
    <row r="133" spans="1:13" x14ac:dyDescent="0.3">
      <c r="A133" s="2" t="s">
        <v>2605</v>
      </c>
      <c r="B133" t="str">
        <f>IF(ISERROR(VLOOKUP(T_Cuotas[[#This Row],[RUN]],T_Voluntarios[],3,FALSE)),"No Existe",VLOOKUP(T_Cuotas[[#This Row],[RUN]],T_Voluntarios[],3,FALSE))</f>
        <v>Lorenzo Rodrigo Bizama Muñoz</v>
      </c>
      <c r="C133" s="5">
        <f>IF(ISERROR(VLOOKUP(T_Cuotas[[#This Row],[RUN]],Tabla_Pagos[],7,FALSE)),0,VLOOKUP(T_Cuotas[[#This Row],[RUN]],Tabla_Pagos[],7,FALSE))</f>
        <v>20000</v>
      </c>
      <c r="D133" s="5">
        <f>IF(ISERROR(VLOOKUP(T_Cuotas[[#This Row],[RUN]],Tabla_Pagos[],8,FALSE)),0,VLOOKUP(T_Cuotas[[#This Row],[RUN]],Tabla_Pagos[],8,FALSE))</f>
        <v>15000</v>
      </c>
      <c r="E133" s="5">
        <f>IF(ISERROR(VLOOKUP(T_Cuotas[[#This Row],[RUN]],Tabla_Pagos[],9,FALSE)),0,VLOOKUP(T_Cuotas[[#This Row],[RUN]],Tabla_Pagos[],9,FALSE))</f>
        <v>15000</v>
      </c>
      <c r="F133" s="5">
        <f>T_Cuotas[[#This Row],[Cuota_1]]+T_Cuotas[[#This Row],[Cuota_2]]+T_Cuotas[[#This Row],[Cuota_3]]</f>
        <v>50000</v>
      </c>
      <c r="G133" s="1">
        <f>COUNTIF(T_Cuotas[RUN],T_Cuotas[[#This Row],[RUN]])</f>
        <v>1</v>
      </c>
      <c r="H133" s="5" t="str">
        <f>IF(ISERROR(VLOOKUP(T_Cuotas[[#This Row],[RUN]],T_Voluntarios[],2,FALSE)),"No Existe",VLOOKUP(T_Cuotas[[#This Row],[RUN]],T_Voluntarios[],2,FALSE))</f>
        <v>pilotobizama@gmail.com</v>
      </c>
      <c r="I133" s="5"/>
      <c r="J133" s="5" t="str">
        <f>IF(ISERROR(VLOOKUP(T_Cuotas[[#This Row],[RUN]],T_Voluntarios[],8,FALSE)),"No Existe",VLOOKUP(T_Cuotas[[#This Row],[RUN]],T_Voluntarios[],8,FALSE))</f>
        <v>+56953737037</v>
      </c>
      <c r="K133" s="5" t="str">
        <f>IF(ISERROR(VLOOKUP(T_Cuotas[[#This Row],[RUN]],T_Voluntarios[],10,FALSE)),"No Existe",VLOOKUP(T_Cuotas[[#This Row],[RUN]],T_Voluntarios[],10,FALSE))</f>
        <v>Tricolor Chileno</v>
      </c>
      <c r="L133" s="5" t="str">
        <f>IF(ISERROR(VLOOKUP(T_Cuotas[[#This Row],[RUN]],T_Voluntarios[],30,FALSE)),"No Existe",VLOOKUP(T_Cuotas[[#This Row],[RUN]],T_Voluntarios[],30,FALSE))</f>
        <v>Vigente</v>
      </c>
      <c r="M133" s="5" t="str">
        <f>IF(ISERROR(VLOOKUP(T_Cuotas[[#This Row],[RUN]],T_Voluntarios[],13,FALSE)),"No Existe",VLOOKUP(T_Cuotas[[#This Row],[RUN]],T_Voluntarios[],13,FALSE))</f>
        <v>Alimentación Tradicional</v>
      </c>
    </row>
    <row r="134" spans="1:13" hidden="1" x14ac:dyDescent="0.3">
      <c r="A134" s="2" t="s">
        <v>2408</v>
      </c>
      <c r="B134" t="str">
        <f>IF(ISERROR(VLOOKUP(T_Cuotas[[#This Row],[RUN]],T_Voluntarios[],3,FALSE)),"No Existe",VLOOKUP(T_Cuotas[[#This Row],[RUN]],T_Voluntarios[],3,FALSE))</f>
        <v>Renata Belen Ramirez Merino</v>
      </c>
      <c r="C134" s="5">
        <f>IF(ISERROR(VLOOKUP(T_Cuotas[[#This Row],[RUN]],Tabla_Pagos[],7,FALSE)),0,VLOOKUP(T_Cuotas[[#This Row],[RUN]],Tabla_Pagos[],7,FALSE))</f>
        <v>0</v>
      </c>
      <c r="D134" s="5">
        <f>IF(ISERROR(VLOOKUP(T_Cuotas[[#This Row],[RUN]],Tabla_Pagos[],8,FALSE)),0,VLOOKUP(T_Cuotas[[#This Row],[RUN]],Tabla_Pagos[],8,FALSE))</f>
        <v>0</v>
      </c>
      <c r="E134" s="5">
        <f>IF(ISERROR(VLOOKUP(T_Cuotas[[#This Row],[RUN]],Tabla_Pagos[],9,FALSE)),0,VLOOKUP(T_Cuotas[[#This Row],[RUN]],Tabla_Pagos[],9,FALSE))</f>
        <v>0</v>
      </c>
      <c r="F134" s="5">
        <f>T_Cuotas[[#This Row],[Cuota_1]]+T_Cuotas[[#This Row],[Cuota_2]]+T_Cuotas[[#This Row],[Cuota_3]]</f>
        <v>0</v>
      </c>
      <c r="G134" s="1">
        <f>COUNTIF(T_Cuotas[RUN],T_Cuotas[[#This Row],[RUN]])</f>
        <v>1</v>
      </c>
      <c r="H134" s="5" t="str">
        <f>IF(ISERROR(VLOOKUP(T_Cuotas[[#This Row],[RUN]],T_Voluntarios[],2,FALSE)),"No Existe",VLOOKUP(T_Cuotas[[#This Row],[RUN]],T_Voluntarios[],2,FALSE))</f>
        <v>renata.belen.ramirez@gmail.com</v>
      </c>
      <c r="I134" s="5"/>
      <c r="J134" s="5" t="str">
        <f>IF(ISERROR(VLOOKUP(T_Cuotas[[#This Row],[RUN]],T_Voluntarios[],8,FALSE)),"No Existe",VLOOKUP(T_Cuotas[[#This Row],[RUN]],T_Voluntarios[],8,FALSE))</f>
        <v>+56971088769</v>
      </c>
      <c r="K134" s="5" t="str">
        <f>IF(ISERROR(VLOOKUP(T_Cuotas[[#This Row],[RUN]],T_Voluntarios[],10,FALSE)),"No Existe",VLOOKUP(T_Cuotas[[#This Row],[RUN]],T_Voluntarios[],10,FALSE))</f>
        <v>Sagrados Corazones</v>
      </c>
      <c r="L134" s="5" t="str">
        <f>IF(ISERROR(VLOOKUP(T_Cuotas[[#This Row],[RUN]],T_Voluntarios[],30,FALSE)),"No Existe",VLOOKUP(T_Cuotas[[#This Row],[RUN]],T_Voluntarios[],30,FALSE))</f>
        <v>NO Vigente</v>
      </c>
      <c r="M134" s="5" t="str">
        <f>IF(ISERROR(VLOOKUP(T_Cuotas[[#This Row],[RUN]],T_Voluntarios[],13,FALSE)),"No Existe",VLOOKUP(T_Cuotas[[#This Row],[RUN]],T_Voluntarios[],13,FALSE))</f>
        <v>Alimentación Tradicional</v>
      </c>
    </row>
    <row r="135" spans="1:13" hidden="1" x14ac:dyDescent="0.3">
      <c r="A135" s="2" t="s">
        <v>2639</v>
      </c>
      <c r="B135" t="str">
        <f>IF(ISERROR(VLOOKUP(T_Cuotas[[#This Row],[RUN]],T_Voluntarios[],3,FALSE)),"No Existe",VLOOKUP(T_Cuotas[[#This Row],[RUN]],T_Voluntarios[],3,FALSE))</f>
        <v>Bárbara Catalina Márquez Rivas</v>
      </c>
      <c r="C135" s="5">
        <f>IF(ISERROR(VLOOKUP(T_Cuotas[[#This Row],[RUN]],Tabla_Pagos[],7,FALSE)),0,VLOOKUP(T_Cuotas[[#This Row],[RUN]],Tabla_Pagos[],7,FALSE))</f>
        <v>0</v>
      </c>
      <c r="D135" s="5">
        <f>IF(ISERROR(VLOOKUP(T_Cuotas[[#This Row],[RUN]],Tabla_Pagos[],8,FALSE)),0,VLOOKUP(T_Cuotas[[#This Row],[RUN]],Tabla_Pagos[],8,FALSE))</f>
        <v>0</v>
      </c>
      <c r="E135" s="5">
        <f>IF(ISERROR(VLOOKUP(T_Cuotas[[#This Row],[RUN]],Tabla_Pagos[],9,FALSE)),0,VLOOKUP(T_Cuotas[[#This Row],[RUN]],Tabla_Pagos[],9,FALSE))</f>
        <v>0</v>
      </c>
      <c r="F135" s="5">
        <f>T_Cuotas[[#This Row],[Cuota_1]]+T_Cuotas[[#This Row],[Cuota_2]]+T_Cuotas[[#This Row],[Cuota_3]]</f>
        <v>0</v>
      </c>
      <c r="G135" s="1">
        <f>COUNTIF(T_Cuotas[RUN],T_Cuotas[[#This Row],[RUN]])</f>
        <v>1</v>
      </c>
      <c r="H135" s="5" t="str">
        <f>IF(ISERROR(VLOOKUP(T_Cuotas[[#This Row],[RUN]],T_Voluntarios[],2,FALSE)),"No Existe",VLOOKUP(T_Cuotas[[#This Row],[RUN]],T_Voluntarios[],2,FALSE))</f>
        <v>marquezbarbara2018@gmail.com</v>
      </c>
      <c r="I135" s="5"/>
      <c r="J135" s="5" t="str">
        <f>IF(ISERROR(VLOOKUP(T_Cuotas[[#This Row],[RUN]],T_Voluntarios[],8,FALSE)),"No Existe",VLOOKUP(T_Cuotas[[#This Row],[RUN]],T_Voluntarios[],8,FALSE))</f>
        <v>+56933969452</v>
      </c>
      <c r="K135" s="5" t="str">
        <f>IF(ISERROR(VLOOKUP(T_Cuotas[[#This Row],[RUN]],T_Voluntarios[],10,FALSE)),"No Existe",VLOOKUP(T_Cuotas[[#This Row],[RUN]],T_Voluntarios[],10,FALSE))</f>
        <v>Sagrada Familia</v>
      </c>
      <c r="L135" s="5" t="str">
        <f>IF(ISERROR(VLOOKUP(T_Cuotas[[#This Row],[RUN]],T_Voluntarios[],30,FALSE)),"No Existe",VLOOKUP(T_Cuotas[[#This Row],[RUN]],T_Voluntarios[],30,FALSE))</f>
        <v>NO Vigente</v>
      </c>
      <c r="M135" s="5" t="str">
        <f>IF(ISERROR(VLOOKUP(T_Cuotas[[#This Row],[RUN]],T_Voluntarios[],13,FALSE)),"No Existe",VLOOKUP(T_Cuotas[[#This Row],[RUN]],T_Voluntarios[],13,FALSE))</f>
        <v>Alimentación Tradicional</v>
      </c>
    </row>
    <row r="136" spans="1:13" hidden="1" x14ac:dyDescent="0.3">
      <c r="A136" s="2" t="s">
        <v>2651</v>
      </c>
      <c r="B136" t="str">
        <f>IF(ISERROR(VLOOKUP(T_Cuotas[[#This Row],[RUN]],T_Voluntarios[],3,FALSE)),"No Existe",VLOOKUP(T_Cuotas[[#This Row],[RUN]],T_Voluntarios[],3,FALSE))</f>
        <v>Katherine Ayllen Castro Leiva</v>
      </c>
      <c r="C136" s="5">
        <f>IF(ISERROR(VLOOKUP(T_Cuotas[[#This Row],[RUN]],Tabla_Pagos[],7,FALSE)),0,VLOOKUP(T_Cuotas[[#This Row],[RUN]],Tabla_Pagos[],7,FALSE))</f>
        <v>0</v>
      </c>
      <c r="D136" s="5">
        <f>IF(ISERROR(VLOOKUP(T_Cuotas[[#This Row],[RUN]],Tabla_Pagos[],8,FALSE)),0,VLOOKUP(T_Cuotas[[#This Row],[RUN]],Tabla_Pagos[],8,FALSE))</f>
        <v>0</v>
      </c>
      <c r="E136" s="5">
        <f>IF(ISERROR(VLOOKUP(T_Cuotas[[#This Row],[RUN]],Tabla_Pagos[],9,FALSE)),0,VLOOKUP(T_Cuotas[[#This Row],[RUN]],Tabla_Pagos[],9,FALSE))</f>
        <v>0</v>
      </c>
      <c r="F136" s="5">
        <f>T_Cuotas[[#This Row],[Cuota_1]]+T_Cuotas[[#This Row],[Cuota_2]]+T_Cuotas[[#This Row],[Cuota_3]]</f>
        <v>0</v>
      </c>
      <c r="G136" s="1">
        <f>COUNTIF(T_Cuotas[RUN],T_Cuotas[[#This Row],[RUN]])</f>
        <v>1</v>
      </c>
      <c r="H136" s="5" t="str">
        <f>IF(ISERROR(VLOOKUP(T_Cuotas[[#This Row],[RUN]],T_Voluntarios[],2,FALSE)),"No Existe",VLOOKUP(T_Cuotas[[#This Row],[RUN]],T_Voluntarios[],2,FALSE))</f>
        <v>d11reamy@gmail.com</v>
      </c>
      <c r="I136" s="5"/>
      <c r="J136" s="5" t="str">
        <f>IF(ISERROR(VLOOKUP(T_Cuotas[[#This Row],[RUN]],T_Voluntarios[],8,FALSE)),"No Existe",VLOOKUP(T_Cuotas[[#This Row],[RUN]],T_Voluntarios[],8,FALSE))</f>
        <v>+56976643685</v>
      </c>
      <c r="K136" s="5" t="str">
        <f>IF(ISERROR(VLOOKUP(T_Cuotas[[#This Row],[RUN]],T_Voluntarios[],10,FALSE)),"No Existe",VLOOKUP(T_Cuotas[[#This Row],[RUN]],T_Voluntarios[],10,FALSE))</f>
        <v>Fresia Müller Ruiz</v>
      </c>
      <c r="L136" s="5" t="str">
        <f>IF(ISERROR(VLOOKUP(T_Cuotas[[#This Row],[RUN]],T_Voluntarios[],30,FALSE)),"No Existe",VLOOKUP(T_Cuotas[[#This Row],[RUN]],T_Voluntarios[],30,FALSE))</f>
        <v>NO Vigente</v>
      </c>
      <c r="M136" s="5" t="str">
        <f>IF(ISERROR(VLOOKUP(T_Cuotas[[#This Row],[RUN]],T_Voluntarios[],13,FALSE)),"No Existe",VLOOKUP(T_Cuotas[[#This Row],[RUN]],T_Voluntarios[],13,FALSE))</f>
        <v>Alimentación Tradicional</v>
      </c>
    </row>
    <row r="137" spans="1:13" hidden="1" x14ac:dyDescent="0.3">
      <c r="A137" s="2" t="s">
        <v>2416</v>
      </c>
      <c r="B137" t="str">
        <f>IF(ISERROR(VLOOKUP(T_Cuotas[[#This Row],[RUN]],T_Voluntarios[],3,FALSE)),"No Existe",VLOOKUP(T_Cuotas[[#This Row],[RUN]],T_Voluntarios[],3,FALSE))</f>
        <v>Benjamín Andrés Roa Rojas</v>
      </c>
      <c r="C137" s="5">
        <f>IF(ISERROR(VLOOKUP(T_Cuotas[[#This Row],[RUN]],Tabla_Pagos[],7,FALSE)),0,VLOOKUP(T_Cuotas[[#This Row],[RUN]],Tabla_Pagos[],7,FALSE))</f>
        <v>0</v>
      </c>
      <c r="D137" s="5">
        <f>IF(ISERROR(VLOOKUP(T_Cuotas[[#This Row],[RUN]],Tabla_Pagos[],8,FALSE)),0,VLOOKUP(T_Cuotas[[#This Row],[RUN]],Tabla_Pagos[],8,FALSE))</f>
        <v>0</v>
      </c>
      <c r="E137" s="5">
        <f>IF(ISERROR(VLOOKUP(T_Cuotas[[#This Row],[RUN]],Tabla_Pagos[],9,FALSE)),0,VLOOKUP(T_Cuotas[[#This Row],[RUN]],Tabla_Pagos[],9,FALSE))</f>
        <v>0</v>
      </c>
      <c r="F137" s="5">
        <f>T_Cuotas[[#This Row],[Cuota_1]]+T_Cuotas[[#This Row],[Cuota_2]]+T_Cuotas[[#This Row],[Cuota_3]]</f>
        <v>0</v>
      </c>
      <c r="G137" s="1">
        <f>COUNTIF(T_Cuotas[RUN],T_Cuotas[[#This Row],[RUN]])</f>
        <v>1</v>
      </c>
      <c r="H137" s="5" t="str">
        <f>IF(ISERROR(VLOOKUP(T_Cuotas[[#This Row],[RUN]],T_Voluntarios[],2,FALSE)),"No Existe",VLOOKUP(T_Cuotas[[#This Row],[RUN]],T_Voluntarios[],2,FALSE))</f>
        <v>broarojas@gmail.com</v>
      </c>
      <c r="I137" s="5"/>
      <c r="J137" s="5" t="str">
        <f>IF(ISERROR(VLOOKUP(T_Cuotas[[#This Row],[RUN]],T_Voluntarios[],8,FALSE)),"No Existe",VLOOKUP(T_Cuotas[[#This Row],[RUN]],T_Voluntarios[],8,FALSE))</f>
        <v>+56996378248</v>
      </c>
      <c r="K137" s="5" t="str">
        <f>IF(ISERROR(VLOOKUP(T_Cuotas[[#This Row],[RUN]],T_Voluntarios[],10,FALSE)),"No Existe",VLOOKUP(T_Cuotas[[#This Row],[RUN]],T_Voluntarios[],10,FALSE))</f>
        <v>Sagrados Corazones</v>
      </c>
      <c r="L137" s="5" t="str">
        <f>IF(ISERROR(VLOOKUP(T_Cuotas[[#This Row],[RUN]],T_Voluntarios[],30,FALSE)),"No Existe",VLOOKUP(T_Cuotas[[#This Row],[RUN]],T_Voluntarios[],30,FALSE))</f>
        <v>NO Vigente</v>
      </c>
      <c r="M137" s="5" t="str">
        <f>IF(ISERROR(VLOOKUP(T_Cuotas[[#This Row],[RUN]],T_Voluntarios[],13,FALSE)),"No Existe",VLOOKUP(T_Cuotas[[#This Row],[RUN]],T_Voluntarios[],13,FALSE))</f>
        <v>Alimentación Tradicional</v>
      </c>
    </row>
    <row r="138" spans="1:13" x14ac:dyDescent="0.3">
      <c r="A138" s="2" t="s">
        <v>2430</v>
      </c>
      <c r="B138" t="str">
        <f>IF(ISERROR(VLOOKUP(T_Cuotas[[#This Row],[RUN]],T_Voluntarios[],3,FALSE)),"No Existe",VLOOKUP(T_Cuotas[[#This Row],[RUN]],T_Voluntarios[],3,FALSE))</f>
        <v>Vicente Matias Fuentes Torres</v>
      </c>
      <c r="C138" s="5">
        <f>IF(ISERROR(VLOOKUP(T_Cuotas[[#This Row],[RUN]],Tabla_Pagos[],7,FALSE)),0,VLOOKUP(T_Cuotas[[#This Row],[RUN]],Tabla_Pagos[],7,FALSE))</f>
        <v>20000</v>
      </c>
      <c r="D138" s="5">
        <f>IF(ISERROR(VLOOKUP(T_Cuotas[[#This Row],[RUN]],Tabla_Pagos[],8,FALSE)),0,VLOOKUP(T_Cuotas[[#This Row],[RUN]],Tabla_Pagos[],8,FALSE))</f>
        <v>15000</v>
      </c>
      <c r="E138" s="5">
        <f>IF(ISERROR(VLOOKUP(T_Cuotas[[#This Row],[RUN]],Tabla_Pagos[],9,FALSE)),0,VLOOKUP(T_Cuotas[[#This Row],[RUN]],Tabla_Pagos[],9,FALSE))</f>
        <v>15000</v>
      </c>
      <c r="F138" s="5">
        <f>T_Cuotas[[#This Row],[Cuota_1]]+T_Cuotas[[#This Row],[Cuota_2]]+T_Cuotas[[#This Row],[Cuota_3]]</f>
        <v>50000</v>
      </c>
      <c r="G138" s="1">
        <f>COUNTIF(T_Cuotas[RUN],T_Cuotas[[#This Row],[RUN]])</f>
        <v>1</v>
      </c>
      <c r="H138" s="5" t="str">
        <f>IF(ISERROR(VLOOKUP(T_Cuotas[[#This Row],[RUN]],T_Voluntarios[],2,FALSE)),"No Existe",VLOOKUP(T_Cuotas[[#This Row],[RUN]],T_Voluntarios[],2,FALSE))</f>
        <v>vichofuentest@gmail.com</v>
      </c>
      <c r="I138" s="5"/>
      <c r="J138" s="5" t="str">
        <f>IF(ISERROR(VLOOKUP(T_Cuotas[[#This Row],[RUN]],T_Voluntarios[],8,FALSE)),"No Existe",VLOOKUP(T_Cuotas[[#This Row],[RUN]],T_Voluntarios[],8,FALSE))</f>
        <v>+56999065330</v>
      </c>
      <c r="K138" s="5" t="str">
        <f>IF(ISERROR(VLOOKUP(T_Cuotas[[#This Row],[RUN]],T_Voluntarios[],10,FALSE)),"No Existe",VLOOKUP(T_Cuotas[[#This Row],[RUN]],T_Voluntarios[],10,FALSE))</f>
        <v>Tricolor Chileno</v>
      </c>
      <c r="L138" s="5" t="str">
        <f>IF(ISERROR(VLOOKUP(T_Cuotas[[#This Row],[RUN]],T_Voluntarios[],30,FALSE)),"No Existe",VLOOKUP(T_Cuotas[[#This Row],[RUN]],T_Voluntarios[],30,FALSE))</f>
        <v>Vigente</v>
      </c>
      <c r="M138" s="5" t="str">
        <f>IF(ISERROR(VLOOKUP(T_Cuotas[[#This Row],[RUN]],T_Voluntarios[],13,FALSE)),"No Existe",VLOOKUP(T_Cuotas[[#This Row],[RUN]],T_Voluntarios[],13,FALSE))</f>
        <v>Alimentación Tradicional</v>
      </c>
    </row>
    <row r="139" spans="1:13" x14ac:dyDescent="0.3">
      <c r="A139" s="2" t="s">
        <v>2439</v>
      </c>
      <c r="B139" t="str">
        <f>IF(ISERROR(VLOOKUP(T_Cuotas[[#This Row],[RUN]],T_Voluntarios[],3,FALSE)),"No Existe",VLOOKUP(T_Cuotas[[#This Row],[RUN]],T_Voluntarios[],3,FALSE))</f>
        <v>Javier Andres Dauros Hormazabal</v>
      </c>
      <c r="C139" s="5">
        <f>IF(ISERROR(VLOOKUP(T_Cuotas[[#This Row],[RUN]],Tabla_Pagos[],7,FALSE)),0,VLOOKUP(T_Cuotas[[#This Row],[RUN]],Tabla_Pagos[],7,FALSE))</f>
        <v>20000</v>
      </c>
      <c r="D139" s="5">
        <f>IF(ISERROR(VLOOKUP(T_Cuotas[[#This Row],[RUN]],Tabla_Pagos[],8,FALSE)),0,VLOOKUP(T_Cuotas[[#This Row],[RUN]],Tabla_Pagos[],8,FALSE))</f>
        <v>15000</v>
      </c>
      <c r="E139" s="5">
        <f>IF(ISERROR(VLOOKUP(T_Cuotas[[#This Row],[RUN]],Tabla_Pagos[],9,FALSE)),0,VLOOKUP(T_Cuotas[[#This Row],[RUN]],Tabla_Pagos[],9,FALSE))</f>
        <v>15000</v>
      </c>
      <c r="F139" s="5">
        <f>T_Cuotas[[#This Row],[Cuota_1]]+T_Cuotas[[#This Row],[Cuota_2]]+T_Cuotas[[#This Row],[Cuota_3]]</f>
        <v>50000</v>
      </c>
      <c r="G139" s="1">
        <f>COUNTIF(T_Cuotas[RUN],T_Cuotas[[#This Row],[RUN]])</f>
        <v>1</v>
      </c>
      <c r="H139" s="5" t="str">
        <f>IF(ISERROR(VLOOKUP(T_Cuotas[[#This Row],[RUN]],T_Voluntarios[],2,FALSE)),"No Existe",VLOOKUP(T_Cuotas[[#This Row],[RUN]],T_Voluntarios[],2,FALSE))</f>
        <v>javier.dauros@gmail.com</v>
      </c>
      <c r="I139" s="5"/>
      <c r="J139" s="5" t="str">
        <f>IF(ISERROR(VLOOKUP(T_Cuotas[[#This Row],[RUN]],T_Voluntarios[],8,FALSE)),"No Existe",VLOOKUP(T_Cuotas[[#This Row],[RUN]],T_Voluntarios[],8,FALSE))</f>
        <v>+56998047156</v>
      </c>
      <c r="K139" s="5" t="str">
        <f>IF(ISERROR(VLOOKUP(T_Cuotas[[#This Row],[RUN]],T_Voluntarios[],10,FALSE)),"No Existe",VLOOKUP(T_Cuotas[[#This Row],[RUN]],T_Voluntarios[],10,FALSE))</f>
        <v>La Asunción</v>
      </c>
      <c r="L139" s="5" t="str">
        <f>IF(ISERROR(VLOOKUP(T_Cuotas[[#This Row],[RUN]],T_Voluntarios[],30,FALSE)),"No Existe",VLOOKUP(T_Cuotas[[#This Row],[RUN]],T_Voluntarios[],30,FALSE))</f>
        <v>Vigente</v>
      </c>
      <c r="M139" s="5" t="str">
        <f>IF(ISERROR(VLOOKUP(T_Cuotas[[#This Row],[RUN]],T_Voluntarios[],13,FALSE)),"No Existe",VLOOKUP(T_Cuotas[[#This Row],[RUN]],T_Voluntarios[],13,FALSE))</f>
        <v>Alimentación Tradicional</v>
      </c>
    </row>
    <row r="140" spans="1:13" x14ac:dyDescent="0.3">
      <c r="A140" s="2" t="s">
        <v>2452</v>
      </c>
      <c r="B140" t="str">
        <f>IF(ISERROR(VLOOKUP(T_Cuotas[[#This Row],[RUN]],T_Voluntarios[],3,FALSE)),"No Existe",VLOOKUP(T_Cuotas[[#This Row],[RUN]],T_Voluntarios[],3,FALSE))</f>
        <v>Catalina Ignacia Pérez Ramos</v>
      </c>
      <c r="C140" s="5">
        <f>IF(ISERROR(VLOOKUP(T_Cuotas[[#This Row],[RUN]],Tabla_Pagos[],7,FALSE)),0,VLOOKUP(T_Cuotas[[#This Row],[RUN]],Tabla_Pagos[],7,FALSE))</f>
        <v>20000</v>
      </c>
      <c r="D140" s="5">
        <f>IF(ISERROR(VLOOKUP(T_Cuotas[[#This Row],[RUN]],Tabla_Pagos[],8,FALSE)),0,VLOOKUP(T_Cuotas[[#This Row],[RUN]],Tabla_Pagos[],8,FALSE))</f>
        <v>15000</v>
      </c>
      <c r="E140" s="5">
        <f>IF(ISERROR(VLOOKUP(T_Cuotas[[#This Row],[RUN]],Tabla_Pagos[],9,FALSE)),0,VLOOKUP(T_Cuotas[[#This Row],[RUN]],Tabla_Pagos[],9,FALSE))</f>
        <v>15000</v>
      </c>
      <c r="F140" s="5">
        <f>T_Cuotas[[#This Row],[Cuota_1]]+T_Cuotas[[#This Row],[Cuota_2]]+T_Cuotas[[#This Row],[Cuota_3]]</f>
        <v>50000</v>
      </c>
      <c r="G140" s="1">
        <f>COUNTIF(T_Cuotas[RUN],T_Cuotas[[#This Row],[RUN]])</f>
        <v>1</v>
      </c>
      <c r="H140" s="5" t="str">
        <f>IF(ISERROR(VLOOKUP(T_Cuotas[[#This Row],[RUN]],T_Voluntarios[],2,FALSE)),"No Existe",VLOOKUP(T_Cuotas[[#This Row],[RUN]],T_Voluntarios[],2,FALSE))</f>
        <v>chifuuuxc@gmail.com</v>
      </c>
      <c r="I140" s="5"/>
      <c r="J140" s="5" t="str">
        <f>IF(ISERROR(VLOOKUP(T_Cuotas[[#This Row],[RUN]],T_Voluntarios[],8,FALSE)),"No Existe",VLOOKUP(T_Cuotas[[#This Row],[RUN]],T_Voluntarios[],8,FALSE))</f>
        <v>+56973834520</v>
      </c>
      <c r="K140" s="5" t="str">
        <f>IF(ISERROR(VLOOKUP(T_Cuotas[[#This Row],[RUN]],T_Voluntarios[],10,FALSE)),"No Existe",VLOOKUP(T_Cuotas[[#This Row],[RUN]],T_Voluntarios[],10,FALSE))</f>
        <v>La Asunción</v>
      </c>
      <c r="L140" s="5" t="str">
        <f>IF(ISERROR(VLOOKUP(T_Cuotas[[#This Row],[RUN]],T_Voluntarios[],30,FALSE)),"No Existe",VLOOKUP(T_Cuotas[[#This Row],[RUN]],T_Voluntarios[],30,FALSE))</f>
        <v>Vigente</v>
      </c>
      <c r="M140" s="5" t="str">
        <f>IF(ISERROR(VLOOKUP(T_Cuotas[[#This Row],[RUN]],T_Voluntarios[],13,FALSE)),"No Existe",VLOOKUP(T_Cuotas[[#This Row],[RUN]],T_Voluntarios[],13,FALSE))</f>
        <v>Alimentación Tradicional</v>
      </c>
    </row>
    <row r="141" spans="1:13" x14ac:dyDescent="0.3">
      <c r="A141" s="2" t="s">
        <v>2465</v>
      </c>
      <c r="B141" t="str">
        <f>IF(ISERROR(VLOOKUP(T_Cuotas[[#This Row],[RUN]],T_Voluntarios[],3,FALSE)),"No Existe",VLOOKUP(T_Cuotas[[#This Row],[RUN]],T_Voluntarios[],3,FALSE))</f>
        <v>Ignacio Andrés Lozano Urra</v>
      </c>
      <c r="C141" s="5">
        <f>IF(ISERROR(VLOOKUP(T_Cuotas[[#This Row],[RUN]],Tabla_Pagos[],7,FALSE)),0,VLOOKUP(T_Cuotas[[#This Row],[RUN]],Tabla_Pagos[],7,FALSE))</f>
        <v>20000</v>
      </c>
      <c r="D141" s="5">
        <f>IF(ISERROR(VLOOKUP(T_Cuotas[[#This Row],[RUN]],Tabla_Pagos[],8,FALSE)),0,VLOOKUP(T_Cuotas[[#This Row],[RUN]],Tabla_Pagos[],8,FALSE))</f>
        <v>15000</v>
      </c>
      <c r="E141" s="5">
        <f>IF(ISERROR(VLOOKUP(T_Cuotas[[#This Row],[RUN]],Tabla_Pagos[],9,FALSE)),0,VLOOKUP(T_Cuotas[[#This Row],[RUN]],Tabla_Pagos[],9,FALSE))</f>
        <v>15000</v>
      </c>
      <c r="F141" s="5">
        <f>T_Cuotas[[#This Row],[Cuota_1]]+T_Cuotas[[#This Row],[Cuota_2]]+T_Cuotas[[#This Row],[Cuota_3]]</f>
        <v>50000</v>
      </c>
      <c r="G141" s="1">
        <f>COUNTIF(T_Cuotas[RUN],T_Cuotas[[#This Row],[RUN]])</f>
        <v>1</v>
      </c>
      <c r="H141" s="5" t="str">
        <f>IF(ISERROR(VLOOKUP(T_Cuotas[[#This Row],[RUN]],T_Voluntarios[],2,FALSE)),"No Existe",VLOOKUP(T_Cuotas[[#This Row],[RUN]],T_Voluntarios[],2,FALSE))</f>
        <v>tw.lozanopp@gmail.com</v>
      </c>
      <c r="I141" s="5"/>
      <c r="J141" s="5" t="str">
        <f>IF(ISERROR(VLOOKUP(T_Cuotas[[#This Row],[RUN]],T_Voluntarios[],8,FALSE)),"No Existe",VLOOKUP(T_Cuotas[[#This Row],[RUN]],T_Voluntarios[],8,FALSE))</f>
        <v>+56973309179</v>
      </c>
      <c r="K141" s="5" t="str">
        <f>IF(ISERROR(VLOOKUP(T_Cuotas[[#This Row],[RUN]],T_Voluntarios[],10,FALSE)),"No Existe",VLOOKUP(T_Cuotas[[#This Row],[RUN]],T_Voluntarios[],10,FALSE))</f>
        <v>La Asunción</v>
      </c>
      <c r="L141" s="5" t="str">
        <f>IF(ISERROR(VLOOKUP(T_Cuotas[[#This Row],[RUN]],T_Voluntarios[],30,FALSE)),"No Existe",VLOOKUP(T_Cuotas[[#This Row],[RUN]],T_Voluntarios[],30,FALSE))</f>
        <v>Vigente</v>
      </c>
      <c r="M141" s="5" t="str">
        <f>IF(ISERROR(VLOOKUP(T_Cuotas[[#This Row],[RUN]],T_Voluntarios[],13,FALSE)),"No Existe",VLOOKUP(T_Cuotas[[#This Row],[RUN]],T_Voluntarios[],13,FALSE))</f>
        <v>Alimentación Tradicional</v>
      </c>
    </row>
    <row r="142" spans="1:13" x14ac:dyDescent="0.3">
      <c r="A142" s="2" t="s">
        <v>2473</v>
      </c>
      <c r="B142" t="str">
        <f>IF(ISERROR(VLOOKUP(T_Cuotas[[#This Row],[RUN]],T_Voluntarios[],3,FALSE)),"No Existe",VLOOKUP(T_Cuotas[[#This Row],[RUN]],T_Voluntarios[],3,FALSE))</f>
        <v>Liz Fernanda Bolomey Reske</v>
      </c>
      <c r="C142" s="5">
        <f>IF(ISERROR(VLOOKUP(T_Cuotas[[#This Row],[RUN]],Tabla_Pagos[],7,FALSE)),0,VLOOKUP(T_Cuotas[[#This Row],[RUN]],Tabla_Pagos[],7,FALSE))</f>
        <v>20000</v>
      </c>
      <c r="D142" s="5">
        <f>IF(ISERROR(VLOOKUP(T_Cuotas[[#This Row],[RUN]],Tabla_Pagos[],8,FALSE)),0,VLOOKUP(T_Cuotas[[#This Row],[RUN]],Tabla_Pagos[],8,FALSE))</f>
        <v>15000</v>
      </c>
      <c r="E142" s="5">
        <f>IF(ISERROR(VLOOKUP(T_Cuotas[[#This Row],[RUN]],Tabla_Pagos[],9,FALSE)),0,VLOOKUP(T_Cuotas[[#This Row],[RUN]],Tabla_Pagos[],9,FALSE))</f>
        <v>15000</v>
      </c>
      <c r="F142" s="5">
        <f>T_Cuotas[[#This Row],[Cuota_1]]+T_Cuotas[[#This Row],[Cuota_2]]+T_Cuotas[[#This Row],[Cuota_3]]</f>
        <v>50000</v>
      </c>
      <c r="G142" s="1">
        <f>COUNTIF(T_Cuotas[RUN],T_Cuotas[[#This Row],[RUN]])</f>
        <v>1</v>
      </c>
      <c r="H142" s="5" t="str">
        <f>IF(ISERROR(VLOOKUP(T_Cuotas[[#This Row],[RUN]],T_Voluntarios[],2,FALSE)),"No Existe",VLOOKUP(T_Cuotas[[#This Row],[RUN]],T_Voluntarios[],2,FALSE))</f>
        <v>liz.fernanda.6811@gmail.com</v>
      </c>
      <c r="I142" s="5"/>
      <c r="J142" s="5" t="str">
        <f>IF(ISERROR(VLOOKUP(T_Cuotas[[#This Row],[RUN]],T_Voluntarios[],8,FALSE)),"No Existe",VLOOKUP(T_Cuotas[[#This Row],[RUN]],T_Voluntarios[],8,FALSE))</f>
        <v>+56957939592</v>
      </c>
      <c r="K142" s="5" t="str">
        <f>IF(ISERROR(VLOOKUP(T_Cuotas[[#This Row],[RUN]],T_Voluntarios[],10,FALSE)),"No Existe",VLOOKUP(T_Cuotas[[#This Row],[RUN]],T_Voluntarios[],10,FALSE))</f>
        <v>Santa Cecilia</v>
      </c>
      <c r="L142" s="5" t="str">
        <f>IF(ISERROR(VLOOKUP(T_Cuotas[[#This Row],[RUN]],T_Voluntarios[],30,FALSE)),"No Existe",VLOOKUP(T_Cuotas[[#This Row],[RUN]],T_Voluntarios[],30,FALSE))</f>
        <v>Vigente</v>
      </c>
      <c r="M142" s="5" t="str">
        <f>IF(ISERROR(VLOOKUP(T_Cuotas[[#This Row],[RUN]],T_Voluntarios[],13,FALSE)),"No Existe",VLOOKUP(T_Cuotas[[#This Row],[RUN]],T_Voluntarios[],13,FALSE))</f>
        <v>Alimentación Tradicional</v>
      </c>
    </row>
    <row r="143" spans="1:13" x14ac:dyDescent="0.3">
      <c r="A143" s="2" t="s">
        <v>2483</v>
      </c>
      <c r="B143" t="str">
        <f>IF(ISERROR(VLOOKUP(T_Cuotas[[#This Row],[RUN]],T_Voluntarios[],3,FALSE)),"No Existe",VLOOKUP(T_Cuotas[[#This Row],[RUN]],T_Voluntarios[],3,FALSE))</f>
        <v>Felipe Adrian Inostroza Loaiza</v>
      </c>
      <c r="C143" s="5">
        <f>IF(ISERROR(VLOOKUP(T_Cuotas[[#This Row],[RUN]],Tabla_Pagos[],7,FALSE)),0,VLOOKUP(T_Cuotas[[#This Row],[RUN]],Tabla_Pagos[],7,FALSE))</f>
        <v>20000</v>
      </c>
      <c r="D143" s="5">
        <f>IF(ISERROR(VLOOKUP(T_Cuotas[[#This Row],[RUN]],Tabla_Pagos[],8,FALSE)),0,VLOOKUP(T_Cuotas[[#This Row],[RUN]],Tabla_Pagos[],8,FALSE))</f>
        <v>15000</v>
      </c>
      <c r="E143" s="5">
        <f>IF(ISERROR(VLOOKUP(T_Cuotas[[#This Row],[RUN]],Tabla_Pagos[],9,FALSE)),0,VLOOKUP(T_Cuotas[[#This Row],[RUN]],Tabla_Pagos[],9,FALSE))</f>
        <v>15000</v>
      </c>
      <c r="F143" s="5">
        <f>T_Cuotas[[#This Row],[Cuota_1]]+T_Cuotas[[#This Row],[Cuota_2]]+T_Cuotas[[#This Row],[Cuota_3]]</f>
        <v>50000</v>
      </c>
      <c r="G143" s="1">
        <f>COUNTIF(T_Cuotas[RUN],T_Cuotas[[#This Row],[RUN]])</f>
        <v>1</v>
      </c>
      <c r="H143" s="5" t="str">
        <f>IF(ISERROR(VLOOKUP(T_Cuotas[[#This Row],[RUN]],T_Voluntarios[],2,FALSE)),"No Existe",VLOOKUP(T_Cuotas[[#This Row],[RUN]],T_Voluntarios[],2,FALSE))</f>
        <v>felipeinostrozaloaiza@gmail.com</v>
      </c>
      <c r="I143" s="5"/>
      <c r="J143" s="5" t="str">
        <f>IF(ISERROR(VLOOKUP(T_Cuotas[[#This Row],[RUN]],T_Voluntarios[],8,FALSE)),"No Existe",VLOOKUP(T_Cuotas[[#This Row],[RUN]],T_Voluntarios[],8,FALSE))</f>
        <v>+56966537314</v>
      </c>
      <c r="K143" s="5" t="str">
        <f>IF(ISERROR(VLOOKUP(T_Cuotas[[#This Row],[RUN]],T_Voluntarios[],10,FALSE)),"No Existe",VLOOKUP(T_Cuotas[[#This Row],[RUN]],T_Voluntarios[],10,FALSE))</f>
        <v>San Vicente</v>
      </c>
      <c r="L143" s="5" t="str">
        <f>IF(ISERROR(VLOOKUP(T_Cuotas[[#This Row],[RUN]],T_Voluntarios[],30,FALSE)),"No Existe",VLOOKUP(T_Cuotas[[#This Row],[RUN]],T_Voluntarios[],30,FALSE))</f>
        <v>Vigente</v>
      </c>
      <c r="M143" s="5" t="str">
        <f>IF(ISERROR(VLOOKUP(T_Cuotas[[#This Row],[RUN]],T_Voluntarios[],13,FALSE)),"No Existe",VLOOKUP(T_Cuotas[[#This Row],[RUN]],T_Voluntarios[],13,FALSE))</f>
        <v>Alimentación Tradicional</v>
      </c>
    </row>
    <row r="144" spans="1:13" hidden="1" x14ac:dyDescent="0.3">
      <c r="A144" s="2" t="s">
        <v>2494</v>
      </c>
      <c r="B144" t="str">
        <f>IF(ISERROR(VLOOKUP(T_Cuotas[[#This Row],[RUN]],T_Voluntarios[],3,FALSE)),"No Existe",VLOOKUP(T_Cuotas[[#This Row],[RUN]],T_Voluntarios[],3,FALSE))</f>
        <v>Matías Antonio Hunter Urrutia</v>
      </c>
      <c r="C144" s="5">
        <f>IF(ISERROR(VLOOKUP(T_Cuotas[[#This Row],[RUN]],Tabla_Pagos[],7,FALSE)),0,VLOOKUP(T_Cuotas[[#This Row],[RUN]],Tabla_Pagos[],7,FALSE))</f>
        <v>0</v>
      </c>
      <c r="D144" s="5">
        <f>IF(ISERROR(VLOOKUP(T_Cuotas[[#This Row],[RUN]],Tabla_Pagos[],8,FALSE)),0,VLOOKUP(T_Cuotas[[#This Row],[RUN]],Tabla_Pagos[],8,FALSE))</f>
        <v>0</v>
      </c>
      <c r="E144" s="5">
        <f>IF(ISERROR(VLOOKUP(T_Cuotas[[#This Row],[RUN]],Tabla_Pagos[],9,FALSE)),0,VLOOKUP(T_Cuotas[[#This Row],[RUN]],Tabla_Pagos[],9,FALSE))</f>
        <v>0</v>
      </c>
      <c r="F144" s="5">
        <f>T_Cuotas[[#This Row],[Cuota_1]]+T_Cuotas[[#This Row],[Cuota_2]]+T_Cuotas[[#This Row],[Cuota_3]]</f>
        <v>0</v>
      </c>
      <c r="G144" s="1">
        <f>COUNTIF(T_Cuotas[RUN],T_Cuotas[[#This Row],[RUN]])</f>
        <v>1</v>
      </c>
      <c r="H144" s="5" t="str">
        <f>IF(ISERROR(VLOOKUP(T_Cuotas[[#This Row],[RUN]],T_Voluntarios[],2,FALSE)),"No Existe",VLOOKUP(T_Cuotas[[#This Row],[RUN]],T_Voluntarios[],2,FALSE))</f>
        <v>m.hunter.u05@gmail.com</v>
      </c>
      <c r="I144" s="5"/>
      <c r="J144" s="5" t="str">
        <f>IF(ISERROR(VLOOKUP(T_Cuotas[[#This Row],[RUN]],T_Voluntarios[],8,FALSE)),"No Existe",VLOOKUP(T_Cuotas[[#This Row],[RUN]],T_Voluntarios[],8,FALSE))</f>
        <v>+56949173132</v>
      </c>
      <c r="K144" s="5" t="str">
        <f>IF(ISERROR(VLOOKUP(T_Cuotas[[#This Row],[RUN]],T_Voluntarios[],10,FALSE)),"No Existe",VLOOKUP(T_Cuotas[[#This Row],[RUN]],T_Voluntarios[],10,FALSE))</f>
        <v>Rucapeñihue</v>
      </c>
      <c r="L144" s="5" t="str">
        <f>IF(ISERROR(VLOOKUP(T_Cuotas[[#This Row],[RUN]],T_Voluntarios[],30,FALSE)),"No Existe",VLOOKUP(T_Cuotas[[#This Row],[RUN]],T_Voluntarios[],30,FALSE))</f>
        <v>NO Vigente</v>
      </c>
      <c r="M144" s="5" t="str">
        <f>IF(ISERROR(VLOOKUP(T_Cuotas[[#This Row],[RUN]],T_Voluntarios[],13,FALSE)),"No Existe",VLOOKUP(T_Cuotas[[#This Row],[RUN]],T_Voluntarios[],13,FALSE))</f>
        <v>Alimentación Tradicional</v>
      </c>
    </row>
    <row r="145" spans="1:13" x14ac:dyDescent="0.3">
      <c r="A145" s="2" t="s">
        <v>2504</v>
      </c>
      <c r="B145" t="str">
        <f>IF(ISERROR(VLOOKUP(T_Cuotas[[#This Row],[RUN]],T_Voluntarios[],3,FALSE)),"No Existe",VLOOKUP(T_Cuotas[[#This Row],[RUN]],T_Voluntarios[],3,FALSE))</f>
        <v>Miguel Alfonso Gutierrez Davinson</v>
      </c>
      <c r="C145" s="5">
        <f>IF(ISERROR(VLOOKUP(T_Cuotas[[#This Row],[RUN]],Tabla_Pagos[],7,FALSE)),0,VLOOKUP(T_Cuotas[[#This Row],[RUN]],Tabla_Pagos[],7,FALSE))</f>
        <v>20000</v>
      </c>
      <c r="D145" s="5">
        <f>IF(ISERROR(VLOOKUP(T_Cuotas[[#This Row],[RUN]],Tabla_Pagos[],8,FALSE)),0,VLOOKUP(T_Cuotas[[#This Row],[RUN]],Tabla_Pagos[],8,FALSE))</f>
        <v>15000</v>
      </c>
      <c r="E145" s="5">
        <f>IF(ISERROR(VLOOKUP(T_Cuotas[[#This Row],[RUN]],Tabla_Pagos[],9,FALSE)),0,VLOOKUP(T_Cuotas[[#This Row],[RUN]],Tabla_Pagos[],9,FALSE))</f>
        <v>15000</v>
      </c>
      <c r="F145" s="5">
        <f>T_Cuotas[[#This Row],[Cuota_1]]+T_Cuotas[[#This Row],[Cuota_2]]+T_Cuotas[[#This Row],[Cuota_3]]</f>
        <v>50000</v>
      </c>
      <c r="G145" s="1">
        <f>COUNTIF(T_Cuotas[RUN],T_Cuotas[[#This Row],[RUN]])</f>
        <v>1</v>
      </c>
      <c r="H145" s="5" t="str">
        <f>IF(ISERROR(VLOOKUP(T_Cuotas[[#This Row],[RUN]],T_Voluntarios[],2,FALSE)),"No Existe",VLOOKUP(T_Cuotas[[#This Row],[RUN]],T_Voluntarios[],2,FALSE))</f>
        <v>mgdavinson@gmail.com</v>
      </c>
      <c r="I145" s="5"/>
      <c r="J145" s="5" t="str">
        <f>IF(ISERROR(VLOOKUP(T_Cuotas[[#This Row],[RUN]],T_Voluntarios[],8,FALSE)),"No Existe",VLOOKUP(T_Cuotas[[#This Row],[RUN]],T_Voluntarios[],8,FALSE))</f>
        <v>+56935807934</v>
      </c>
      <c r="K145" s="5" t="str">
        <f>IF(ISERROR(VLOOKUP(T_Cuotas[[#This Row],[RUN]],T_Voluntarios[],10,FALSE)),"No Existe",VLOOKUP(T_Cuotas[[#This Row],[RUN]],T_Voluntarios[],10,FALSE))</f>
        <v>Monte Kenya</v>
      </c>
      <c r="L145" s="5" t="str">
        <f>IF(ISERROR(VLOOKUP(T_Cuotas[[#This Row],[RUN]],T_Voluntarios[],30,FALSE)),"No Existe",VLOOKUP(T_Cuotas[[#This Row],[RUN]],T_Voluntarios[],30,FALSE))</f>
        <v>Vigente</v>
      </c>
      <c r="M145" s="5" t="str">
        <f>IF(ISERROR(VLOOKUP(T_Cuotas[[#This Row],[RUN]],T_Voluntarios[],13,FALSE)),"No Existe",VLOOKUP(T_Cuotas[[#This Row],[RUN]],T_Voluntarios[],13,FALSE))</f>
        <v>Alimentación Tradicional</v>
      </c>
    </row>
    <row r="146" spans="1:13" x14ac:dyDescent="0.3">
      <c r="A146" s="2" t="s">
        <v>2513</v>
      </c>
      <c r="B146" t="str">
        <f>IF(ISERROR(VLOOKUP(T_Cuotas[[#This Row],[RUN]],T_Voluntarios[],3,FALSE)),"No Existe",VLOOKUP(T_Cuotas[[#This Row],[RUN]],T_Voluntarios[],3,FALSE))</f>
        <v>Francisca Ivelice Alvear Aguilar</v>
      </c>
      <c r="C146" s="5">
        <f>IF(ISERROR(VLOOKUP(T_Cuotas[[#This Row],[RUN]],Tabla_Pagos[],7,FALSE)),0,VLOOKUP(T_Cuotas[[#This Row],[RUN]],Tabla_Pagos[],7,FALSE))</f>
        <v>20000</v>
      </c>
      <c r="D146" s="5">
        <f>IF(ISERROR(VLOOKUP(T_Cuotas[[#This Row],[RUN]],Tabla_Pagos[],8,FALSE)),0,VLOOKUP(T_Cuotas[[#This Row],[RUN]],Tabla_Pagos[],8,FALSE))</f>
        <v>15000</v>
      </c>
      <c r="E146" s="5">
        <f>IF(ISERROR(VLOOKUP(T_Cuotas[[#This Row],[RUN]],Tabla_Pagos[],9,FALSE)),0,VLOOKUP(T_Cuotas[[#This Row],[RUN]],Tabla_Pagos[],9,FALSE))</f>
        <v>15000</v>
      </c>
      <c r="F146" s="5">
        <f>T_Cuotas[[#This Row],[Cuota_1]]+T_Cuotas[[#This Row],[Cuota_2]]+T_Cuotas[[#This Row],[Cuota_3]]</f>
        <v>50000</v>
      </c>
      <c r="G146" s="1">
        <f>COUNTIF(T_Cuotas[RUN],T_Cuotas[[#This Row],[RUN]])</f>
        <v>1</v>
      </c>
      <c r="H146" s="5" t="str">
        <f>IF(ISERROR(VLOOKUP(T_Cuotas[[#This Row],[RUN]],T_Voluntarios[],2,FALSE)),"No Existe",VLOOKUP(T_Cuotas[[#This Row],[RUN]],T_Voluntarios[],2,FALSE))</f>
        <v>franciscaalveara@gmail.com</v>
      </c>
      <c r="I146" s="5"/>
      <c r="J146" s="5" t="str">
        <f>IF(ISERROR(VLOOKUP(T_Cuotas[[#This Row],[RUN]],T_Voluntarios[],8,FALSE)),"No Existe",VLOOKUP(T_Cuotas[[#This Row],[RUN]],T_Voluntarios[],8,FALSE))</f>
        <v>+56977546707</v>
      </c>
      <c r="K146" s="5" t="str">
        <f>IF(ISERROR(VLOOKUP(T_Cuotas[[#This Row],[RUN]],T_Voluntarios[],10,FALSE)),"No Existe",VLOOKUP(T_Cuotas[[#This Row],[RUN]],T_Voluntarios[],10,FALSE))</f>
        <v>Sagrados Corazones</v>
      </c>
      <c r="L146" s="5" t="str">
        <f>IF(ISERROR(VLOOKUP(T_Cuotas[[#This Row],[RUN]],T_Voluntarios[],30,FALSE)),"No Existe",VLOOKUP(T_Cuotas[[#This Row],[RUN]],T_Voluntarios[],30,FALSE))</f>
        <v>Vigente</v>
      </c>
      <c r="M146" s="5" t="str">
        <f>IF(ISERROR(VLOOKUP(T_Cuotas[[#This Row],[RUN]],T_Voluntarios[],13,FALSE)),"No Existe",VLOOKUP(T_Cuotas[[#This Row],[RUN]],T_Voluntarios[],13,FALSE))</f>
        <v>Alimentación Tradicional</v>
      </c>
    </row>
    <row r="147" spans="1:13" x14ac:dyDescent="0.3">
      <c r="A147" s="2" t="s">
        <v>2522</v>
      </c>
      <c r="B147" t="str">
        <f>IF(ISERROR(VLOOKUP(T_Cuotas[[#This Row],[RUN]],T_Voluntarios[],3,FALSE)),"No Existe",VLOOKUP(T_Cuotas[[#This Row],[RUN]],T_Voluntarios[],3,FALSE))</f>
        <v>Ignacio Vicente Iñaki Ibarra Herrera</v>
      </c>
      <c r="C147" s="5">
        <f>IF(ISERROR(VLOOKUP(T_Cuotas[[#This Row],[RUN]],Tabla_Pagos[],7,FALSE)),0,VLOOKUP(T_Cuotas[[#This Row],[RUN]],Tabla_Pagos[],7,FALSE))</f>
        <v>20000</v>
      </c>
      <c r="D147" s="5">
        <f>IF(ISERROR(VLOOKUP(T_Cuotas[[#This Row],[RUN]],Tabla_Pagos[],8,FALSE)),0,VLOOKUP(T_Cuotas[[#This Row],[RUN]],Tabla_Pagos[],8,FALSE))</f>
        <v>15000</v>
      </c>
      <c r="E147" s="5">
        <f>IF(ISERROR(VLOOKUP(T_Cuotas[[#This Row],[RUN]],Tabla_Pagos[],9,FALSE)),0,VLOOKUP(T_Cuotas[[#This Row],[RUN]],Tabla_Pagos[],9,FALSE))</f>
        <v>15000</v>
      </c>
      <c r="F147" s="5">
        <f>T_Cuotas[[#This Row],[Cuota_1]]+T_Cuotas[[#This Row],[Cuota_2]]+T_Cuotas[[#This Row],[Cuota_3]]</f>
        <v>50000</v>
      </c>
      <c r="G147" s="1">
        <f>COUNTIF(T_Cuotas[RUN],T_Cuotas[[#This Row],[RUN]])</f>
        <v>1</v>
      </c>
      <c r="H147" s="5" t="str">
        <f>IF(ISERROR(VLOOKUP(T_Cuotas[[#This Row],[RUN]],T_Voluntarios[],2,FALSE)),"No Existe",VLOOKUP(T_Cuotas[[#This Row],[RUN]],T_Voluntarios[],2,FALSE))</f>
        <v>ibarraherrera28@gmail.com</v>
      </c>
      <c r="I147" s="5"/>
      <c r="J147" s="5" t="str">
        <f>IF(ISERROR(VLOOKUP(T_Cuotas[[#This Row],[RUN]],T_Voluntarios[],8,FALSE)),"No Existe",VLOOKUP(T_Cuotas[[#This Row],[RUN]],T_Voluntarios[],8,FALSE))</f>
        <v>+56941686052</v>
      </c>
      <c r="K147" s="5" t="str">
        <f>IF(ISERROR(VLOOKUP(T_Cuotas[[#This Row],[RUN]],T_Voluntarios[],10,FALSE)),"No Existe",VLOOKUP(T_Cuotas[[#This Row],[RUN]],T_Voluntarios[],10,FALSE))</f>
        <v>La Asunción</v>
      </c>
      <c r="L147" s="5" t="str">
        <f>IF(ISERROR(VLOOKUP(T_Cuotas[[#This Row],[RUN]],T_Voluntarios[],30,FALSE)),"No Existe",VLOOKUP(T_Cuotas[[#This Row],[RUN]],T_Voluntarios[],30,FALSE))</f>
        <v>Vigente</v>
      </c>
      <c r="M147" s="5" t="str">
        <f>IF(ISERROR(VLOOKUP(T_Cuotas[[#This Row],[RUN]],T_Voluntarios[],13,FALSE)),"No Existe",VLOOKUP(T_Cuotas[[#This Row],[RUN]],T_Voluntarios[],13,FALSE))</f>
        <v>Alimentación Tradicional</v>
      </c>
    </row>
    <row r="148" spans="1:13" x14ac:dyDescent="0.3">
      <c r="A148" s="2" t="s">
        <v>2720</v>
      </c>
      <c r="B148" t="str">
        <f>IF(ISERROR(VLOOKUP(T_Cuotas[[#This Row],[RUN]],T_Voluntarios[],3,FALSE)),"No Existe",VLOOKUP(T_Cuotas[[#This Row],[RUN]],T_Voluntarios[],3,FALSE))</f>
        <v>Fernanda Valeria Moraga Escobar</v>
      </c>
      <c r="C148" s="5">
        <f>IF(ISERROR(VLOOKUP(T_Cuotas[[#This Row],[RUN]],Tabla_Pagos[],7,FALSE)),0,VLOOKUP(T_Cuotas[[#This Row],[RUN]],Tabla_Pagos[],7,FALSE))</f>
        <v>20000</v>
      </c>
      <c r="D148" s="5">
        <f>IF(ISERROR(VLOOKUP(T_Cuotas[[#This Row],[RUN]],Tabla_Pagos[],8,FALSE)),0,VLOOKUP(T_Cuotas[[#This Row],[RUN]],Tabla_Pagos[],8,FALSE))</f>
        <v>15000</v>
      </c>
      <c r="E148" s="5">
        <f>IF(ISERROR(VLOOKUP(T_Cuotas[[#This Row],[RUN]],Tabla_Pagos[],9,FALSE)),0,VLOOKUP(T_Cuotas[[#This Row],[RUN]],Tabla_Pagos[],9,FALSE))</f>
        <v>15000</v>
      </c>
      <c r="F148" s="5">
        <f>T_Cuotas[[#This Row],[Cuota_1]]+T_Cuotas[[#This Row],[Cuota_2]]+T_Cuotas[[#This Row],[Cuota_3]]</f>
        <v>50000</v>
      </c>
      <c r="G148" s="1">
        <f>COUNTIF(T_Cuotas[RUN],T_Cuotas[[#This Row],[RUN]])</f>
        <v>1</v>
      </c>
      <c r="H148" s="5" t="str">
        <f>IF(ISERROR(VLOOKUP(T_Cuotas[[#This Row],[RUN]],T_Voluntarios[],2,FALSE)),"No Existe",VLOOKUP(T_Cuotas[[#This Row],[RUN]],T_Voluntarios[],2,FALSE))</f>
        <v>fmoragaescobar@gmail.com</v>
      </c>
      <c r="I148" s="5"/>
      <c r="J148" s="5" t="str">
        <f>IF(ISERROR(VLOOKUP(T_Cuotas[[#This Row],[RUN]],T_Voluntarios[],8,FALSE)),"No Existe",VLOOKUP(T_Cuotas[[#This Row],[RUN]],T_Voluntarios[],8,FALSE))</f>
        <v>+56978217655</v>
      </c>
      <c r="K148" s="5" t="str">
        <f>IF(ISERROR(VLOOKUP(T_Cuotas[[#This Row],[RUN]],T_Voluntarios[],10,FALSE)),"No Existe",VLOOKUP(T_Cuotas[[#This Row],[RUN]],T_Voluntarios[],10,FALSE))</f>
        <v>Sagrados Corazones</v>
      </c>
      <c r="L148" s="5" t="str">
        <f>IF(ISERROR(VLOOKUP(T_Cuotas[[#This Row],[RUN]],T_Voluntarios[],30,FALSE)),"No Existe",VLOOKUP(T_Cuotas[[#This Row],[RUN]],T_Voluntarios[],30,FALSE))</f>
        <v>Vigente</v>
      </c>
      <c r="M148" s="5" t="str">
        <f>IF(ISERROR(VLOOKUP(T_Cuotas[[#This Row],[RUN]],T_Voluntarios[],13,FALSE)),"No Existe",VLOOKUP(T_Cuotas[[#This Row],[RUN]],T_Voluntarios[],13,FALSE))</f>
        <v>Alimentación Vegetariana</v>
      </c>
    </row>
    <row r="149" spans="1:13" x14ac:dyDescent="0.3">
      <c r="A149" s="2" t="s">
        <v>2540</v>
      </c>
      <c r="B149" t="str">
        <f>IF(ISERROR(VLOOKUP(T_Cuotas[[#This Row],[RUN]],T_Voluntarios[],3,FALSE)),"No Existe",VLOOKUP(T_Cuotas[[#This Row],[RUN]],T_Voluntarios[],3,FALSE))</f>
        <v>Daniel Octavio Tobar Henríquez</v>
      </c>
      <c r="C149" s="5">
        <f>IF(ISERROR(VLOOKUP(T_Cuotas[[#This Row],[RUN]],Tabla_Pagos[],7,FALSE)),0,VLOOKUP(T_Cuotas[[#This Row],[RUN]],Tabla_Pagos[],7,FALSE))</f>
        <v>20000</v>
      </c>
      <c r="D149" s="5">
        <f>IF(ISERROR(VLOOKUP(T_Cuotas[[#This Row],[RUN]],Tabla_Pagos[],8,FALSE)),0,VLOOKUP(T_Cuotas[[#This Row],[RUN]],Tabla_Pagos[],8,FALSE))</f>
        <v>15000</v>
      </c>
      <c r="E149" s="5">
        <f>IF(ISERROR(VLOOKUP(T_Cuotas[[#This Row],[RUN]],Tabla_Pagos[],9,FALSE)),0,VLOOKUP(T_Cuotas[[#This Row],[RUN]],Tabla_Pagos[],9,FALSE))</f>
        <v>15000</v>
      </c>
      <c r="F149" s="5">
        <f>T_Cuotas[[#This Row],[Cuota_1]]+T_Cuotas[[#This Row],[Cuota_2]]+T_Cuotas[[#This Row],[Cuota_3]]</f>
        <v>50000</v>
      </c>
      <c r="G149" s="1">
        <f>COUNTIF(T_Cuotas[RUN],T_Cuotas[[#This Row],[RUN]])</f>
        <v>1</v>
      </c>
      <c r="H149" s="5" t="str">
        <f>IF(ISERROR(VLOOKUP(T_Cuotas[[#This Row],[RUN]],T_Voluntarios[],2,FALSE)),"No Existe",VLOOKUP(T_Cuotas[[#This Row],[RUN]],T_Voluntarios[],2,FALSE))</f>
        <v>tobar3daniel@gmail.com</v>
      </c>
      <c r="I149" s="5"/>
      <c r="J149" s="5" t="str">
        <f>IF(ISERROR(VLOOKUP(T_Cuotas[[#This Row],[RUN]],T_Voluntarios[],8,FALSE)),"No Existe",VLOOKUP(T_Cuotas[[#This Row],[RUN]],T_Voluntarios[],8,FALSE))</f>
        <v>+56964515907</v>
      </c>
      <c r="K149" s="5" t="str">
        <f>IF(ISERROR(VLOOKUP(T_Cuotas[[#This Row],[RUN]],T_Voluntarios[],10,FALSE)),"No Existe",VLOOKUP(T_Cuotas[[#This Row],[RUN]],T_Voluntarios[],10,FALSE))</f>
        <v>Sagrados Corazones</v>
      </c>
      <c r="L149" s="5" t="str">
        <f>IF(ISERROR(VLOOKUP(T_Cuotas[[#This Row],[RUN]],T_Voluntarios[],30,FALSE)),"No Existe",VLOOKUP(T_Cuotas[[#This Row],[RUN]],T_Voluntarios[],30,FALSE))</f>
        <v>Vigente</v>
      </c>
      <c r="M149" s="5" t="str">
        <f>IF(ISERROR(VLOOKUP(T_Cuotas[[#This Row],[RUN]],T_Voluntarios[],13,FALSE)),"No Existe",VLOOKUP(T_Cuotas[[#This Row],[RUN]],T_Voluntarios[],13,FALSE))</f>
        <v>Alimentación Tradicional</v>
      </c>
    </row>
    <row r="150" spans="1:13" x14ac:dyDescent="0.3">
      <c r="A150" s="2" t="s">
        <v>2618</v>
      </c>
      <c r="B150" t="str">
        <f>IF(ISERROR(VLOOKUP(T_Cuotas[[#This Row],[RUN]],T_Voluntarios[],3,FALSE)),"No Existe",VLOOKUP(T_Cuotas[[#This Row],[RUN]],T_Voluntarios[],3,FALSE))</f>
        <v>Francisca Antonia Aguilera Maldonado</v>
      </c>
      <c r="C150" s="5">
        <f>IF(ISERROR(VLOOKUP(T_Cuotas[[#This Row],[RUN]],Tabla_Pagos[],7,FALSE)),0,VLOOKUP(T_Cuotas[[#This Row],[RUN]],Tabla_Pagos[],7,FALSE))</f>
        <v>20000</v>
      </c>
      <c r="D150" s="5">
        <f>IF(ISERROR(VLOOKUP(T_Cuotas[[#This Row],[RUN]],Tabla_Pagos[],8,FALSE)),0,VLOOKUP(T_Cuotas[[#This Row],[RUN]],Tabla_Pagos[],8,FALSE))</f>
        <v>15000</v>
      </c>
      <c r="E150" s="5">
        <f>IF(ISERROR(VLOOKUP(T_Cuotas[[#This Row],[RUN]],Tabla_Pagos[],9,FALSE)),0,VLOOKUP(T_Cuotas[[#This Row],[RUN]],Tabla_Pagos[],9,FALSE))</f>
        <v>15000</v>
      </c>
      <c r="F150" s="5">
        <f>T_Cuotas[[#This Row],[Cuota_1]]+T_Cuotas[[#This Row],[Cuota_2]]+T_Cuotas[[#This Row],[Cuota_3]]</f>
        <v>50000</v>
      </c>
      <c r="G150" s="1">
        <f>COUNTIF(T_Cuotas[RUN],T_Cuotas[[#This Row],[RUN]])</f>
        <v>1</v>
      </c>
      <c r="H150" s="5" t="str">
        <f>IF(ISERROR(VLOOKUP(T_Cuotas[[#This Row],[RUN]],T_Voluntarios[],2,FALSE)),"No Existe",VLOOKUP(T_Cuotas[[#This Row],[RUN]],T_Voluntarios[],2,FALSE))</f>
        <v>fran.aguima@gmail.com</v>
      </c>
      <c r="I150" s="5"/>
      <c r="J150" s="5" t="str">
        <f>IF(ISERROR(VLOOKUP(T_Cuotas[[#This Row],[RUN]],T_Voluntarios[],8,FALSE)),"No Existe",VLOOKUP(T_Cuotas[[#This Row],[RUN]],T_Voluntarios[],8,FALSE))</f>
        <v>+56976704907</v>
      </c>
      <c r="K150" s="5" t="str">
        <f>IF(ISERROR(VLOOKUP(T_Cuotas[[#This Row],[RUN]],T_Voluntarios[],10,FALSE)),"No Existe",VLOOKUP(T_Cuotas[[#This Row],[RUN]],T_Voluntarios[],10,FALSE))</f>
        <v>Sagrados Corazones</v>
      </c>
      <c r="L150" s="5" t="str">
        <f>IF(ISERROR(VLOOKUP(T_Cuotas[[#This Row],[RUN]],T_Voluntarios[],30,FALSE)),"No Existe",VLOOKUP(T_Cuotas[[#This Row],[RUN]],T_Voluntarios[],30,FALSE))</f>
        <v>Vigente</v>
      </c>
      <c r="M150" s="5" t="str">
        <f>IF(ISERROR(VLOOKUP(T_Cuotas[[#This Row],[RUN]],T_Voluntarios[],13,FALSE)),"No Existe",VLOOKUP(T_Cuotas[[#This Row],[RUN]],T_Voluntarios[],13,FALSE))</f>
        <v>Alimentación Vegetariana</v>
      </c>
    </row>
    <row r="151" spans="1:13" x14ac:dyDescent="0.3">
      <c r="A151" s="2" t="s">
        <v>2591</v>
      </c>
      <c r="B151" t="str">
        <f>IF(ISERROR(VLOOKUP(T_Cuotas[[#This Row],[RUN]],T_Voluntarios[],3,FALSE)),"No Existe",VLOOKUP(T_Cuotas[[#This Row],[RUN]],T_Voluntarios[],3,FALSE))</f>
        <v>Macarena Vanessa Lavanderos Alarcon</v>
      </c>
      <c r="C151" s="5">
        <f>IF(ISERROR(VLOOKUP(T_Cuotas[[#This Row],[RUN]],Tabla_Pagos[],7,FALSE)),0,VLOOKUP(T_Cuotas[[#This Row],[RUN]],Tabla_Pagos[],7,FALSE))</f>
        <v>20000</v>
      </c>
      <c r="D151" s="5">
        <f>IF(ISERROR(VLOOKUP(T_Cuotas[[#This Row],[RUN]],Tabla_Pagos[],8,FALSE)),0,VLOOKUP(T_Cuotas[[#This Row],[RUN]],Tabla_Pagos[],8,FALSE))</f>
        <v>15000</v>
      </c>
      <c r="E151" s="5">
        <f>IF(ISERROR(VLOOKUP(T_Cuotas[[#This Row],[RUN]],Tabla_Pagos[],9,FALSE)),0,VLOOKUP(T_Cuotas[[#This Row],[RUN]],Tabla_Pagos[],9,FALSE))</f>
        <v>15000</v>
      </c>
      <c r="F151" s="5">
        <f>T_Cuotas[[#This Row],[Cuota_1]]+T_Cuotas[[#This Row],[Cuota_2]]+T_Cuotas[[#This Row],[Cuota_3]]</f>
        <v>50000</v>
      </c>
      <c r="G151" s="1">
        <f>COUNTIF(T_Cuotas[RUN],T_Cuotas[[#This Row],[RUN]])</f>
        <v>1</v>
      </c>
      <c r="H151" s="5" t="str">
        <f>IF(ISERROR(VLOOKUP(T_Cuotas[[#This Row],[RUN]],T_Voluntarios[],2,FALSE)),"No Existe",VLOOKUP(T_Cuotas[[#This Row],[RUN]],T_Voluntarios[],2,FALSE))</f>
        <v>coca32729@gmail.com</v>
      </c>
      <c r="I151" s="5"/>
      <c r="J151" s="5" t="str">
        <f>IF(ISERROR(VLOOKUP(T_Cuotas[[#This Row],[RUN]],T_Voluntarios[],8,FALSE)),"No Existe",VLOOKUP(T_Cuotas[[#This Row],[RUN]],T_Voluntarios[],8,FALSE))</f>
        <v>+56998425807</v>
      </c>
      <c r="K151" s="5" t="str">
        <f>IF(ISERROR(VLOOKUP(T_Cuotas[[#This Row],[RUN]],T_Voluntarios[],10,FALSE)),"No Existe",VLOOKUP(T_Cuotas[[#This Row],[RUN]],T_Voluntarios[],10,FALSE))</f>
        <v>Espíritu Santo</v>
      </c>
      <c r="L151" s="5" t="str">
        <f>IF(ISERROR(VLOOKUP(T_Cuotas[[#This Row],[RUN]],T_Voluntarios[],30,FALSE)),"No Existe",VLOOKUP(T_Cuotas[[#This Row],[RUN]],T_Voluntarios[],30,FALSE))</f>
        <v>Vigente</v>
      </c>
      <c r="M151" s="5" t="str">
        <f>IF(ISERROR(VLOOKUP(T_Cuotas[[#This Row],[RUN]],T_Voluntarios[],13,FALSE)),"No Existe",VLOOKUP(T_Cuotas[[#This Row],[RUN]],T_Voluntarios[],13,FALSE))</f>
        <v>Alimentación Tradicional</v>
      </c>
    </row>
    <row r="152" spans="1:13" x14ac:dyDescent="0.3">
      <c r="A152" s="2" t="s">
        <v>2707</v>
      </c>
      <c r="B152" t="str">
        <f>IF(ISERROR(VLOOKUP(T_Cuotas[[#This Row],[RUN]],T_Voluntarios[],3,FALSE)),"No Existe",VLOOKUP(T_Cuotas[[#This Row],[RUN]],T_Voluntarios[],3,FALSE))</f>
        <v>Francisca Nicole Reyes Gómez</v>
      </c>
      <c r="C152" s="5">
        <f>IF(ISERROR(VLOOKUP(T_Cuotas[[#This Row],[RUN]],Tabla_Pagos[],7,FALSE)),0,VLOOKUP(T_Cuotas[[#This Row],[RUN]],Tabla_Pagos[],7,FALSE))</f>
        <v>20000</v>
      </c>
      <c r="D152" s="5">
        <f>IF(ISERROR(VLOOKUP(T_Cuotas[[#This Row],[RUN]],Tabla_Pagos[],8,FALSE)),0,VLOOKUP(T_Cuotas[[#This Row],[RUN]],Tabla_Pagos[],8,FALSE))</f>
        <v>15000</v>
      </c>
      <c r="E152" s="5">
        <f>IF(ISERROR(VLOOKUP(T_Cuotas[[#This Row],[RUN]],Tabla_Pagos[],9,FALSE)),0,VLOOKUP(T_Cuotas[[#This Row],[RUN]],Tabla_Pagos[],9,FALSE))</f>
        <v>15000</v>
      </c>
      <c r="F152" s="5">
        <f>T_Cuotas[[#This Row],[Cuota_1]]+T_Cuotas[[#This Row],[Cuota_2]]+T_Cuotas[[#This Row],[Cuota_3]]</f>
        <v>50000</v>
      </c>
      <c r="G152" s="1">
        <f>COUNTIF(T_Cuotas[RUN],T_Cuotas[[#This Row],[RUN]])</f>
        <v>1</v>
      </c>
      <c r="H152" s="5" t="str">
        <f>IF(ISERROR(VLOOKUP(T_Cuotas[[#This Row],[RUN]],T_Voluntarios[],2,FALSE)),"No Existe",VLOOKUP(T_Cuotas[[#This Row],[RUN]],T_Voluntarios[],2,FALSE))</f>
        <v>francisca.reyesgomez@gmail.com</v>
      </c>
      <c r="I152" s="5"/>
      <c r="J152" s="5" t="str">
        <f>IF(ISERROR(VLOOKUP(T_Cuotas[[#This Row],[RUN]],T_Voluntarios[],8,FALSE)),"No Existe",VLOOKUP(T_Cuotas[[#This Row],[RUN]],T_Voluntarios[],8,FALSE))</f>
        <v>+56999164403</v>
      </c>
      <c r="K152" s="5" t="str">
        <f>IF(ISERROR(VLOOKUP(T_Cuotas[[#This Row],[RUN]],T_Voluntarios[],10,FALSE)),"No Existe",VLOOKUP(T_Cuotas[[#This Row],[RUN]],T_Voluntarios[],10,FALSE))</f>
        <v>Terranova</v>
      </c>
      <c r="L152" s="5" t="str">
        <f>IF(ISERROR(VLOOKUP(T_Cuotas[[#This Row],[RUN]],T_Voluntarios[],30,FALSE)),"No Existe",VLOOKUP(T_Cuotas[[#This Row],[RUN]],T_Voluntarios[],30,FALSE))</f>
        <v>Vigente</v>
      </c>
      <c r="M152" s="5" t="str">
        <f>IF(ISERROR(VLOOKUP(T_Cuotas[[#This Row],[RUN]],T_Voluntarios[],13,FALSE)),"No Existe",VLOOKUP(T_Cuotas[[#This Row],[RUN]],T_Voluntarios[],13,FALSE))</f>
        <v>Alimentación Vegetariana</v>
      </c>
    </row>
    <row r="153" spans="1:13" hidden="1" x14ac:dyDescent="0.3">
      <c r="A153" s="2" t="s">
        <v>2551</v>
      </c>
      <c r="B153" t="str">
        <f>IF(ISERROR(VLOOKUP(T_Cuotas[[#This Row],[RUN]],T_Voluntarios[],3,FALSE)),"No Existe",VLOOKUP(T_Cuotas[[#This Row],[RUN]],T_Voluntarios[],3,FALSE))</f>
        <v>Aylin Isadora Fierro Vera</v>
      </c>
      <c r="C153" s="5">
        <f>IF(ISERROR(VLOOKUP(T_Cuotas[[#This Row],[RUN]],Tabla_Pagos[],7,FALSE)),0,VLOOKUP(T_Cuotas[[#This Row],[RUN]],Tabla_Pagos[],7,FALSE))</f>
        <v>0</v>
      </c>
      <c r="D153" s="5">
        <f>IF(ISERROR(VLOOKUP(T_Cuotas[[#This Row],[RUN]],Tabla_Pagos[],8,FALSE)),0,VLOOKUP(T_Cuotas[[#This Row],[RUN]],Tabla_Pagos[],8,FALSE))</f>
        <v>0</v>
      </c>
      <c r="E153" s="5">
        <f>IF(ISERROR(VLOOKUP(T_Cuotas[[#This Row],[RUN]],Tabla_Pagos[],9,FALSE)),0,VLOOKUP(T_Cuotas[[#This Row],[RUN]],Tabla_Pagos[],9,FALSE))</f>
        <v>0</v>
      </c>
      <c r="F153" s="5">
        <f>T_Cuotas[[#This Row],[Cuota_1]]+T_Cuotas[[#This Row],[Cuota_2]]+T_Cuotas[[#This Row],[Cuota_3]]</f>
        <v>0</v>
      </c>
      <c r="G153" s="1">
        <f>COUNTIF(T_Cuotas[RUN],T_Cuotas[[#This Row],[RUN]])</f>
        <v>1</v>
      </c>
      <c r="H153" s="5" t="str">
        <f>IF(ISERROR(VLOOKUP(T_Cuotas[[#This Row],[RUN]],T_Voluntarios[],2,FALSE)),"No Existe",VLOOKUP(T_Cuotas[[#This Row],[RUN]],T_Voluntarios[],2,FALSE))</f>
        <v>aylinfierrovera@gmail.com</v>
      </c>
      <c r="I153" s="5"/>
      <c r="J153" s="5" t="str">
        <f>IF(ISERROR(VLOOKUP(T_Cuotas[[#This Row],[RUN]],T_Voluntarios[],8,FALSE)),"No Existe",VLOOKUP(T_Cuotas[[#This Row],[RUN]],T_Voluntarios[],8,FALSE))</f>
        <v>+56986440986</v>
      </c>
      <c r="K153" s="5" t="str">
        <f>IF(ISERROR(VLOOKUP(T_Cuotas[[#This Row],[RUN]],T_Voluntarios[],10,FALSE)),"No Existe",VLOOKUP(T_Cuotas[[#This Row],[RUN]],T_Voluntarios[],10,FALSE))</f>
        <v>San Francisco</v>
      </c>
      <c r="L153" s="5" t="str">
        <f>IF(ISERROR(VLOOKUP(T_Cuotas[[#This Row],[RUN]],T_Voluntarios[],30,FALSE)),"No Existe",VLOOKUP(T_Cuotas[[#This Row],[RUN]],T_Voluntarios[],30,FALSE))</f>
        <v>NO Vigente</v>
      </c>
      <c r="M153" s="5" t="str">
        <f>IF(ISERROR(VLOOKUP(T_Cuotas[[#This Row],[RUN]],T_Voluntarios[],13,FALSE)),"No Existe",VLOOKUP(T_Cuotas[[#This Row],[RUN]],T_Voluntarios[],13,FALSE))</f>
        <v>Alimentación Tradicional</v>
      </c>
    </row>
    <row r="154" spans="1:13" x14ac:dyDescent="0.3">
      <c r="A154" s="2" t="s">
        <v>2627</v>
      </c>
      <c r="B154" t="str">
        <f>IF(ISERROR(VLOOKUP(T_Cuotas[[#This Row],[RUN]],T_Voluntarios[],3,FALSE)),"No Existe",VLOOKUP(T_Cuotas[[#This Row],[RUN]],T_Voluntarios[],3,FALSE))</f>
        <v>Raul Andrés Benavides Videla</v>
      </c>
      <c r="C154" s="5">
        <f>IF(ISERROR(VLOOKUP(T_Cuotas[[#This Row],[RUN]],Tabla_Pagos[],7,FALSE)),0,VLOOKUP(T_Cuotas[[#This Row],[RUN]],Tabla_Pagos[],7,FALSE))</f>
        <v>20000</v>
      </c>
      <c r="D154" s="5">
        <f>IF(ISERROR(VLOOKUP(T_Cuotas[[#This Row],[RUN]],Tabla_Pagos[],8,FALSE)),0,VLOOKUP(T_Cuotas[[#This Row],[RUN]],Tabla_Pagos[],8,FALSE))</f>
        <v>15000</v>
      </c>
      <c r="E154" s="5">
        <f>IF(ISERROR(VLOOKUP(T_Cuotas[[#This Row],[RUN]],Tabla_Pagos[],9,FALSE)),0,VLOOKUP(T_Cuotas[[#This Row],[RUN]],Tabla_Pagos[],9,FALSE))</f>
        <v>15000</v>
      </c>
      <c r="F154" s="5">
        <f>T_Cuotas[[#This Row],[Cuota_1]]+T_Cuotas[[#This Row],[Cuota_2]]+T_Cuotas[[#This Row],[Cuota_3]]</f>
        <v>50000</v>
      </c>
      <c r="G154" s="1">
        <f>COUNTIF(T_Cuotas[RUN],T_Cuotas[[#This Row],[RUN]])</f>
        <v>1</v>
      </c>
      <c r="H154" s="5" t="str">
        <f>IF(ISERROR(VLOOKUP(T_Cuotas[[#This Row],[RUN]],T_Voluntarios[],2,FALSE)),"No Existe",VLOOKUP(T_Cuotas[[#This Row],[RUN]],T_Voluntarios[],2,FALSE))</f>
        <v>raulbv777@gmail.com</v>
      </c>
      <c r="I154" s="5"/>
      <c r="J154" s="5" t="str">
        <f>IF(ISERROR(VLOOKUP(T_Cuotas[[#This Row],[RUN]],T_Voluntarios[],8,FALSE)),"No Existe",VLOOKUP(T_Cuotas[[#This Row],[RUN]],T_Voluntarios[],8,FALSE))</f>
        <v>+56942198380</v>
      </c>
      <c r="K154" s="5" t="str">
        <f>IF(ISERROR(VLOOKUP(T_Cuotas[[#This Row],[RUN]],T_Voluntarios[],10,FALSE)),"No Existe",VLOOKUP(T_Cuotas[[#This Row],[RUN]],T_Voluntarios[],10,FALSE))</f>
        <v>Buen Pastor</v>
      </c>
      <c r="L154" s="5" t="str">
        <f>IF(ISERROR(VLOOKUP(T_Cuotas[[#This Row],[RUN]],T_Voluntarios[],30,FALSE)),"No Existe",VLOOKUP(T_Cuotas[[#This Row],[RUN]],T_Voluntarios[],30,FALSE))</f>
        <v>Vigente</v>
      </c>
      <c r="M154" s="5" t="str">
        <f>IF(ISERROR(VLOOKUP(T_Cuotas[[#This Row],[RUN]],T_Voluntarios[],13,FALSE)),"No Existe",VLOOKUP(T_Cuotas[[#This Row],[RUN]],T_Voluntarios[],13,FALSE))</f>
        <v>Alimentación Tradicional</v>
      </c>
    </row>
    <row r="155" spans="1:13" x14ac:dyDescent="0.3">
      <c r="A155" s="2" t="s">
        <v>2561</v>
      </c>
      <c r="B155" t="str">
        <f>IF(ISERROR(VLOOKUP(T_Cuotas[[#This Row],[RUN]],T_Voluntarios[],3,FALSE)),"No Existe",VLOOKUP(T_Cuotas[[#This Row],[RUN]],T_Voluntarios[],3,FALSE))</f>
        <v>Valentina Andrea Arredondo Gutierrez</v>
      </c>
      <c r="C155" s="5">
        <f>IF(ISERROR(VLOOKUP(T_Cuotas[[#This Row],[RUN]],Tabla_Pagos[],7,FALSE)),0,VLOOKUP(T_Cuotas[[#This Row],[RUN]],Tabla_Pagos[],7,FALSE))</f>
        <v>20000</v>
      </c>
      <c r="D155" s="5">
        <f>IF(ISERROR(VLOOKUP(T_Cuotas[[#This Row],[RUN]],Tabla_Pagos[],8,FALSE)),0,VLOOKUP(T_Cuotas[[#This Row],[RUN]],Tabla_Pagos[],8,FALSE))</f>
        <v>15000</v>
      </c>
      <c r="E155" s="5">
        <f>IF(ISERROR(VLOOKUP(T_Cuotas[[#This Row],[RUN]],Tabla_Pagos[],9,FALSE)),0,VLOOKUP(T_Cuotas[[#This Row],[RUN]],Tabla_Pagos[],9,FALSE))</f>
        <v>15000</v>
      </c>
      <c r="F155" s="5">
        <f>T_Cuotas[[#This Row],[Cuota_1]]+T_Cuotas[[#This Row],[Cuota_2]]+T_Cuotas[[#This Row],[Cuota_3]]</f>
        <v>50000</v>
      </c>
      <c r="G155" s="1">
        <f>COUNTIF(T_Cuotas[RUN],T_Cuotas[[#This Row],[RUN]])</f>
        <v>1</v>
      </c>
      <c r="H155" s="5" t="str">
        <f>IF(ISERROR(VLOOKUP(T_Cuotas[[#This Row],[RUN]],T_Voluntarios[],2,FALSE)),"No Existe",VLOOKUP(T_Cuotas[[#This Row],[RUN]],T_Voluntarios[],2,FALSE))</f>
        <v>valentina.arre2@gmail.com</v>
      </c>
      <c r="I155" s="5"/>
      <c r="J155" s="5" t="str">
        <f>IF(ISERROR(VLOOKUP(T_Cuotas[[#This Row],[RUN]],T_Voluntarios[],8,FALSE)),"No Existe",VLOOKUP(T_Cuotas[[#This Row],[RUN]],T_Voluntarios[],8,FALSE))</f>
        <v>+56920298323</v>
      </c>
      <c r="K155" s="5" t="str">
        <f>IF(ISERROR(VLOOKUP(T_Cuotas[[#This Row],[RUN]],T_Voluntarios[],10,FALSE)),"No Existe",VLOOKUP(T_Cuotas[[#This Row],[RUN]],T_Voluntarios[],10,FALSE))</f>
        <v>San Bartolomé</v>
      </c>
      <c r="L155" s="5" t="str">
        <f>IF(ISERROR(VLOOKUP(T_Cuotas[[#This Row],[RUN]],T_Voluntarios[],30,FALSE)),"No Existe",VLOOKUP(T_Cuotas[[#This Row],[RUN]],T_Voluntarios[],30,FALSE))</f>
        <v>Vigente</v>
      </c>
      <c r="M155" s="5" t="str">
        <f>IF(ISERROR(VLOOKUP(T_Cuotas[[#This Row],[RUN]],T_Voluntarios[],13,FALSE)),"No Existe",VLOOKUP(T_Cuotas[[#This Row],[RUN]],T_Voluntarios[],13,FALSE))</f>
        <v>Alimentación Tradicional</v>
      </c>
    </row>
    <row r="156" spans="1:13" x14ac:dyDescent="0.3">
      <c r="A156" s="2" t="s">
        <v>2569</v>
      </c>
      <c r="B156" t="str">
        <f>IF(ISERROR(VLOOKUP(T_Cuotas[[#This Row],[RUN]],T_Voluntarios[],3,FALSE)),"No Existe",VLOOKUP(T_Cuotas[[#This Row],[RUN]],T_Voluntarios[],3,FALSE))</f>
        <v>Bruno Isaac Medel Parra</v>
      </c>
      <c r="C156" s="5">
        <f>IF(ISERROR(VLOOKUP(T_Cuotas[[#This Row],[RUN]],Tabla_Pagos[],7,FALSE)),0,VLOOKUP(T_Cuotas[[#This Row],[RUN]],Tabla_Pagos[],7,FALSE))</f>
        <v>20000</v>
      </c>
      <c r="D156" s="5">
        <f>IF(ISERROR(VLOOKUP(T_Cuotas[[#This Row],[RUN]],Tabla_Pagos[],8,FALSE)),0,VLOOKUP(T_Cuotas[[#This Row],[RUN]],Tabla_Pagos[],8,FALSE))</f>
        <v>15000</v>
      </c>
      <c r="E156" s="5">
        <f>IF(ISERROR(VLOOKUP(T_Cuotas[[#This Row],[RUN]],Tabla_Pagos[],9,FALSE)),0,VLOOKUP(T_Cuotas[[#This Row],[RUN]],Tabla_Pagos[],9,FALSE))</f>
        <v>15000</v>
      </c>
      <c r="F156" s="5">
        <f>T_Cuotas[[#This Row],[Cuota_1]]+T_Cuotas[[#This Row],[Cuota_2]]+T_Cuotas[[#This Row],[Cuota_3]]</f>
        <v>50000</v>
      </c>
      <c r="G156" s="1">
        <f>COUNTIF(T_Cuotas[RUN],T_Cuotas[[#This Row],[RUN]])</f>
        <v>1</v>
      </c>
      <c r="H156" s="5" t="str">
        <f>IF(ISERROR(VLOOKUP(T_Cuotas[[#This Row],[RUN]],T_Voluntarios[],2,FALSE)),"No Existe",VLOOKUP(T_Cuotas[[#This Row],[RUN]],T_Voluntarios[],2,FALSE))</f>
        <v>bruno.isaac.medel.parra@gmail.com</v>
      </c>
      <c r="I156" s="5"/>
      <c r="J156" s="5" t="str">
        <f>IF(ISERROR(VLOOKUP(T_Cuotas[[#This Row],[RUN]],T_Voluntarios[],8,FALSE)),"No Existe",VLOOKUP(T_Cuotas[[#This Row],[RUN]],T_Voluntarios[],8,FALSE))</f>
        <v>+56934876772</v>
      </c>
      <c r="K156" s="5" t="str">
        <f>IF(ISERROR(VLOOKUP(T_Cuotas[[#This Row],[RUN]],T_Voluntarios[],10,FALSE)),"No Existe",VLOOKUP(T_Cuotas[[#This Row],[RUN]],T_Voluntarios[],10,FALSE))</f>
        <v>Santa Cecilia</v>
      </c>
      <c r="L156" s="5" t="str">
        <f>IF(ISERROR(VLOOKUP(T_Cuotas[[#This Row],[RUN]],T_Voluntarios[],30,FALSE)),"No Existe",VLOOKUP(T_Cuotas[[#This Row],[RUN]],T_Voluntarios[],30,FALSE))</f>
        <v>Vigente</v>
      </c>
      <c r="M156" s="5" t="str">
        <f>IF(ISERROR(VLOOKUP(T_Cuotas[[#This Row],[RUN]],T_Voluntarios[],13,FALSE)),"No Existe",VLOOKUP(T_Cuotas[[#This Row],[RUN]],T_Voluntarios[],13,FALSE))</f>
        <v>Alimentación Tradicional</v>
      </c>
    </row>
    <row r="157" spans="1:13" x14ac:dyDescent="0.3">
      <c r="A157" s="2" t="s">
        <v>2578</v>
      </c>
      <c r="B157" t="str">
        <f>IF(ISERROR(VLOOKUP(T_Cuotas[[#This Row],[RUN]],T_Voluntarios[],3,FALSE)),"No Existe",VLOOKUP(T_Cuotas[[#This Row],[RUN]],T_Voluntarios[],3,FALSE))</f>
        <v>Álvaro Antonio Peñailillo Castillo</v>
      </c>
      <c r="C157" s="5">
        <f>IF(ISERROR(VLOOKUP(T_Cuotas[[#This Row],[RUN]],Tabla_Pagos[],7,FALSE)),0,VLOOKUP(T_Cuotas[[#This Row],[RUN]],Tabla_Pagos[],7,FALSE))</f>
        <v>20000</v>
      </c>
      <c r="D157" s="5">
        <f>IF(ISERROR(VLOOKUP(T_Cuotas[[#This Row],[RUN]],Tabla_Pagos[],8,FALSE)),0,VLOOKUP(T_Cuotas[[#This Row],[RUN]],Tabla_Pagos[],8,FALSE))</f>
        <v>15000</v>
      </c>
      <c r="E157" s="5">
        <f>IF(ISERROR(VLOOKUP(T_Cuotas[[#This Row],[RUN]],Tabla_Pagos[],9,FALSE)),0,VLOOKUP(T_Cuotas[[#This Row],[RUN]],Tabla_Pagos[],9,FALSE))</f>
        <v>15000</v>
      </c>
      <c r="F157" s="5">
        <f>T_Cuotas[[#This Row],[Cuota_1]]+T_Cuotas[[#This Row],[Cuota_2]]+T_Cuotas[[#This Row],[Cuota_3]]</f>
        <v>50000</v>
      </c>
      <c r="G157" s="1">
        <f>COUNTIF(T_Cuotas[RUN],T_Cuotas[[#This Row],[RUN]])</f>
        <v>1</v>
      </c>
      <c r="H157" s="5" t="str">
        <f>IF(ISERROR(VLOOKUP(T_Cuotas[[#This Row],[RUN]],T_Voluntarios[],2,FALSE)),"No Existe",VLOOKUP(T_Cuotas[[#This Row],[RUN]],T_Voluntarios[],2,FALSE))</f>
        <v>a.penailillo10@gmail.com</v>
      </c>
      <c r="I157" s="5"/>
      <c r="J157" s="5" t="str">
        <f>IF(ISERROR(VLOOKUP(T_Cuotas[[#This Row],[RUN]],T_Voluntarios[],8,FALSE)),"No Existe",VLOOKUP(T_Cuotas[[#This Row],[RUN]],T_Voluntarios[],8,FALSE))</f>
        <v>+56971599609</v>
      </c>
      <c r="K157" s="5" t="str">
        <f>IF(ISERROR(VLOOKUP(T_Cuotas[[#This Row],[RUN]],T_Voluntarios[],10,FALSE)),"No Existe",VLOOKUP(T_Cuotas[[#This Row],[RUN]],T_Voluntarios[],10,FALSE))</f>
        <v>Santa Cecilia</v>
      </c>
      <c r="L157" s="5" t="str">
        <f>IF(ISERROR(VLOOKUP(T_Cuotas[[#This Row],[RUN]],T_Voluntarios[],30,FALSE)),"No Existe",VLOOKUP(T_Cuotas[[#This Row],[RUN]],T_Voluntarios[],30,FALSE))</f>
        <v>Vigente</v>
      </c>
      <c r="M157" s="5" t="str">
        <f>IF(ISERROR(VLOOKUP(T_Cuotas[[#This Row],[RUN]],T_Voluntarios[],13,FALSE)),"No Existe",VLOOKUP(T_Cuotas[[#This Row],[RUN]],T_Voluntarios[],13,FALSE))</f>
        <v>Alimentación Tradicional</v>
      </c>
    </row>
    <row r="158" spans="1:13" x14ac:dyDescent="0.3">
      <c r="A158" s="2" t="s">
        <v>2730</v>
      </c>
      <c r="B158" t="str">
        <f>IF(ISERROR(VLOOKUP(T_Cuotas[[#This Row],[RUN]],T_Voluntarios[],3,FALSE)),"No Existe",VLOOKUP(T_Cuotas[[#This Row],[RUN]],T_Voluntarios[],3,FALSE))</f>
        <v>Paula Andrea Castillo Torres</v>
      </c>
      <c r="C158" s="5">
        <f>IF(ISERROR(VLOOKUP(T_Cuotas[[#This Row],[RUN]],Tabla_Pagos[],7,FALSE)),0,VLOOKUP(T_Cuotas[[#This Row],[RUN]],Tabla_Pagos[],7,FALSE))</f>
        <v>20000</v>
      </c>
      <c r="D158" s="5">
        <f>IF(ISERROR(VLOOKUP(T_Cuotas[[#This Row],[RUN]],Tabla_Pagos[],8,FALSE)),0,VLOOKUP(T_Cuotas[[#This Row],[RUN]],Tabla_Pagos[],8,FALSE))</f>
        <v>15000</v>
      </c>
      <c r="E158" s="5">
        <f>IF(ISERROR(VLOOKUP(T_Cuotas[[#This Row],[RUN]],Tabla_Pagos[],9,FALSE)),0,VLOOKUP(T_Cuotas[[#This Row],[RUN]],Tabla_Pagos[],9,FALSE))</f>
        <v>15000</v>
      </c>
      <c r="F158" s="5">
        <f>T_Cuotas[[#This Row],[Cuota_1]]+T_Cuotas[[#This Row],[Cuota_2]]+T_Cuotas[[#This Row],[Cuota_3]]</f>
        <v>50000</v>
      </c>
      <c r="G158" s="1">
        <f>COUNTIF(T_Cuotas[RUN],T_Cuotas[[#This Row],[RUN]])</f>
        <v>1</v>
      </c>
      <c r="H158" s="5" t="str">
        <f>IF(ISERROR(VLOOKUP(T_Cuotas[[#This Row],[RUN]],T_Voluntarios[],2,FALSE)),"No Existe",VLOOKUP(T_Cuotas[[#This Row],[RUN]],T_Voluntarios[],2,FALSE))</f>
        <v>paulaacastillotorres@gmail.com</v>
      </c>
      <c r="I158" s="5"/>
      <c r="J158" s="5" t="str">
        <f>IF(ISERROR(VLOOKUP(T_Cuotas[[#This Row],[RUN]],T_Voluntarios[],8,FALSE)),"No Existe",VLOOKUP(T_Cuotas[[#This Row],[RUN]],T_Voluntarios[],8,FALSE))</f>
        <v>+56951394372</v>
      </c>
      <c r="K158" s="5" t="str">
        <f>IF(ISERROR(VLOOKUP(T_Cuotas[[#This Row],[RUN]],T_Voluntarios[],10,FALSE)),"No Existe",VLOOKUP(T_Cuotas[[#This Row],[RUN]],T_Voluntarios[],10,FALSE))</f>
        <v>San Vicente</v>
      </c>
      <c r="L158" s="5" t="str">
        <f>IF(ISERROR(VLOOKUP(T_Cuotas[[#This Row],[RUN]],T_Voluntarios[],30,FALSE)),"No Existe",VLOOKUP(T_Cuotas[[#This Row],[RUN]],T_Voluntarios[],30,FALSE))</f>
        <v>Vigente</v>
      </c>
      <c r="M158" s="5" t="str">
        <f>IF(ISERROR(VLOOKUP(T_Cuotas[[#This Row],[RUN]],T_Voluntarios[],13,FALSE)),"No Existe",VLOOKUP(T_Cuotas[[#This Row],[RUN]],T_Voluntarios[],13,FALSE))</f>
        <v>Alimentación Tradicional</v>
      </c>
    </row>
    <row r="159" spans="1:13" x14ac:dyDescent="0.3">
      <c r="A159" s="2" t="s">
        <v>2740</v>
      </c>
      <c r="B159" t="str">
        <f>IF(ISERROR(VLOOKUP(T_Cuotas[[#This Row],[RUN]],T_Voluntarios[],3,FALSE)),"No Existe",VLOOKUP(T_Cuotas[[#This Row],[RUN]],T_Voluntarios[],3,FALSE))</f>
        <v>Constanza Elizabeth Beltran Fuentes</v>
      </c>
      <c r="C159" s="5">
        <f>IF(ISERROR(VLOOKUP(T_Cuotas[[#This Row],[RUN]],Tabla_Pagos[],7,FALSE)),0,VLOOKUP(T_Cuotas[[#This Row],[RUN]],Tabla_Pagos[],7,FALSE))</f>
        <v>20000</v>
      </c>
      <c r="D159" s="5">
        <f>IF(ISERROR(VLOOKUP(T_Cuotas[[#This Row],[RUN]],Tabla_Pagos[],8,FALSE)),0,VLOOKUP(T_Cuotas[[#This Row],[RUN]],Tabla_Pagos[],8,FALSE))</f>
        <v>16500</v>
      </c>
      <c r="E159" s="5">
        <f>IF(ISERROR(VLOOKUP(T_Cuotas[[#This Row],[RUN]],Tabla_Pagos[],9,FALSE)),0,VLOOKUP(T_Cuotas[[#This Row],[RUN]],Tabla_Pagos[],9,FALSE))</f>
        <v>0</v>
      </c>
      <c r="F159" s="5">
        <f>T_Cuotas[[#This Row],[Cuota_1]]+T_Cuotas[[#This Row],[Cuota_2]]+T_Cuotas[[#This Row],[Cuota_3]]</f>
        <v>36500</v>
      </c>
      <c r="G159" s="1">
        <f>COUNTIF(T_Cuotas[RUN],T_Cuotas[[#This Row],[RUN]])</f>
        <v>1</v>
      </c>
      <c r="H159" s="5" t="str">
        <f>IF(ISERROR(VLOOKUP(T_Cuotas[[#This Row],[RUN]],T_Voluntarios[],2,FALSE)),"No Existe",VLOOKUP(T_Cuotas[[#This Row],[RUN]],T_Voluntarios[],2,FALSE))</f>
        <v>coni.beltranfe@gmail.com</v>
      </c>
      <c r="I159" s="5"/>
      <c r="J159" s="5" t="str">
        <f>IF(ISERROR(VLOOKUP(T_Cuotas[[#This Row],[RUN]],T_Voluntarios[],8,FALSE)),"No Existe",VLOOKUP(T_Cuotas[[#This Row],[RUN]],T_Voluntarios[],8,FALSE))</f>
        <v>+56945936163</v>
      </c>
      <c r="K159" s="5" t="str">
        <f>IF(ISERROR(VLOOKUP(T_Cuotas[[#This Row],[RUN]],T_Voluntarios[],10,FALSE)),"No Existe",VLOOKUP(T_Cuotas[[#This Row],[RUN]],T_Voluntarios[],10,FALSE))</f>
        <v>Buen Pastor</v>
      </c>
      <c r="L159" s="5" t="str">
        <f>IF(ISERROR(VLOOKUP(T_Cuotas[[#This Row],[RUN]],T_Voluntarios[],30,FALSE)),"No Existe",VLOOKUP(T_Cuotas[[#This Row],[RUN]],T_Voluntarios[],30,FALSE))</f>
        <v>Vigente</v>
      </c>
      <c r="M159" s="5" t="str">
        <f>IF(ISERROR(VLOOKUP(T_Cuotas[[#This Row],[RUN]],T_Voluntarios[],13,FALSE)),"No Existe",VLOOKUP(T_Cuotas[[#This Row],[RUN]],T_Voluntarios[],13,FALSE))</f>
        <v>Sin Almuerzo</v>
      </c>
    </row>
    <row r="160" spans="1:13" hidden="1" x14ac:dyDescent="0.3">
      <c r="A160" s="2" t="s">
        <v>2749</v>
      </c>
      <c r="B160" t="str">
        <f>IF(ISERROR(VLOOKUP(T_Cuotas[[#This Row],[RUN]],T_Voluntarios[],3,FALSE)),"No Existe",VLOOKUP(T_Cuotas[[#This Row],[RUN]],T_Voluntarios[],3,FALSE))</f>
        <v>Jaime Alejandro Sepulveda Sepulveda</v>
      </c>
      <c r="C160" s="5">
        <f>IF(ISERROR(VLOOKUP(T_Cuotas[[#This Row],[RUN]],Tabla_Pagos[],7,FALSE)),0,VLOOKUP(T_Cuotas[[#This Row],[RUN]],Tabla_Pagos[],7,FALSE))</f>
        <v>0</v>
      </c>
      <c r="D160" s="5">
        <f>IF(ISERROR(VLOOKUP(T_Cuotas[[#This Row],[RUN]],Tabla_Pagos[],8,FALSE)),0,VLOOKUP(T_Cuotas[[#This Row],[RUN]],Tabla_Pagos[],8,FALSE))</f>
        <v>0</v>
      </c>
      <c r="E160" s="5">
        <f>IF(ISERROR(VLOOKUP(T_Cuotas[[#This Row],[RUN]],Tabla_Pagos[],9,FALSE)),0,VLOOKUP(T_Cuotas[[#This Row],[RUN]],Tabla_Pagos[],9,FALSE))</f>
        <v>0</v>
      </c>
      <c r="F160" s="5">
        <f>T_Cuotas[[#This Row],[Cuota_1]]+T_Cuotas[[#This Row],[Cuota_2]]+T_Cuotas[[#This Row],[Cuota_3]]</f>
        <v>0</v>
      </c>
      <c r="G160" s="1">
        <f>COUNTIF(T_Cuotas[RUN],T_Cuotas[[#This Row],[RUN]])</f>
        <v>1</v>
      </c>
      <c r="H160" s="5" t="str">
        <f>IF(ISERROR(VLOOKUP(T_Cuotas[[#This Row],[RUN]],T_Voluntarios[],2,FALSE)),"No Existe",VLOOKUP(T_Cuotas[[#This Row],[RUN]],T_Voluntarios[],2,FALSE))</f>
        <v>jaimesep68@gmail.com</v>
      </c>
      <c r="I160" s="5"/>
      <c r="J160" s="5" t="str">
        <f>IF(ISERROR(VLOOKUP(T_Cuotas[[#This Row],[RUN]],T_Voluntarios[],8,FALSE)),"No Existe",VLOOKUP(T_Cuotas[[#This Row],[RUN]],T_Voluntarios[],8,FALSE))</f>
        <v>+56940714170</v>
      </c>
      <c r="K160" s="5" t="str">
        <f>IF(ISERROR(VLOOKUP(T_Cuotas[[#This Row],[RUN]],T_Voluntarios[],10,FALSE)),"No Existe",VLOOKUP(T_Cuotas[[#This Row],[RUN]],T_Voluntarios[],10,FALSE))</f>
        <v>Terranova</v>
      </c>
      <c r="L160" s="5" t="str">
        <f>IF(ISERROR(VLOOKUP(T_Cuotas[[#This Row],[RUN]],T_Voluntarios[],30,FALSE)),"No Existe",VLOOKUP(T_Cuotas[[#This Row],[RUN]],T_Voluntarios[],30,FALSE))</f>
        <v>NO Vigente</v>
      </c>
      <c r="M160" s="5" t="str">
        <f>IF(ISERROR(VLOOKUP(T_Cuotas[[#This Row],[RUN]],T_Voluntarios[],13,FALSE)),"No Existe",VLOOKUP(T_Cuotas[[#This Row],[RUN]],T_Voluntarios[],13,FALSE))</f>
        <v>Alimentación Tradicional</v>
      </c>
    </row>
    <row r="161" spans="1:13" hidden="1" x14ac:dyDescent="0.3">
      <c r="A161" s="2" t="s">
        <v>2762</v>
      </c>
      <c r="B161" t="str">
        <f>IF(ISERROR(VLOOKUP(T_Cuotas[[#This Row],[RUN]],T_Voluntarios[],3,FALSE)),"No Existe",VLOOKUP(T_Cuotas[[#This Row],[RUN]],T_Voluntarios[],3,FALSE))</f>
        <v>Pedro Ignacio González Irribarra</v>
      </c>
      <c r="C161" s="5">
        <f>IF(ISERROR(VLOOKUP(T_Cuotas[[#This Row],[RUN]],Tabla_Pagos[],7,FALSE)),0,VLOOKUP(T_Cuotas[[#This Row],[RUN]],Tabla_Pagos[],7,FALSE))</f>
        <v>0</v>
      </c>
      <c r="D161" s="5">
        <f>IF(ISERROR(VLOOKUP(T_Cuotas[[#This Row],[RUN]],Tabla_Pagos[],8,FALSE)),0,VLOOKUP(T_Cuotas[[#This Row],[RUN]],Tabla_Pagos[],8,FALSE))</f>
        <v>0</v>
      </c>
      <c r="E161" s="5">
        <f>IF(ISERROR(VLOOKUP(T_Cuotas[[#This Row],[RUN]],Tabla_Pagos[],9,FALSE)),0,VLOOKUP(T_Cuotas[[#This Row],[RUN]],Tabla_Pagos[],9,FALSE))</f>
        <v>0</v>
      </c>
      <c r="F161" s="5">
        <f>T_Cuotas[[#This Row],[Cuota_1]]+T_Cuotas[[#This Row],[Cuota_2]]+T_Cuotas[[#This Row],[Cuota_3]]</f>
        <v>0</v>
      </c>
      <c r="G161" s="1">
        <f>COUNTIF(T_Cuotas[RUN],T_Cuotas[[#This Row],[RUN]])</f>
        <v>1</v>
      </c>
      <c r="H161" s="5" t="str">
        <f>IF(ISERROR(VLOOKUP(T_Cuotas[[#This Row],[RUN]],T_Voluntarios[],2,FALSE)),"No Existe",VLOOKUP(T_Cuotas[[#This Row],[RUN]],T_Voluntarios[],2,FALSE))</f>
        <v>pedrogonzalezirribarra@gmail.com</v>
      </c>
      <c r="I161" s="5"/>
      <c r="J161" s="5" t="str">
        <f>IF(ISERROR(VLOOKUP(T_Cuotas[[#This Row],[RUN]],T_Voluntarios[],8,FALSE)),"No Existe",VLOOKUP(T_Cuotas[[#This Row],[RUN]],T_Voluntarios[],8,FALSE))</f>
        <v>+56989183192</v>
      </c>
      <c r="K161" s="5" t="str">
        <f>IF(ISERROR(VLOOKUP(T_Cuotas[[#This Row],[RUN]],T_Voluntarios[],10,FALSE)),"No Existe",VLOOKUP(T_Cuotas[[#This Row],[RUN]],T_Voluntarios[],10,FALSE))</f>
        <v>Santa María</v>
      </c>
      <c r="L161" s="5" t="str">
        <f>IF(ISERROR(VLOOKUP(T_Cuotas[[#This Row],[RUN]],T_Voluntarios[],30,FALSE)),"No Existe",VLOOKUP(T_Cuotas[[#This Row],[RUN]],T_Voluntarios[],30,FALSE))</f>
        <v>NO Vigente</v>
      </c>
      <c r="M161" s="5" t="str">
        <f>IF(ISERROR(VLOOKUP(T_Cuotas[[#This Row],[RUN]],T_Voluntarios[],13,FALSE)),"No Existe",VLOOKUP(T_Cuotas[[#This Row],[RUN]],T_Voluntarios[],13,FALSE))</f>
        <v>Alimentación Tradicional</v>
      </c>
    </row>
    <row r="162" spans="1:13" x14ac:dyDescent="0.3">
      <c r="A162" s="2" t="s">
        <v>2808</v>
      </c>
      <c r="B162" t="str">
        <f>IF(ISERROR(VLOOKUP(T_Cuotas[[#This Row],[RUN]],T_Voluntarios[],3,FALSE)),"No Existe",VLOOKUP(T_Cuotas[[#This Row],[RUN]],T_Voluntarios[],3,FALSE))</f>
        <v>Cristóbal Celso Riffo Puentes</v>
      </c>
      <c r="C162" s="5">
        <f>IF(ISERROR(VLOOKUP(T_Cuotas[[#This Row],[RUN]],Tabla_Pagos[],7,FALSE)),0,VLOOKUP(T_Cuotas[[#This Row],[RUN]],Tabla_Pagos[],7,FALSE))</f>
        <v>20000</v>
      </c>
      <c r="D162" s="5">
        <f>IF(ISERROR(VLOOKUP(T_Cuotas[[#This Row],[RUN]],Tabla_Pagos[],8,FALSE)),0,VLOOKUP(T_Cuotas[[#This Row],[RUN]],Tabla_Pagos[],8,FALSE))</f>
        <v>15000</v>
      </c>
      <c r="E162" s="5">
        <f>IF(ISERROR(VLOOKUP(T_Cuotas[[#This Row],[RUN]],Tabla_Pagos[],9,FALSE)),0,VLOOKUP(T_Cuotas[[#This Row],[RUN]],Tabla_Pagos[],9,FALSE))</f>
        <v>15000</v>
      </c>
      <c r="F162" s="5">
        <f>T_Cuotas[[#This Row],[Cuota_1]]+T_Cuotas[[#This Row],[Cuota_2]]+T_Cuotas[[#This Row],[Cuota_3]]</f>
        <v>50000</v>
      </c>
      <c r="G162" s="1">
        <f>COUNTIF(T_Cuotas[RUN],T_Cuotas[[#This Row],[RUN]])</f>
        <v>1</v>
      </c>
      <c r="H162" s="5" t="str">
        <f>IF(ISERROR(VLOOKUP(T_Cuotas[[#This Row],[RUN]],T_Voluntarios[],2,FALSE)),"No Existe",VLOOKUP(T_Cuotas[[#This Row],[RUN]],T_Voluntarios[],2,FALSE))</f>
        <v>crriffopuentes@gmail.com</v>
      </c>
      <c r="I162" s="5"/>
      <c r="J162" s="5" t="str">
        <f>IF(ISERROR(VLOOKUP(T_Cuotas[[#This Row],[RUN]],T_Voluntarios[],8,FALSE)),"No Existe",VLOOKUP(T_Cuotas[[#This Row],[RUN]],T_Voluntarios[],8,FALSE))</f>
        <v>+56957345251</v>
      </c>
      <c r="K162" s="5" t="str">
        <f>IF(ISERROR(VLOOKUP(T_Cuotas[[#This Row],[RUN]],T_Voluntarios[],10,FALSE)),"No Existe",VLOOKUP(T_Cuotas[[#This Row],[RUN]],T_Voluntarios[],10,FALSE))</f>
        <v>San Francisco</v>
      </c>
      <c r="L162" s="5" t="str">
        <f>IF(ISERROR(VLOOKUP(T_Cuotas[[#This Row],[RUN]],T_Voluntarios[],30,FALSE)),"No Existe",VLOOKUP(T_Cuotas[[#This Row],[RUN]],T_Voluntarios[],30,FALSE))</f>
        <v>Vigente</v>
      </c>
      <c r="M162" s="5" t="str">
        <f>IF(ISERROR(VLOOKUP(T_Cuotas[[#This Row],[RUN]],T_Voluntarios[],13,FALSE)),"No Existe",VLOOKUP(T_Cuotas[[#This Row],[RUN]],T_Voluntarios[],13,FALSE))</f>
        <v>Alimentación Tradicional</v>
      </c>
    </row>
    <row r="163" spans="1:13" hidden="1" x14ac:dyDescent="0.3">
      <c r="A163" s="2" t="s">
        <v>2818</v>
      </c>
      <c r="B163" t="str">
        <f>IF(ISERROR(VLOOKUP(T_Cuotas[[#This Row],[RUN]],T_Voluntarios[],3,FALSE)),"No Existe",VLOOKUP(T_Cuotas[[#This Row],[RUN]],T_Voluntarios[],3,FALSE))</f>
        <v>Catalina Belén Mardones Pinilla</v>
      </c>
      <c r="C163" s="5">
        <f>IF(ISERROR(VLOOKUP(T_Cuotas[[#This Row],[RUN]],Tabla_Pagos[],7,FALSE)),0,VLOOKUP(T_Cuotas[[#This Row],[RUN]],Tabla_Pagos[],7,FALSE))</f>
        <v>0</v>
      </c>
      <c r="D163" s="5">
        <f>IF(ISERROR(VLOOKUP(T_Cuotas[[#This Row],[RUN]],Tabla_Pagos[],8,FALSE)),0,VLOOKUP(T_Cuotas[[#This Row],[RUN]],Tabla_Pagos[],8,FALSE))</f>
        <v>0</v>
      </c>
      <c r="E163" s="5">
        <f>IF(ISERROR(VLOOKUP(T_Cuotas[[#This Row],[RUN]],Tabla_Pagos[],9,FALSE)),0,VLOOKUP(T_Cuotas[[#This Row],[RUN]],Tabla_Pagos[],9,FALSE))</f>
        <v>0</v>
      </c>
      <c r="F163" s="5">
        <f>T_Cuotas[[#This Row],[Cuota_1]]+T_Cuotas[[#This Row],[Cuota_2]]+T_Cuotas[[#This Row],[Cuota_3]]</f>
        <v>0</v>
      </c>
      <c r="G163" s="1">
        <f>COUNTIF(T_Cuotas[RUN],T_Cuotas[[#This Row],[RUN]])</f>
        <v>1</v>
      </c>
      <c r="H163" s="5" t="str">
        <f>IF(ISERROR(VLOOKUP(T_Cuotas[[#This Row],[RUN]],T_Voluntarios[],2,FALSE)),"No Existe",VLOOKUP(T_Cuotas[[#This Row],[RUN]],T_Voluntarios[],2,FALSE))</f>
        <v>pinilla.belen.m@gmail.com</v>
      </c>
      <c r="I163" s="5"/>
      <c r="J163" s="5" t="str">
        <f>IF(ISERROR(VLOOKUP(T_Cuotas[[#This Row],[RUN]],T_Voluntarios[],8,FALSE)),"No Existe",VLOOKUP(T_Cuotas[[#This Row],[RUN]],T_Voluntarios[],8,FALSE))</f>
        <v>+56920047215</v>
      </c>
      <c r="K163" s="5" t="str">
        <f>IF(ISERROR(VLOOKUP(T_Cuotas[[#This Row],[RUN]],T_Voluntarios[],10,FALSE)),"No Existe",VLOOKUP(T_Cuotas[[#This Row],[RUN]],T_Voluntarios[],10,FALSE))</f>
        <v>Enrique Valdebenito</v>
      </c>
      <c r="L163" s="5" t="str">
        <f>IF(ISERROR(VLOOKUP(T_Cuotas[[#This Row],[RUN]],T_Voluntarios[],30,FALSE)),"No Existe",VLOOKUP(T_Cuotas[[#This Row],[RUN]],T_Voluntarios[],30,FALSE))</f>
        <v>NO Vigente</v>
      </c>
      <c r="M163" s="5" t="str">
        <f>IF(ISERROR(VLOOKUP(T_Cuotas[[#This Row],[RUN]],T_Voluntarios[],13,FALSE)),"No Existe",VLOOKUP(T_Cuotas[[#This Row],[RUN]],T_Voluntarios[],13,FALSE))</f>
        <v>Alimentación Tradicional</v>
      </c>
    </row>
    <row r="164" spans="1:13" x14ac:dyDescent="0.3">
      <c r="A164" s="2" t="s">
        <v>2828</v>
      </c>
      <c r="B164" t="str">
        <f>IF(ISERROR(VLOOKUP(T_Cuotas[[#This Row],[RUN]],T_Voluntarios[],3,FALSE)),"No Existe",VLOOKUP(T_Cuotas[[#This Row],[RUN]],T_Voluntarios[],3,FALSE))</f>
        <v>Sebastián Ignacio Romero Coo</v>
      </c>
      <c r="C164" s="5">
        <f>IF(ISERROR(VLOOKUP(T_Cuotas[[#This Row],[RUN]],Tabla_Pagos[],7,FALSE)),0,VLOOKUP(T_Cuotas[[#This Row],[RUN]],Tabla_Pagos[],7,FALSE))</f>
        <v>20000</v>
      </c>
      <c r="D164" s="5">
        <f>IF(ISERROR(VLOOKUP(T_Cuotas[[#This Row],[RUN]],Tabla_Pagos[],8,FALSE)),0,VLOOKUP(T_Cuotas[[#This Row],[RUN]],Tabla_Pagos[],8,FALSE))</f>
        <v>16500</v>
      </c>
      <c r="E164" s="5">
        <f>IF(ISERROR(VLOOKUP(T_Cuotas[[#This Row],[RUN]],Tabla_Pagos[],9,FALSE)),0,VLOOKUP(T_Cuotas[[#This Row],[RUN]],Tabla_Pagos[],9,FALSE))</f>
        <v>0</v>
      </c>
      <c r="F164" s="5">
        <f>T_Cuotas[[#This Row],[Cuota_1]]+T_Cuotas[[#This Row],[Cuota_2]]+T_Cuotas[[#This Row],[Cuota_3]]</f>
        <v>36500</v>
      </c>
      <c r="G164" s="1">
        <f>COUNTIF(T_Cuotas[RUN],T_Cuotas[[#This Row],[RUN]])</f>
        <v>1</v>
      </c>
      <c r="H164" s="5" t="str">
        <f>IF(ISERROR(VLOOKUP(T_Cuotas[[#This Row],[RUN]],T_Voluntarios[],2,FALSE)),"No Existe",VLOOKUP(T_Cuotas[[#This Row],[RUN]],T_Voluntarios[],2,FALSE))</f>
        <v>sebarc2015@gmail.com</v>
      </c>
      <c r="I164" s="5"/>
      <c r="J164" s="5" t="str">
        <f>IF(ISERROR(VLOOKUP(T_Cuotas[[#This Row],[RUN]],T_Voluntarios[],8,FALSE)),"No Existe",VLOOKUP(T_Cuotas[[#This Row],[RUN]],T_Voluntarios[],8,FALSE))</f>
        <v>+56990129371</v>
      </c>
      <c r="K164" s="5" t="str">
        <f>IF(ISERROR(VLOOKUP(T_Cuotas[[#This Row],[RUN]],T_Voluntarios[],10,FALSE)),"No Existe",VLOOKUP(T_Cuotas[[#This Row],[RUN]],T_Voluntarios[],10,FALSE))</f>
        <v>Rucapeñihue</v>
      </c>
      <c r="L164" s="5" t="str">
        <f>IF(ISERROR(VLOOKUP(T_Cuotas[[#This Row],[RUN]],T_Voluntarios[],30,FALSE)),"No Existe",VLOOKUP(T_Cuotas[[#This Row],[RUN]],T_Voluntarios[],30,FALSE))</f>
        <v>Vigente</v>
      </c>
      <c r="M164" s="5" t="str">
        <f>IF(ISERROR(VLOOKUP(T_Cuotas[[#This Row],[RUN]],T_Voluntarios[],13,FALSE)),"No Existe",VLOOKUP(T_Cuotas[[#This Row],[RUN]],T_Voluntarios[],13,FALSE))</f>
        <v>Sin Almuerzo</v>
      </c>
    </row>
    <row r="165" spans="1:13" x14ac:dyDescent="0.3">
      <c r="A165" s="2" t="s">
        <v>2837</v>
      </c>
      <c r="B165" t="str">
        <f>IF(ISERROR(VLOOKUP(T_Cuotas[[#This Row],[RUN]],T_Voluntarios[],3,FALSE)),"No Existe",VLOOKUP(T_Cuotas[[#This Row],[RUN]],T_Voluntarios[],3,FALSE))</f>
        <v>Claudia Fernanda Deride Alegría</v>
      </c>
      <c r="C165" s="5">
        <f>IF(ISERROR(VLOOKUP(T_Cuotas[[#This Row],[RUN]],Tabla_Pagos[],7,FALSE)),0,VLOOKUP(T_Cuotas[[#This Row],[RUN]],Tabla_Pagos[],7,FALSE))</f>
        <v>20000</v>
      </c>
      <c r="D165" s="5">
        <f>IF(ISERROR(VLOOKUP(T_Cuotas[[#This Row],[RUN]],Tabla_Pagos[],8,FALSE)),0,VLOOKUP(T_Cuotas[[#This Row],[RUN]],Tabla_Pagos[],8,FALSE))</f>
        <v>16500</v>
      </c>
      <c r="E165" s="5">
        <f>IF(ISERROR(VLOOKUP(T_Cuotas[[#This Row],[RUN]],Tabla_Pagos[],9,FALSE)),0,VLOOKUP(T_Cuotas[[#This Row],[RUN]],Tabla_Pagos[],9,FALSE))</f>
        <v>0</v>
      </c>
      <c r="F165" s="5">
        <f>T_Cuotas[[#This Row],[Cuota_1]]+T_Cuotas[[#This Row],[Cuota_2]]+T_Cuotas[[#This Row],[Cuota_3]]</f>
        <v>36500</v>
      </c>
      <c r="G165" s="1">
        <f>COUNTIF(T_Cuotas[RUN],T_Cuotas[[#This Row],[RUN]])</f>
        <v>1</v>
      </c>
      <c r="H165" s="5" t="str">
        <f>IF(ISERROR(VLOOKUP(T_Cuotas[[#This Row],[RUN]],T_Voluntarios[],2,FALSE)),"No Existe",VLOOKUP(T_Cuotas[[#This Row],[RUN]],T_Voluntarios[],2,FALSE))</f>
        <v>clauditaderide@gmail.com</v>
      </c>
      <c r="I165" s="5"/>
      <c r="J165" s="5" t="str">
        <f>IF(ISERROR(VLOOKUP(T_Cuotas[[#This Row],[RUN]],T_Voluntarios[],8,FALSE)),"No Existe",VLOOKUP(T_Cuotas[[#This Row],[RUN]],T_Voluntarios[],8,FALSE))</f>
        <v>+56987300867</v>
      </c>
      <c r="K165" s="5" t="str">
        <f>IF(ISERROR(VLOOKUP(T_Cuotas[[#This Row],[RUN]],T_Voluntarios[],10,FALSE)),"No Existe",VLOOKUP(T_Cuotas[[#This Row],[RUN]],T_Voluntarios[],10,FALSE))</f>
        <v>Rañileufu</v>
      </c>
      <c r="L165" s="5" t="str">
        <f>IF(ISERROR(VLOOKUP(T_Cuotas[[#This Row],[RUN]],T_Voluntarios[],30,FALSE)),"No Existe",VLOOKUP(T_Cuotas[[#This Row],[RUN]],T_Voluntarios[],30,FALSE))</f>
        <v>Vigente</v>
      </c>
      <c r="M165" s="5" t="str">
        <f>IF(ISERROR(VLOOKUP(T_Cuotas[[#This Row],[RUN]],T_Voluntarios[],13,FALSE)),"No Existe",VLOOKUP(T_Cuotas[[#This Row],[RUN]],T_Voluntarios[],13,FALSE))</f>
        <v>Sin Almuerzo</v>
      </c>
    </row>
    <row r="166" spans="1:13" x14ac:dyDescent="0.3">
      <c r="A166" s="2" t="s">
        <v>2862</v>
      </c>
      <c r="B166" t="str">
        <f>IF(ISERROR(VLOOKUP(T_Cuotas[[#This Row],[RUN]],T_Voluntarios[],3,FALSE)),"No Existe",VLOOKUP(T_Cuotas[[#This Row],[RUN]],T_Voluntarios[],3,FALSE))</f>
        <v>Fabián Alejandro Sepúlveda Aguilera</v>
      </c>
      <c r="C166" s="5">
        <f>IF(ISERROR(VLOOKUP(T_Cuotas[[#This Row],[RUN]],Tabla_Pagos[],7,FALSE)),0,VLOOKUP(T_Cuotas[[#This Row],[RUN]],Tabla_Pagos[],7,FALSE))</f>
        <v>20000</v>
      </c>
      <c r="D166" s="5">
        <f>IF(ISERROR(VLOOKUP(T_Cuotas[[#This Row],[RUN]],Tabla_Pagos[],8,FALSE)),0,VLOOKUP(T_Cuotas[[#This Row],[RUN]],Tabla_Pagos[],8,FALSE))</f>
        <v>15000</v>
      </c>
      <c r="E166" s="5">
        <f>IF(ISERROR(VLOOKUP(T_Cuotas[[#This Row],[RUN]],Tabla_Pagos[],9,FALSE)),0,VLOOKUP(T_Cuotas[[#This Row],[RUN]],Tabla_Pagos[],9,FALSE))</f>
        <v>15000</v>
      </c>
      <c r="F166" s="5">
        <f>T_Cuotas[[#This Row],[Cuota_1]]+T_Cuotas[[#This Row],[Cuota_2]]+T_Cuotas[[#This Row],[Cuota_3]]</f>
        <v>50000</v>
      </c>
      <c r="G166" s="1">
        <f>COUNTIF(T_Cuotas[RUN],T_Cuotas[[#This Row],[RUN]])</f>
        <v>1</v>
      </c>
      <c r="H166" s="5" t="str">
        <f>IF(ISERROR(VLOOKUP(T_Cuotas[[#This Row],[RUN]],T_Voluntarios[],2,FALSE)),"No Existe",VLOOKUP(T_Cuotas[[#This Row],[RUN]],T_Voluntarios[],2,FALSE))</f>
        <v>fabiansep11@gmail.com</v>
      </c>
      <c r="I166" s="5"/>
      <c r="J166" s="5" t="str">
        <f>IF(ISERROR(VLOOKUP(T_Cuotas[[#This Row],[RUN]],T_Voluntarios[],8,FALSE)),"No Existe",VLOOKUP(T_Cuotas[[#This Row],[RUN]],T_Voluntarios[],8,FALSE))</f>
        <v>+56948539347</v>
      </c>
      <c r="K166" s="5" t="str">
        <f>IF(ISERROR(VLOOKUP(T_Cuotas[[#This Row],[RUN]],T_Voluntarios[],10,FALSE)),"No Existe",VLOOKUP(T_Cuotas[[#This Row],[RUN]],T_Voluntarios[],10,FALSE))</f>
        <v>Terranova</v>
      </c>
      <c r="L166" s="5" t="str">
        <f>IF(ISERROR(VLOOKUP(T_Cuotas[[#This Row],[RUN]],T_Voluntarios[],30,FALSE)),"No Existe",VLOOKUP(T_Cuotas[[#This Row],[RUN]],T_Voluntarios[],30,FALSE))</f>
        <v>Vigente</v>
      </c>
      <c r="M166" s="5" t="str">
        <f>IF(ISERROR(VLOOKUP(T_Cuotas[[#This Row],[RUN]],T_Voluntarios[],13,FALSE)),"No Existe",VLOOKUP(T_Cuotas[[#This Row],[RUN]],T_Voluntarios[],13,FALSE))</f>
        <v>Alimentación Tradicional</v>
      </c>
    </row>
    <row r="167" spans="1:13" x14ac:dyDescent="0.3">
      <c r="A167" s="2" t="s">
        <v>2936</v>
      </c>
      <c r="B167" t="str">
        <f>IF(ISERROR(VLOOKUP(T_Cuotas[[#This Row],[RUN]],T_Voluntarios[],3,FALSE)),"No Existe",VLOOKUP(T_Cuotas[[#This Row],[RUN]],T_Voluntarios[],3,FALSE))</f>
        <v>Antonio Felipe Sagner Puschmann</v>
      </c>
      <c r="C167" s="5">
        <f>IF(ISERROR(VLOOKUP(T_Cuotas[[#This Row],[RUN]],Tabla_Pagos[],7,FALSE)),0,VLOOKUP(T_Cuotas[[#This Row],[RUN]],Tabla_Pagos[],7,FALSE))</f>
        <v>20000</v>
      </c>
      <c r="D167" s="5">
        <f>IF(ISERROR(VLOOKUP(T_Cuotas[[#This Row],[RUN]],Tabla_Pagos[],8,FALSE)),0,VLOOKUP(T_Cuotas[[#This Row],[RUN]],Tabla_Pagos[],8,FALSE))</f>
        <v>16500</v>
      </c>
      <c r="E167" s="5">
        <f>IF(ISERROR(VLOOKUP(T_Cuotas[[#This Row],[RUN]],Tabla_Pagos[],9,FALSE)),0,VLOOKUP(T_Cuotas[[#This Row],[RUN]],Tabla_Pagos[],9,FALSE))</f>
        <v>0</v>
      </c>
      <c r="F167" s="5">
        <f>T_Cuotas[[#This Row],[Cuota_1]]+T_Cuotas[[#This Row],[Cuota_2]]+T_Cuotas[[#This Row],[Cuota_3]]</f>
        <v>36500</v>
      </c>
      <c r="G167" s="1">
        <f>COUNTIF(T_Cuotas[RUN],T_Cuotas[[#This Row],[RUN]])</f>
        <v>1</v>
      </c>
      <c r="H167" s="5" t="str">
        <f>IF(ISERROR(VLOOKUP(T_Cuotas[[#This Row],[RUN]],T_Voluntarios[],2,FALSE)),"No Existe",VLOOKUP(T_Cuotas[[#This Row],[RUN]],T_Voluntarios[],2,FALSE))</f>
        <v>sagnerantonio1312@gmail.com</v>
      </c>
      <c r="I167" s="5"/>
      <c r="J167" s="5" t="str">
        <f>IF(ISERROR(VLOOKUP(T_Cuotas[[#This Row],[RUN]],T_Voluntarios[],8,FALSE)),"No Existe",VLOOKUP(T_Cuotas[[#This Row],[RUN]],T_Voluntarios[],8,FALSE))</f>
        <v>+56921751597</v>
      </c>
      <c r="K167" s="5" t="str">
        <f>IF(ISERROR(VLOOKUP(T_Cuotas[[#This Row],[RUN]],T_Voluntarios[],10,FALSE)),"No Existe",VLOOKUP(T_Cuotas[[#This Row],[RUN]],T_Voluntarios[],10,FALSE))</f>
        <v>Rucapeñihue</v>
      </c>
      <c r="L167" s="5" t="str">
        <f>IF(ISERROR(VLOOKUP(T_Cuotas[[#This Row],[RUN]],T_Voluntarios[],30,FALSE)),"No Existe",VLOOKUP(T_Cuotas[[#This Row],[RUN]],T_Voluntarios[],30,FALSE))</f>
        <v>Vigente</v>
      </c>
      <c r="M167" s="5" t="str">
        <f>IF(ISERROR(VLOOKUP(T_Cuotas[[#This Row],[RUN]],T_Voluntarios[],13,FALSE)),"No Existe",VLOOKUP(T_Cuotas[[#This Row],[RUN]],T_Voluntarios[],13,FALSE))</f>
        <v>Alimentación Tradicional</v>
      </c>
    </row>
    <row r="168" spans="1:13" hidden="1" x14ac:dyDescent="0.3">
      <c r="A168" s="2" t="s">
        <v>2969</v>
      </c>
      <c r="B168" t="str">
        <f>IF(ISERROR(VLOOKUP(T_Cuotas[[#This Row],[RUN]],T_Voluntarios[],3,FALSE)),"No Existe",VLOOKUP(T_Cuotas[[#This Row],[RUN]],T_Voluntarios[],3,FALSE))</f>
        <v>Catalina Gatica Martínez</v>
      </c>
      <c r="C168" s="5">
        <f>IF(ISERROR(VLOOKUP(T_Cuotas[[#This Row],[RUN]],Tabla_Pagos[],7,FALSE)),0,VLOOKUP(T_Cuotas[[#This Row],[RUN]],Tabla_Pagos[],7,FALSE))</f>
        <v>0</v>
      </c>
      <c r="D168" s="5">
        <f>IF(ISERROR(VLOOKUP(T_Cuotas[[#This Row],[RUN]],Tabla_Pagos[],8,FALSE)),0,VLOOKUP(T_Cuotas[[#This Row],[RUN]],Tabla_Pagos[],8,FALSE))</f>
        <v>0</v>
      </c>
      <c r="E168" s="5">
        <f>IF(ISERROR(VLOOKUP(T_Cuotas[[#This Row],[RUN]],Tabla_Pagos[],9,FALSE)),0,VLOOKUP(T_Cuotas[[#This Row],[RUN]],Tabla_Pagos[],9,FALSE))</f>
        <v>0</v>
      </c>
      <c r="F168" s="5">
        <f>T_Cuotas[[#This Row],[Cuota_1]]+T_Cuotas[[#This Row],[Cuota_2]]+T_Cuotas[[#This Row],[Cuota_3]]</f>
        <v>0</v>
      </c>
      <c r="G168" s="1">
        <f>COUNTIF(T_Cuotas[RUN],T_Cuotas[[#This Row],[RUN]])</f>
        <v>1</v>
      </c>
      <c r="H168" s="5" t="str">
        <f>IF(ISERROR(VLOOKUP(T_Cuotas[[#This Row],[RUN]],T_Voluntarios[],2,FALSE)),"No Existe",VLOOKUP(T_Cuotas[[#This Row],[RUN]],T_Voluntarios[],2,FALSE))</f>
        <v>nicolgaticamartinez@gmail.com</v>
      </c>
      <c r="I168" s="5"/>
      <c r="J168" s="5" t="str">
        <f>IF(ISERROR(VLOOKUP(T_Cuotas[[#This Row],[RUN]],T_Voluntarios[],8,FALSE)),"No Existe",VLOOKUP(T_Cuotas[[#This Row],[RUN]],T_Voluntarios[],8,FALSE))</f>
        <v>+56973698952</v>
      </c>
      <c r="K168" s="5" t="str">
        <f>IF(ISERROR(VLOOKUP(T_Cuotas[[#This Row],[RUN]],T_Voluntarios[],10,FALSE)),"No Existe",VLOOKUP(T_Cuotas[[#This Row],[RUN]],T_Voluntarios[],10,FALSE))</f>
        <v>Alcatipay</v>
      </c>
      <c r="L168" s="5" t="str">
        <f>IF(ISERROR(VLOOKUP(T_Cuotas[[#This Row],[RUN]],T_Voluntarios[],30,FALSE)),"No Existe",VLOOKUP(T_Cuotas[[#This Row],[RUN]],T_Voluntarios[],30,FALSE))</f>
        <v>NO Vigente</v>
      </c>
      <c r="M168" s="5" t="str">
        <f>IF(ISERROR(VLOOKUP(T_Cuotas[[#This Row],[RUN]],T_Voluntarios[],13,FALSE)),"No Existe",VLOOKUP(T_Cuotas[[#This Row],[RUN]],T_Voluntarios[],13,FALSE))</f>
        <v>Alimentación Vegetariana</v>
      </c>
    </row>
    <row r="169" spans="1:13" x14ac:dyDescent="0.3">
      <c r="A169" s="2" t="s">
        <v>2991</v>
      </c>
      <c r="B169" t="str">
        <f>IF(ISERROR(VLOOKUP(T_Cuotas[[#This Row],[RUN]],T_Voluntarios[],3,FALSE)),"No Existe",VLOOKUP(T_Cuotas[[#This Row],[RUN]],T_Voluntarios[],3,FALSE))</f>
        <v>Vicente Ignacio Lara Gutiérrez</v>
      </c>
      <c r="C169" s="5">
        <f>IF(ISERROR(VLOOKUP(T_Cuotas[[#This Row],[RUN]],Tabla_Pagos[],7,FALSE)),0,VLOOKUP(T_Cuotas[[#This Row],[RUN]],Tabla_Pagos[],7,FALSE))</f>
        <v>20000</v>
      </c>
      <c r="D169" s="5">
        <f>IF(ISERROR(VLOOKUP(T_Cuotas[[#This Row],[RUN]],Tabla_Pagos[],8,FALSE)),0,VLOOKUP(T_Cuotas[[#This Row],[RUN]],Tabla_Pagos[],8,FALSE))</f>
        <v>15000</v>
      </c>
      <c r="E169" s="5">
        <f>IF(ISERROR(VLOOKUP(T_Cuotas[[#This Row],[RUN]],Tabla_Pagos[],9,FALSE)),0,VLOOKUP(T_Cuotas[[#This Row],[RUN]],Tabla_Pagos[],9,FALSE))</f>
        <v>15000</v>
      </c>
      <c r="F169" s="5">
        <f>T_Cuotas[[#This Row],[Cuota_1]]+T_Cuotas[[#This Row],[Cuota_2]]+T_Cuotas[[#This Row],[Cuota_3]]</f>
        <v>50000</v>
      </c>
      <c r="G169" s="1">
        <f>COUNTIF(T_Cuotas[RUN],T_Cuotas[[#This Row],[RUN]])</f>
        <v>1</v>
      </c>
      <c r="H169" s="5" t="str">
        <f>IF(ISERROR(VLOOKUP(T_Cuotas[[#This Row],[RUN]],T_Voluntarios[],2,FALSE)),"No Existe",VLOOKUP(T_Cuotas[[#This Row],[RUN]],T_Voluntarios[],2,FALSE))</f>
        <v>vicentelara2@gmail.com</v>
      </c>
      <c r="I169" s="5"/>
      <c r="J169" s="5" t="str">
        <f>IF(ISERROR(VLOOKUP(T_Cuotas[[#This Row],[RUN]],T_Voluntarios[],8,FALSE)),"No Existe",VLOOKUP(T_Cuotas[[#This Row],[RUN]],T_Voluntarios[],8,FALSE))</f>
        <v>+56937890998</v>
      </c>
      <c r="K169" s="5" t="str">
        <f>IF(ISERROR(VLOOKUP(T_Cuotas[[#This Row],[RUN]],T_Voluntarios[],10,FALSE)),"No Existe",VLOOKUP(T_Cuotas[[#This Row],[RUN]],T_Voluntarios[],10,FALSE))</f>
        <v>Espíritu Santo</v>
      </c>
      <c r="L169" s="5" t="str">
        <f>IF(ISERROR(VLOOKUP(T_Cuotas[[#This Row],[RUN]],T_Voluntarios[],30,FALSE)),"No Existe",VLOOKUP(T_Cuotas[[#This Row],[RUN]],T_Voluntarios[],30,FALSE))</f>
        <v>Vigente</v>
      </c>
      <c r="M169" s="5" t="str">
        <f>IF(ISERROR(VLOOKUP(T_Cuotas[[#This Row],[RUN]],T_Voluntarios[],13,FALSE)),"No Existe",VLOOKUP(T_Cuotas[[#This Row],[RUN]],T_Voluntarios[],13,FALSE))</f>
        <v>Alimentación Tradicional</v>
      </c>
    </row>
    <row r="170" spans="1:13" x14ac:dyDescent="0.3">
      <c r="A170" s="2" t="s">
        <v>3005</v>
      </c>
      <c r="B170" t="str">
        <f>IF(ISERROR(VLOOKUP(T_Cuotas[[#This Row],[RUN]],T_Voluntarios[],3,FALSE)),"No Existe",VLOOKUP(T_Cuotas[[#This Row],[RUN]],T_Voluntarios[],3,FALSE))</f>
        <v>Lucila Del Carmen Aqueveque Jara</v>
      </c>
      <c r="C170" s="5">
        <f>IF(ISERROR(VLOOKUP(T_Cuotas[[#This Row],[RUN]],Tabla_Pagos[],7,FALSE)),0,VLOOKUP(T_Cuotas[[#This Row],[RUN]],Tabla_Pagos[],7,FALSE))</f>
        <v>20000</v>
      </c>
      <c r="D170" s="5">
        <f>IF(ISERROR(VLOOKUP(T_Cuotas[[#This Row],[RUN]],Tabla_Pagos[],8,FALSE)),0,VLOOKUP(T_Cuotas[[#This Row],[RUN]],Tabla_Pagos[],8,FALSE))</f>
        <v>15000</v>
      </c>
      <c r="E170" s="5">
        <f>IF(ISERROR(VLOOKUP(T_Cuotas[[#This Row],[RUN]],Tabla_Pagos[],9,FALSE)),0,VLOOKUP(T_Cuotas[[#This Row],[RUN]],Tabla_Pagos[],9,FALSE))</f>
        <v>15000</v>
      </c>
      <c r="F170" s="5">
        <f>T_Cuotas[[#This Row],[Cuota_1]]+T_Cuotas[[#This Row],[Cuota_2]]+T_Cuotas[[#This Row],[Cuota_3]]</f>
        <v>50000</v>
      </c>
      <c r="G170" s="1">
        <f>COUNTIF(T_Cuotas[RUN],T_Cuotas[[#This Row],[RUN]])</f>
        <v>1</v>
      </c>
      <c r="H170" s="5" t="str">
        <f>IF(ISERROR(VLOOKUP(T_Cuotas[[#This Row],[RUN]],T_Voluntarios[],2,FALSE)),"No Existe",VLOOKUP(T_Cuotas[[#This Row],[RUN]],T_Voluntarios[],2,FALSE))</f>
        <v>luciaqueveq@gmail.com</v>
      </c>
      <c r="I170" s="5"/>
      <c r="J170" s="5" t="str">
        <f>IF(ISERROR(VLOOKUP(T_Cuotas[[#This Row],[RUN]],T_Voluntarios[],8,FALSE)),"No Existe",VLOOKUP(T_Cuotas[[#This Row],[RUN]],T_Voluntarios[],8,FALSE))</f>
        <v>+56977509011</v>
      </c>
      <c r="K170" s="5" t="str">
        <f>IF(ISERROR(VLOOKUP(T_Cuotas[[#This Row],[RUN]],T_Voluntarios[],10,FALSE)),"No Existe",VLOOKUP(T_Cuotas[[#This Row],[RUN]],T_Voluntarios[],10,FALSE))</f>
        <v>Espíritu Santo</v>
      </c>
      <c r="L170" s="5" t="str">
        <f>IF(ISERROR(VLOOKUP(T_Cuotas[[#This Row],[RUN]],T_Voluntarios[],30,FALSE)),"No Existe",VLOOKUP(T_Cuotas[[#This Row],[RUN]],T_Voluntarios[],30,FALSE))</f>
        <v>Vigente</v>
      </c>
      <c r="M170" s="5" t="str">
        <f>IF(ISERROR(VLOOKUP(T_Cuotas[[#This Row],[RUN]],T_Voluntarios[],13,FALSE)),"No Existe",VLOOKUP(T_Cuotas[[#This Row],[RUN]],T_Voluntarios[],13,FALSE))</f>
        <v>Alimentación Tradicional</v>
      </c>
    </row>
    <row r="171" spans="1:13" x14ac:dyDescent="0.3">
      <c r="A171" s="2" t="s">
        <v>3018</v>
      </c>
      <c r="B171" t="str">
        <f>IF(ISERROR(VLOOKUP(T_Cuotas[[#This Row],[RUN]],T_Voluntarios[],3,FALSE)),"No Existe",VLOOKUP(T_Cuotas[[#This Row],[RUN]],T_Voluntarios[],3,FALSE))</f>
        <v>Ámbar Camila Sanhueza Sanhueza</v>
      </c>
      <c r="C171" s="5">
        <f>IF(ISERROR(VLOOKUP(T_Cuotas[[#This Row],[RUN]],Tabla_Pagos[],7,FALSE)),0,VLOOKUP(T_Cuotas[[#This Row],[RUN]],Tabla_Pagos[],7,FALSE))</f>
        <v>20000</v>
      </c>
      <c r="D171" s="5">
        <f>IF(ISERROR(VLOOKUP(T_Cuotas[[#This Row],[RUN]],Tabla_Pagos[],8,FALSE)),0,VLOOKUP(T_Cuotas[[#This Row],[RUN]],Tabla_Pagos[],8,FALSE))</f>
        <v>15000</v>
      </c>
      <c r="E171" s="5">
        <f>IF(ISERROR(VLOOKUP(T_Cuotas[[#This Row],[RUN]],Tabla_Pagos[],9,FALSE)),0,VLOOKUP(T_Cuotas[[#This Row],[RUN]],Tabla_Pagos[],9,FALSE))</f>
        <v>15000</v>
      </c>
      <c r="F171" s="5">
        <f>T_Cuotas[[#This Row],[Cuota_1]]+T_Cuotas[[#This Row],[Cuota_2]]+T_Cuotas[[#This Row],[Cuota_3]]</f>
        <v>50000</v>
      </c>
      <c r="G171" s="1">
        <f>COUNTIF(T_Cuotas[RUN],T_Cuotas[[#This Row],[RUN]])</f>
        <v>1</v>
      </c>
      <c r="H171" s="5" t="str">
        <f>IF(ISERROR(VLOOKUP(T_Cuotas[[#This Row],[RUN]],T_Voluntarios[],2,FALSE)),"No Existe",VLOOKUP(T_Cuotas[[#This Row],[RUN]],T_Voluntarios[],2,FALSE))</f>
        <v>sanhueza.ambar6@gmail.com</v>
      </c>
      <c r="I171" s="5"/>
      <c r="J171" s="5" t="str">
        <f>IF(ISERROR(VLOOKUP(T_Cuotas[[#This Row],[RUN]],T_Voluntarios[],8,FALSE)),"No Existe",VLOOKUP(T_Cuotas[[#This Row],[RUN]],T_Voluntarios[],8,FALSE))</f>
        <v>+56933992361</v>
      </c>
      <c r="K171" s="5" t="str">
        <f>IF(ISERROR(VLOOKUP(T_Cuotas[[#This Row],[RUN]],T_Voluntarios[],10,FALSE)),"No Existe",VLOOKUP(T_Cuotas[[#This Row],[RUN]],T_Voluntarios[],10,FALSE))</f>
        <v>Buena Aventura</v>
      </c>
      <c r="L171" s="5" t="str">
        <f>IF(ISERROR(VLOOKUP(T_Cuotas[[#This Row],[RUN]],T_Voluntarios[],30,FALSE)),"No Existe",VLOOKUP(T_Cuotas[[#This Row],[RUN]],T_Voluntarios[],30,FALSE))</f>
        <v>Vigente</v>
      </c>
      <c r="M171" s="5" t="str">
        <f>IF(ISERROR(VLOOKUP(T_Cuotas[[#This Row],[RUN]],T_Voluntarios[],13,FALSE)),"No Existe",VLOOKUP(T_Cuotas[[#This Row],[RUN]],T_Voluntarios[],13,FALSE))</f>
        <v>Alimentación Vegetariana</v>
      </c>
    </row>
    <row r="172" spans="1:13" x14ac:dyDescent="0.3">
      <c r="A172" s="2" t="s">
        <v>3043</v>
      </c>
      <c r="B172" t="str">
        <f>IF(ISERROR(VLOOKUP(T_Cuotas[[#This Row],[RUN]],T_Voluntarios[],3,FALSE)),"No Existe",VLOOKUP(T_Cuotas[[#This Row],[RUN]],T_Voluntarios[],3,FALSE))</f>
        <v>Ignacio Andres Lopez Bustos</v>
      </c>
      <c r="C172" s="5">
        <f>IF(ISERROR(VLOOKUP(T_Cuotas[[#This Row],[RUN]],Tabla_Pagos[],7,FALSE)),0,VLOOKUP(T_Cuotas[[#This Row],[RUN]],Tabla_Pagos[],7,FALSE))</f>
        <v>20000</v>
      </c>
      <c r="D172" s="5">
        <f>IF(ISERROR(VLOOKUP(T_Cuotas[[#This Row],[RUN]],Tabla_Pagos[],8,FALSE)),0,VLOOKUP(T_Cuotas[[#This Row],[RUN]],Tabla_Pagos[],8,FALSE))</f>
        <v>15000</v>
      </c>
      <c r="E172" s="5">
        <f>IF(ISERROR(VLOOKUP(T_Cuotas[[#This Row],[RUN]],Tabla_Pagos[],9,FALSE)),0,VLOOKUP(T_Cuotas[[#This Row],[RUN]],Tabla_Pagos[],9,FALSE))</f>
        <v>15000</v>
      </c>
      <c r="F172" s="5">
        <f>T_Cuotas[[#This Row],[Cuota_1]]+T_Cuotas[[#This Row],[Cuota_2]]+T_Cuotas[[#This Row],[Cuota_3]]</f>
        <v>50000</v>
      </c>
      <c r="G172" s="1">
        <f>COUNTIF(T_Cuotas[RUN],T_Cuotas[[#This Row],[RUN]])</f>
        <v>1</v>
      </c>
      <c r="H172" s="5" t="str">
        <f>IF(ISERROR(VLOOKUP(T_Cuotas[[#This Row],[RUN]],T_Voluntarios[],2,FALSE)),"No Existe",VLOOKUP(T_Cuotas[[#This Row],[RUN]],T_Voluntarios[],2,FALSE))</f>
        <v>ilpbustos@gmail.com</v>
      </c>
      <c r="I172" s="5"/>
      <c r="J172" s="5" t="str">
        <f>IF(ISERROR(VLOOKUP(T_Cuotas[[#This Row],[RUN]],T_Voluntarios[],8,FALSE)),"No Existe",VLOOKUP(T_Cuotas[[#This Row],[RUN]],T_Voluntarios[],8,FALSE))</f>
        <v>+56969030061</v>
      </c>
      <c r="K172" s="5" t="str">
        <f>IF(ISERROR(VLOOKUP(T_Cuotas[[#This Row],[RUN]],T_Voluntarios[],10,FALSE)),"No Existe",VLOOKUP(T_Cuotas[[#This Row],[RUN]],T_Voluntarios[],10,FALSE))</f>
        <v>Alcatipay</v>
      </c>
      <c r="L172" s="5" t="str">
        <f>IF(ISERROR(VLOOKUP(T_Cuotas[[#This Row],[RUN]],T_Voluntarios[],30,FALSE)),"No Existe",VLOOKUP(T_Cuotas[[#This Row],[RUN]],T_Voluntarios[],30,FALSE))</f>
        <v>Vigente</v>
      </c>
      <c r="M172" s="5" t="str">
        <f>IF(ISERROR(VLOOKUP(T_Cuotas[[#This Row],[RUN]],T_Voluntarios[],13,FALSE)),"No Existe",VLOOKUP(T_Cuotas[[#This Row],[RUN]],T_Voluntarios[],13,FALSE))</f>
        <v>Alimentación Tradicional</v>
      </c>
    </row>
    <row r="173" spans="1:13" x14ac:dyDescent="0.3">
      <c r="A173" s="2" t="s">
        <v>3232</v>
      </c>
      <c r="B173" t="str">
        <f>IF(ISERROR(VLOOKUP(T_Cuotas[[#This Row],[RUN]],T_Voluntarios[],3,FALSE)),"No Existe",VLOOKUP(T_Cuotas[[#This Row],[RUN]],T_Voluntarios[],3,FALSE))</f>
        <v>Gonsalo Fabriciano Junior Rivas Betancour</v>
      </c>
      <c r="C173" s="5">
        <f>IF(ISERROR(VLOOKUP(T_Cuotas[[#This Row],[RUN]],Tabla_Pagos[],7,FALSE)),0,VLOOKUP(T_Cuotas[[#This Row],[RUN]],Tabla_Pagos[],7,FALSE))</f>
        <v>20000</v>
      </c>
      <c r="D173" s="5">
        <f>IF(ISERROR(VLOOKUP(T_Cuotas[[#This Row],[RUN]],Tabla_Pagos[],8,FALSE)),0,VLOOKUP(T_Cuotas[[#This Row],[RUN]],Tabla_Pagos[],8,FALSE))</f>
        <v>15000</v>
      </c>
      <c r="E173" s="5">
        <f>IF(ISERROR(VLOOKUP(T_Cuotas[[#This Row],[RUN]],Tabla_Pagos[],9,FALSE)),0,VLOOKUP(T_Cuotas[[#This Row],[RUN]],Tabla_Pagos[],9,FALSE))</f>
        <v>15000</v>
      </c>
      <c r="F173" s="5">
        <f>T_Cuotas[[#This Row],[Cuota_1]]+T_Cuotas[[#This Row],[Cuota_2]]+T_Cuotas[[#This Row],[Cuota_3]]</f>
        <v>50000</v>
      </c>
      <c r="G173" s="1">
        <f>COUNTIF(T_Cuotas[RUN],T_Cuotas[[#This Row],[RUN]])</f>
        <v>1</v>
      </c>
      <c r="H173" s="5" t="str">
        <f>IF(ISERROR(VLOOKUP(T_Cuotas[[#This Row],[RUN]],T_Voluntarios[],2,FALSE)),"No Existe",VLOOKUP(T_Cuotas[[#This Row],[RUN]],T_Voluntarios[],2,FALSE))</f>
        <v>gonsalorivas@gmail.com</v>
      </c>
      <c r="I173" s="5"/>
      <c r="J173" s="5" t="str">
        <f>IF(ISERROR(VLOOKUP(T_Cuotas[[#This Row],[RUN]],T_Voluntarios[],8,FALSE)),"No Existe",VLOOKUP(T_Cuotas[[#This Row],[RUN]],T_Voluntarios[],8,FALSE))</f>
        <v>+56957631673</v>
      </c>
      <c r="K173" s="5" t="str">
        <f>IF(ISERROR(VLOOKUP(T_Cuotas[[#This Row],[RUN]],T_Voluntarios[],10,FALSE)),"No Existe",VLOOKUP(T_Cuotas[[#This Row],[RUN]],T_Voluntarios[],10,FALSE))</f>
        <v>Pehuen</v>
      </c>
      <c r="L173" s="5" t="str">
        <f>IF(ISERROR(VLOOKUP(T_Cuotas[[#This Row],[RUN]],T_Voluntarios[],30,FALSE)),"No Existe",VLOOKUP(T_Cuotas[[#This Row],[RUN]],T_Voluntarios[],30,FALSE))</f>
        <v>Vigente</v>
      </c>
      <c r="M173" s="5" t="str">
        <f>IF(ISERROR(VLOOKUP(T_Cuotas[[#This Row],[RUN]],T_Voluntarios[],13,FALSE)),"No Existe",VLOOKUP(T_Cuotas[[#This Row],[RUN]],T_Voluntarios[],13,FALSE))</f>
        <v>Alimentación Tradicional</v>
      </c>
    </row>
    <row r="174" spans="1:13" x14ac:dyDescent="0.3">
      <c r="A174" s="2" t="s">
        <v>3242</v>
      </c>
      <c r="B174" t="str">
        <f>IF(ISERROR(VLOOKUP(T_Cuotas[[#This Row],[RUN]],T_Voluntarios[],3,FALSE)),"No Existe",VLOOKUP(T_Cuotas[[#This Row],[RUN]],T_Voluntarios[],3,FALSE))</f>
        <v>Marcela Molina Agurto</v>
      </c>
      <c r="C174" s="5">
        <f>IF(ISERROR(VLOOKUP(T_Cuotas[[#This Row],[RUN]],Tabla_Pagos[],7,FALSE)),0,VLOOKUP(T_Cuotas[[#This Row],[RUN]],Tabla_Pagos[],7,FALSE))</f>
        <v>20000</v>
      </c>
      <c r="D174" s="5">
        <f>IF(ISERROR(VLOOKUP(T_Cuotas[[#This Row],[RUN]],Tabla_Pagos[],8,FALSE)),0,VLOOKUP(T_Cuotas[[#This Row],[RUN]],Tabla_Pagos[],8,FALSE))</f>
        <v>16500</v>
      </c>
      <c r="E174" s="5">
        <f>IF(ISERROR(VLOOKUP(T_Cuotas[[#This Row],[RUN]],Tabla_Pagos[],9,FALSE)),0,VLOOKUP(T_Cuotas[[#This Row],[RUN]],Tabla_Pagos[],9,FALSE))</f>
        <v>0</v>
      </c>
      <c r="F174" s="5">
        <f>T_Cuotas[[#This Row],[Cuota_1]]+T_Cuotas[[#This Row],[Cuota_2]]+T_Cuotas[[#This Row],[Cuota_3]]</f>
        <v>36500</v>
      </c>
      <c r="G174" s="1">
        <f>COUNTIF(T_Cuotas[RUN],T_Cuotas[[#This Row],[RUN]])</f>
        <v>1</v>
      </c>
      <c r="H174" s="5" t="str">
        <f>IF(ISERROR(VLOOKUP(T_Cuotas[[#This Row],[RUN]],T_Voluntarios[],2,FALSE)),"No Existe",VLOOKUP(T_Cuotas[[#This Row],[RUN]],T_Voluntarios[],2,FALSE))</f>
        <v>marcela.ivana.molina.agurto@gmail.com</v>
      </c>
      <c r="I174" s="5"/>
      <c r="J174" s="5" t="str">
        <f>IF(ISERROR(VLOOKUP(T_Cuotas[[#This Row],[RUN]],T_Voluntarios[],8,FALSE)),"No Existe",VLOOKUP(T_Cuotas[[#This Row],[RUN]],T_Voluntarios[],8,FALSE))</f>
        <v>+56965416672</v>
      </c>
      <c r="K174" s="5" t="str">
        <f>IF(ISERROR(VLOOKUP(T_Cuotas[[#This Row],[RUN]],T_Voluntarios[],10,FALSE)),"No Existe",VLOOKUP(T_Cuotas[[#This Row],[RUN]],T_Voluntarios[],10,FALSE))</f>
        <v>Rucapeñihue</v>
      </c>
      <c r="L174" s="5" t="str">
        <f>IF(ISERROR(VLOOKUP(T_Cuotas[[#This Row],[RUN]],T_Voluntarios[],30,FALSE)),"No Existe",VLOOKUP(T_Cuotas[[#This Row],[RUN]],T_Voluntarios[],30,FALSE))</f>
        <v>Vigente</v>
      </c>
      <c r="M174" s="5" t="str">
        <f>IF(ISERROR(VLOOKUP(T_Cuotas[[#This Row],[RUN]],T_Voluntarios[],13,FALSE)),"No Existe",VLOOKUP(T_Cuotas[[#This Row],[RUN]],T_Voluntarios[],13,FALSE))</f>
        <v>Sin Almuerzo</v>
      </c>
    </row>
  </sheetData>
  <mergeCells count="5">
    <mergeCell ref="F3:G3"/>
    <mergeCell ref="A2:A3"/>
    <mergeCell ref="I1:M1"/>
    <mergeCell ref="I2:M2"/>
    <mergeCell ref="I3:M3"/>
  </mergeCells>
  <conditionalFormatting sqref="A5:K174">
    <cfRule type="expression" dxfId="115" priority="49">
      <formula>$G5=0</formula>
    </cfRule>
  </conditionalFormatting>
  <pageMargins left="0.23622047244094491" right="0.23622047244094491" top="0.74803149606299213" bottom="0.74803149606299213" header="0.31496062992125984" footer="0.31496062992125984"/>
  <pageSetup scale="94" fitToHeight="8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492C6-DAE9-436B-A2DC-017B1111DD45}">
  <sheetPr codeName="Hoja17"/>
  <dimension ref="A1:N34"/>
  <sheetViews>
    <sheetView zoomScale="70" zoomScaleNormal="70" workbookViewId="0">
      <pane ySplit="2" topLeftCell="A3" activePane="bottomLeft" state="frozen"/>
      <selection pane="bottomLeft" activeCell="G15" sqref="G15"/>
    </sheetView>
  </sheetViews>
  <sheetFormatPr baseColWidth="10" defaultRowHeight="14.4" x14ac:dyDescent="0.3"/>
  <cols>
    <col min="1" max="1" width="10.5546875" bestFit="1" customWidth="1"/>
    <col min="2" max="2" width="35.5546875" bestFit="1" customWidth="1"/>
    <col min="3" max="3" width="34.88671875" hidden="1" customWidth="1"/>
    <col min="4" max="5" width="19.6640625" customWidth="1"/>
    <col min="6" max="11" width="15.33203125" customWidth="1"/>
    <col min="12" max="12" width="26.6640625" style="1" bestFit="1" customWidth="1"/>
    <col min="13" max="13" width="29.109375" bestFit="1" customWidth="1"/>
    <col min="14" max="14" width="11.5546875" style="1"/>
  </cols>
  <sheetData>
    <row r="1" spans="1:14" ht="18" x14ac:dyDescent="0.35">
      <c r="A1" s="106" t="s">
        <v>459</v>
      </c>
      <c r="B1" s="106"/>
      <c r="C1" s="106"/>
      <c r="D1" s="106"/>
      <c r="E1" s="106"/>
      <c r="F1" s="44">
        <f>SUM(T_Pasajes[VIERNES])</f>
        <v>152000</v>
      </c>
      <c r="G1" s="44">
        <f>SUM(T_Pasajes[SABADO])</f>
        <v>18000</v>
      </c>
      <c r="H1" s="44">
        <f>SUM(T_Pasajes[DOMINGO])</f>
        <v>153500</v>
      </c>
      <c r="I1" s="44">
        <f>SUM(T_Pasajes[LUNES])</f>
        <v>0</v>
      </c>
      <c r="J1" s="44">
        <f>SUM(T_Pasajes[BONO])</f>
        <v>0</v>
      </c>
      <c r="K1" s="44">
        <f>SUM(T_Pasajes[TOTAL])</f>
        <v>323500</v>
      </c>
    </row>
    <row r="2" spans="1:14" x14ac:dyDescent="0.3">
      <c r="A2" s="39" t="s">
        <v>37</v>
      </c>
      <c r="B2" s="40" t="s">
        <v>39</v>
      </c>
      <c r="C2" s="40" t="s">
        <v>90</v>
      </c>
      <c r="D2" s="41" t="s">
        <v>42</v>
      </c>
      <c r="E2" s="41" t="s">
        <v>87</v>
      </c>
      <c r="F2" s="41" t="s">
        <v>452</v>
      </c>
      <c r="G2" s="41" t="s">
        <v>453</v>
      </c>
      <c r="H2" s="41" t="s">
        <v>454</v>
      </c>
      <c r="I2" s="40" t="s">
        <v>455</v>
      </c>
      <c r="J2" s="43" t="s">
        <v>458</v>
      </c>
      <c r="K2" s="42" t="s">
        <v>457</v>
      </c>
      <c r="L2" s="42" t="s">
        <v>3029</v>
      </c>
      <c r="M2" s="42" t="s">
        <v>3030</v>
      </c>
      <c r="N2" s="42" t="s">
        <v>3392</v>
      </c>
    </row>
    <row r="3" spans="1:14" x14ac:dyDescent="0.3">
      <c r="A3" s="2" t="s">
        <v>282</v>
      </c>
      <c r="B3" t="str">
        <f>IF(ISERROR(VLOOKUP(T_Pasajes[[#This Row],[RUN]],T_Voluntarios[],3,FALSE)),"No Existe",VLOOKUP(T_Pasajes[[#This Row],[RUN]],T_Voluntarios[],3,FALSE))</f>
        <v>Sebastián Hormazábal Madrid</v>
      </c>
      <c r="C3" t="str">
        <f>IF(ISERROR(VLOOKUP(T_Pasajes[[#This Row],[RUN]],T_Voluntarios[],2,FALSE)),"No Existe",VLOOKUP(T_Pasajes[[#This Row],[RUN]],T_Voluntarios[],2,FALSE))</f>
        <v>shormazabalm7@gmail.com</v>
      </c>
      <c r="D3" t="str">
        <f>IF(ISERROR(VLOOKUP(T_Pasajes[[#This Row],[RUN]],T_Voluntarios[],6,FALSE)),"No Existe",VLOOKUP(T_Pasajes[[#This Row],[RUN]],T_Voluntarios[],6,FALSE))</f>
        <v>Cañete</v>
      </c>
      <c r="E3" t="str">
        <f>IF(ISERROR(VLOOKUP(T_Pasajes[[#This Row],[RUN]],T_Voluntarios[],11,FALSE)),"No Existe",VLOOKUP(T_Pasajes[[#This Row],[RUN]],T_Voluntarios[],11,FALSE))</f>
        <v>Pioneros</v>
      </c>
      <c r="F3" s="38">
        <v>10000</v>
      </c>
      <c r="G3" s="38">
        <v>1500</v>
      </c>
      <c r="H3" s="38">
        <v>10000</v>
      </c>
      <c r="I3" s="38">
        <v>0</v>
      </c>
      <c r="J3" s="38">
        <v>0</v>
      </c>
      <c r="K3" s="38">
        <f>SUM(T_Pasajes[[#This Row],[VIERNES]:[BONO]])</f>
        <v>21500</v>
      </c>
      <c r="L3" s="77" t="s">
        <v>2</v>
      </c>
      <c r="M3" s="77" t="s">
        <v>2</v>
      </c>
      <c r="N3" s="1" t="str">
        <f>IF(ISERROR(VLOOKUP(T_Pasajes[[#This Row],[RUN]],T_Voluntarios[],35,FALSE)),"No Existe",VLOOKUP(T_Pasajes[[#This Row],[RUN]],T_Voluntarios[],35,FALSE))</f>
        <v>No</v>
      </c>
    </row>
    <row r="4" spans="1:14" x14ac:dyDescent="0.3">
      <c r="A4" s="2" t="s">
        <v>221</v>
      </c>
      <c r="B4" t="str">
        <f>IF(ISERROR(VLOOKUP(T_Pasajes[[#This Row],[RUN]],T_Voluntarios[],3,FALSE)),"No Existe",VLOOKUP(T_Pasajes[[#This Row],[RUN]],T_Voluntarios[],3,FALSE))</f>
        <v>Aldo Felipe Arévalo Rodríguez</v>
      </c>
      <c r="C4" t="str">
        <f>IF(ISERROR(VLOOKUP(T_Pasajes[[#This Row],[RUN]],T_Voluntarios[],2,FALSE)),"No Existe",VLOOKUP(T_Pasajes[[#This Row],[RUN]],T_Voluntarios[],2,FALSE))</f>
        <v>aldo.arevalo.rodriguez@gmail.com</v>
      </c>
      <c r="D4" t="str">
        <f>IF(ISERROR(VLOOKUP(T_Pasajes[[#This Row],[RUN]],T_Voluntarios[],6,FALSE)),"No Existe",VLOOKUP(T_Pasajes[[#This Row],[RUN]],T_Voluntarios[],6,FALSE))</f>
        <v>San Pedro De La Paz</v>
      </c>
      <c r="E4" t="str">
        <f>IF(ISERROR(VLOOKUP(T_Pasajes[[#This Row],[RUN]],T_Voluntarios[],11,FALSE)),"No Existe",VLOOKUP(T_Pasajes[[#This Row],[RUN]],T_Voluntarios[],11,FALSE))</f>
        <v>Lobatos</v>
      </c>
      <c r="F4" s="38">
        <v>1500</v>
      </c>
      <c r="G4" s="38"/>
      <c r="H4" s="38">
        <v>1500</v>
      </c>
      <c r="I4" s="38">
        <v>0</v>
      </c>
      <c r="J4" s="38">
        <v>0</v>
      </c>
      <c r="K4" s="38">
        <f>SUM(T_Pasajes[[#This Row],[VIERNES]:[BONO]])</f>
        <v>3000</v>
      </c>
      <c r="L4" s="77" t="s">
        <v>2</v>
      </c>
      <c r="M4" s="77" t="s">
        <v>2</v>
      </c>
      <c r="N4" s="1" t="str">
        <f>IF(ISERROR(VLOOKUP(T_Pasajes[[#This Row],[RUN]],T_Voluntarios[],35,FALSE)),"No Existe",VLOOKUP(T_Pasajes[[#This Row],[RUN]],T_Voluntarios[],35,FALSE))</f>
        <v>No</v>
      </c>
    </row>
    <row r="5" spans="1:14" x14ac:dyDescent="0.3">
      <c r="A5" s="2" t="s">
        <v>501</v>
      </c>
      <c r="B5" t="str">
        <f>IF(ISERROR(VLOOKUP(T_Pasajes[[#This Row],[RUN]],T_Voluntarios[],3,FALSE)),"No Existe",VLOOKUP(T_Pasajes[[#This Row],[RUN]],T_Voluntarios[],3,FALSE))</f>
        <v>Cristóbal Tomás Chávez Montoya</v>
      </c>
      <c r="C5" t="str">
        <f>IF(ISERROR(VLOOKUP(T_Pasajes[[#This Row],[RUN]],T_Voluntarios[],2,FALSE)),"No Existe",VLOOKUP(T_Pasajes[[#This Row],[RUN]],T_Voluntarios[],2,FALSE))</f>
        <v>cchavez.mon@gmail.com</v>
      </c>
      <c r="D5" t="str">
        <f>IF(ISERROR(VLOOKUP(T_Pasajes[[#This Row],[RUN]],T_Voluntarios[],6,FALSE)),"No Existe",VLOOKUP(T_Pasajes[[#This Row],[RUN]],T_Voluntarios[],6,FALSE))</f>
        <v>Hualpén</v>
      </c>
      <c r="E5" t="str">
        <f>IF(ISERROR(VLOOKUP(T_Pasajes[[#This Row],[RUN]],T_Voluntarios[],11,FALSE)),"No Existe",VLOOKUP(T_Pasajes[[#This Row],[RUN]],T_Voluntarios[],11,FALSE))</f>
        <v>Pioneros</v>
      </c>
      <c r="F5" s="38">
        <v>1500</v>
      </c>
      <c r="G5" s="38"/>
      <c r="H5" s="38">
        <v>1500</v>
      </c>
      <c r="I5" s="38">
        <v>0</v>
      </c>
      <c r="J5" s="38">
        <v>0</v>
      </c>
      <c r="K5" s="38">
        <f>SUM(T_Pasajes[[#This Row],[VIERNES]:[BONO]])</f>
        <v>3000</v>
      </c>
      <c r="L5" s="77" t="s">
        <v>2</v>
      </c>
      <c r="M5" s="77" t="s">
        <v>2</v>
      </c>
      <c r="N5" s="1" t="str">
        <f>IF(ISERROR(VLOOKUP(T_Pasajes[[#This Row],[RUN]],T_Voluntarios[],35,FALSE)),"No Existe",VLOOKUP(T_Pasajes[[#This Row],[RUN]],T_Voluntarios[],35,FALSE))</f>
        <v>No</v>
      </c>
    </row>
    <row r="6" spans="1:14" x14ac:dyDescent="0.3">
      <c r="A6" s="2" t="s">
        <v>1709</v>
      </c>
      <c r="B6" t="str">
        <f>IF(ISERROR(VLOOKUP(T_Pasajes[[#This Row],[RUN]],T_Voluntarios[],3,FALSE)),"No Existe",VLOOKUP(T_Pasajes[[#This Row],[RUN]],T_Voluntarios[],3,FALSE))</f>
        <v>Ivo Pietro Battaglia Salinas</v>
      </c>
      <c r="C6" t="str">
        <f>IF(ISERROR(VLOOKUP(T_Pasajes[[#This Row],[RUN]],T_Voluntarios[],2,FALSE)),"No Existe",VLOOKUP(T_Pasajes[[#This Row],[RUN]],T_Voluntarios[],2,FALSE))</f>
        <v>ivo.battaglia@gmail.com</v>
      </c>
      <c r="D6" t="str">
        <f>IF(ISERROR(VLOOKUP(T_Pasajes[[#This Row],[RUN]],T_Voluntarios[],6,FALSE)),"No Existe",VLOOKUP(T_Pasajes[[#This Row],[RUN]],T_Voluntarios[],6,FALSE))</f>
        <v>Los Ángeles</v>
      </c>
      <c r="E6" t="str">
        <f>IF(ISERROR(VLOOKUP(T_Pasajes[[#This Row],[RUN]],T_Voluntarios[],11,FALSE)),"No Existe",VLOOKUP(T_Pasajes[[#This Row],[RUN]],T_Voluntarios[],11,FALSE))</f>
        <v>Scouts</v>
      </c>
      <c r="F6" s="38">
        <v>9000</v>
      </c>
      <c r="G6" s="38"/>
      <c r="H6" s="38">
        <v>9000</v>
      </c>
      <c r="I6" s="38">
        <v>0</v>
      </c>
      <c r="J6" s="38">
        <v>0</v>
      </c>
      <c r="K6" s="38">
        <f>SUM(T_Pasajes[[#This Row],[VIERNES]:[BONO]])</f>
        <v>18000</v>
      </c>
      <c r="L6" s="77" t="s">
        <v>2</v>
      </c>
      <c r="M6" s="77" t="s">
        <v>2</v>
      </c>
      <c r="N6" s="1" t="str">
        <f>IF(ISERROR(VLOOKUP(T_Pasajes[[#This Row],[RUN]],T_Voluntarios[],35,FALSE)),"No Existe",VLOOKUP(T_Pasajes[[#This Row],[RUN]],T_Voluntarios[],35,FALSE))</f>
        <v>No</v>
      </c>
    </row>
    <row r="7" spans="1:14" x14ac:dyDescent="0.3">
      <c r="A7" s="2" t="s">
        <v>1720</v>
      </c>
      <c r="B7" t="str">
        <f>IF(ISERROR(VLOOKUP(T_Pasajes[[#This Row],[RUN]],T_Voluntarios[],3,FALSE)),"No Existe",VLOOKUP(T_Pasajes[[#This Row],[RUN]],T_Voluntarios[],3,FALSE))</f>
        <v>Alonso Javier Villablanca Figueroa</v>
      </c>
      <c r="C7" t="str">
        <f>IF(ISERROR(VLOOKUP(T_Pasajes[[#This Row],[RUN]],T_Voluntarios[],2,FALSE)),"No Existe",VLOOKUP(T_Pasajes[[#This Row],[RUN]],T_Voluntarios[],2,FALSE))</f>
        <v>alonsovillablancaf@gmail.com</v>
      </c>
      <c r="D7" t="str">
        <f>IF(ISERROR(VLOOKUP(T_Pasajes[[#This Row],[RUN]],T_Voluntarios[],6,FALSE)),"No Existe",VLOOKUP(T_Pasajes[[#This Row],[RUN]],T_Voluntarios[],6,FALSE))</f>
        <v>San Pedro De La Paz</v>
      </c>
      <c r="E7" t="str">
        <f>IF(ISERROR(VLOOKUP(T_Pasajes[[#This Row],[RUN]],T_Voluntarios[],11,FALSE)),"No Existe",VLOOKUP(T_Pasajes[[#This Row],[RUN]],T_Voluntarios[],11,FALSE))</f>
        <v>Scouts</v>
      </c>
      <c r="F7" s="38">
        <v>1500</v>
      </c>
      <c r="G7" s="38"/>
      <c r="H7" s="38">
        <v>1500</v>
      </c>
      <c r="I7" s="38">
        <v>0</v>
      </c>
      <c r="J7" s="38">
        <v>0</v>
      </c>
      <c r="K7" s="38">
        <f>SUM(T_Pasajes[[#This Row],[VIERNES]:[BONO]])</f>
        <v>3000</v>
      </c>
      <c r="L7" s="77" t="s">
        <v>2</v>
      </c>
      <c r="M7" s="77" t="s">
        <v>2</v>
      </c>
      <c r="N7" s="1" t="str">
        <f>IF(ISERROR(VLOOKUP(T_Pasajes[[#This Row],[RUN]],T_Voluntarios[],35,FALSE)),"No Existe",VLOOKUP(T_Pasajes[[#This Row],[RUN]],T_Voluntarios[],35,FALSE))</f>
        <v>No</v>
      </c>
    </row>
    <row r="8" spans="1:14" x14ac:dyDescent="0.3">
      <c r="A8" s="2" t="s">
        <v>203</v>
      </c>
      <c r="B8" t="str">
        <f>IF(ISERROR(VLOOKUP(T_Pasajes[[#This Row],[RUN]],T_Voluntarios[],3,FALSE)),"No Existe",VLOOKUP(T_Pasajes[[#This Row],[RUN]],T_Voluntarios[],3,FALSE))</f>
        <v>Carlos Gerardo Hormazábal Saez</v>
      </c>
      <c r="C8" t="str">
        <f>IF(ISERROR(VLOOKUP(T_Pasajes[[#This Row],[RUN]],T_Voluntarios[],2,FALSE)),"No Existe",VLOOKUP(T_Pasajes[[#This Row],[RUN]],T_Voluntarios[],2,FALSE))</f>
        <v>chormazabal@guiasyscoutschile.cl</v>
      </c>
      <c r="D8" t="str">
        <f>IF(ISERROR(VLOOKUP(T_Pasajes[[#This Row],[RUN]],T_Voluntarios[],6,FALSE)),"No Existe",VLOOKUP(T_Pasajes[[#This Row],[RUN]],T_Voluntarios[],6,FALSE))</f>
        <v>Cañete</v>
      </c>
      <c r="E8" t="str">
        <f>IF(ISERROR(VLOOKUP(T_Pasajes[[#This Row],[RUN]],T_Voluntarios[],11,FALSE)),"No Existe",VLOOKUP(T_Pasajes[[#This Row],[RUN]],T_Voluntarios[],11,FALSE))</f>
        <v>Scouts</v>
      </c>
      <c r="F8" s="38">
        <v>10000</v>
      </c>
      <c r="G8" s="38"/>
      <c r="H8" s="38">
        <v>10000</v>
      </c>
      <c r="I8" s="38">
        <v>0</v>
      </c>
      <c r="J8" s="38">
        <v>0</v>
      </c>
      <c r="K8" s="38">
        <f>SUM(T_Pasajes[[#This Row],[VIERNES]:[BONO]])</f>
        <v>20000</v>
      </c>
      <c r="L8" s="77" t="s">
        <v>2</v>
      </c>
      <c r="M8" s="77" t="s">
        <v>2</v>
      </c>
      <c r="N8" s="1" t="str">
        <f>IF(ISERROR(VLOOKUP(T_Pasajes[[#This Row],[RUN]],T_Voluntarios[],35,FALSE)),"No Existe",VLOOKUP(T_Pasajes[[#This Row],[RUN]],T_Voluntarios[],35,FALSE))</f>
        <v>SI</v>
      </c>
    </row>
    <row r="9" spans="1:14" x14ac:dyDescent="0.3">
      <c r="A9" s="2" t="s">
        <v>287</v>
      </c>
      <c r="B9" t="str">
        <f>IF(ISERROR(VLOOKUP(T_Pasajes[[#This Row],[RUN]],T_Voluntarios[],3,FALSE)),"No Existe",VLOOKUP(T_Pasajes[[#This Row],[RUN]],T_Voluntarios[],3,FALSE))</f>
        <v>Oriana Alejandra Saez Muñoz</v>
      </c>
      <c r="C9" t="str">
        <f>IF(ISERROR(VLOOKUP(T_Pasajes[[#This Row],[RUN]],T_Voluntarios[],2,FALSE)),"No Existe",VLOOKUP(T_Pasajes[[#This Row],[RUN]],T_Voluntarios[],2,FALSE))</f>
        <v>orianasaezm@gmail.com</v>
      </c>
      <c r="D9" t="str">
        <f>IF(ISERROR(VLOOKUP(T_Pasajes[[#This Row],[RUN]],T_Voluntarios[],6,FALSE)),"No Existe",VLOOKUP(T_Pasajes[[#This Row],[RUN]],T_Voluntarios[],6,FALSE))</f>
        <v>Concepción</v>
      </c>
      <c r="E9" t="str">
        <f>IF(ISERROR(VLOOKUP(T_Pasajes[[#This Row],[RUN]],T_Voluntarios[],11,FALSE)),"No Existe",VLOOKUP(T_Pasajes[[#This Row],[RUN]],T_Voluntarios[],11,FALSE))</f>
        <v>Lobatos</v>
      </c>
      <c r="F9" s="38">
        <v>1500</v>
      </c>
      <c r="G9" s="38">
        <v>1500</v>
      </c>
      <c r="H9" s="38">
        <v>1500</v>
      </c>
      <c r="I9" s="38">
        <v>0</v>
      </c>
      <c r="J9" s="38">
        <v>0</v>
      </c>
      <c r="K9" s="38">
        <f>SUM(T_Pasajes[[#This Row],[VIERNES]:[BONO]])</f>
        <v>4500</v>
      </c>
      <c r="L9" s="77" t="s">
        <v>2</v>
      </c>
      <c r="M9" s="77" t="s">
        <v>2</v>
      </c>
      <c r="N9" s="1" t="str">
        <f>IF(ISERROR(VLOOKUP(T_Pasajes[[#This Row],[RUN]],T_Voluntarios[],35,FALSE)),"No Existe",VLOOKUP(T_Pasajes[[#This Row],[RUN]],T_Voluntarios[],35,FALSE))</f>
        <v>No</v>
      </c>
    </row>
    <row r="10" spans="1:14" x14ac:dyDescent="0.3">
      <c r="A10" s="2" t="s">
        <v>264</v>
      </c>
      <c r="B10" t="str">
        <f>IF(ISERROR(VLOOKUP(T_Pasajes[[#This Row],[RUN]],T_Voluntarios[],3,FALSE)),"No Existe",VLOOKUP(T_Pasajes[[#This Row],[RUN]],T_Voluntarios[],3,FALSE))</f>
        <v>Liset Scarlet Alarcón Ortega</v>
      </c>
      <c r="C10" t="str">
        <f>IF(ISERROR(VLOOKUP(T_Pasajes[[#This Row],[RUN]],T_Voluntarios[],2,FALSE)),"No Existe",VLOOKUP(T_Pasajes[[#This Row],[RUN]],T_Voluntarios[],2,FALSE))</f>
        <v>liset.alarcon4@gmail.com</v>
      </c>
      <c r="D10" t="str">
        <f>IF(ISERROR(VLOOKUP(T_Pasajes[[#This Row],[RUN]],T_Voluntarios[],6,FALSE)),"No Existe",VLOOKUP(T_Pasajes[[#This Row],[RUN]],T_Voluntarios[],6,FALSE))</f>
        <v>Hualpén</v>
      </c>
      <c r="E10" t="str">
        <f>IF(ISERROR(VLOOKUP(T_Pasajes[[#This Row],[RUN]],T_Voluntarios[],11,FALSE)),"No Existe",VLOOKUP(T_Pasajes[[#This Row],[RUN]],T_Voluntarios[],11,FALSE))</f>
        <v>Pioneros</v>
      </c>
      <c r="F10" s="38">
        <v>1500</v>
      </c>
      <c r="G10" s="38"/>
      <c r="H10" s="38">
        <v>1500</v>
      </c>
      <c r="I10" s="38">
        <v>0</v>
      </c>
      <c r="J10" s="38">
        <v>0</v>
      </c>
      <c r="K10" s="38">
        <f>SUM(T_Pasajes[[#This Row],[VIERNES]:[BONO]])</f>
        <v>3000</v>
      </c>
      <c r="L10" s="77" t="s">
        <v>2</v>
      </c>
      <c r="M10" s="77" t="s">
        <v>2</v>
      </c>
      <c r="N10" s="1" t="str">
        <f>IF(ISERROR(VLOOKUP(T_Pasajes[[#This Row],[RUN]],T_Voluntarios[],35,FALSE)),"No Existe",VLOOKUP(T_Pasajes[[#This Row],[RUN]],T_Voluntarios[],35,FALSE))</f>
        <v>SI</v>
      </c>
    </row>
    <row r="11" spans="1:14" x14ac:dyDescent="0.3">
      <c r="A11" s="2" t="s">
        <v>303</v>
      </c>
      <c r="B11" t="str">
        <f>IF(ISERROR(VLOOKUP(T_Pasajes[[#This Row],[RUN]],T_Voluntarios[],3,FALSE)),"No Existe",VLOOKUP(T_Pasajes[[#This Row],[RUN]],T_Voluntarios[],3,FALSE))</f>
        <v>Ana Carolina Madrid  Canivilo</v>
      </c>
      <c r="C11" t="str">
        <f>IF(ISERROR(VLOOKUP(T_Pasajes[[#This Row],[RUN]],T_Voluntarios[],2,FALSE)),"No Existe",VLOOKUP(T_Pasajes[[#This Row],[RUN]],T_Voluntarios[],2,FALSE))</f>
        <v>amadridcani@gmail.com</v>
      </c>
      <c r="D11" t="str">
        <f>IF(ISERROR(VLOOKUP(T_Pasajes[[#This Row],[RUN]],T_Voluntarios[],6,FALSE)),"No Existe",VLOOKUP(T_Pasajes[[#This Row],[RUN]],T_Voluntarios[],6,FALSE))</f>
        <v>Cañete</v>
      </c>
      <c r="E11" t="str">
        <f>IF(ISERROR(VLOOKUP(T_Pasajes[[#This Row],[RUN]],T_Voluntarios[],11,FALSE)),"No Existe",VLOOKUP(T_Pasajes[[#This Row],[RUN]],T_Voluntarios[],11,FALSE))</f>
        <v>Golondrinas</v>
      </c>
      <c r="F11" s="38">
        <v>10000</v>
      </c>
      <c r="G11" s="38">
        <v>1500</v>
      </c>
      <c r="H11" s="38">
        <v>10000</v>
      </c>
      <c r="I11" s="38">
        <v>0</v>
      </c>
      <c r="J11" s="38">
        <v>0</v>
      </c>
      <c r="K11" s="38">
        <f>SUM(T_Pasajes[[#This Row],[VIERNES]:[BONO]])</f>
        <v>21500</v>
      </c>
      <c r="L11" s="77" t="s">
        <v>2</v>
      </c>
      <c r="M11" s="77" t="s">
        <v>2</v>
      </c>
      <c r="N11" s="1" t="str">
        <f>IF(ISERROR(VLOOKUP(T_Pasajes[[#This Row],[RUN]],T_Voluntarios[],35,FALSE)),"No Existe",VLOOKUP(T_Pasajes[[#This Row],[RUN]],T_Voluntarios[],35,FALSE))</f>
        <v>No</v>
      </c>
    </row>
    <row r="12" spans="1:14" x14ac:dyDescent="0.3">
      <c r="A12" s="2" t="s">
        <v>175</v>
      </c>
      <c r="B12" t="str">
        <f>IF(ISERROR(VLOOKUP(T_Pasajes[[#This Row],[RUN]],T_Voluntarios[],3,FALSE)),"No Existe",VLOOKUP(T_Pasajes[[#This Row],[RUN]],T_Voluntarios[],3,FALSE))</f>
        <v>Romina Paz Arnechino Arriagada</v>
      </c>
      <c r="C12" t="str">
        <f>IF(ISERROR(VLOOKUP(T_Pasajes[[#This Row],[RUN]],T_Voluntarios[],2,FALSE)),"No Existe",VLOOKUP(T_Pasajes[[#This Row],[RUN]],T_Voluntarios[],2,FALSE))</f>
        <v>rarnechino@guiasyscoutschile.cl</v>
      </c>
      <c r="D12" t="str">
        <f>IF(ISERROR(VLOOKUP(T_Pasajes[[#This Row],[RUN]],T_Voluntarios[],6,FALSE)),"No Existe",VLOOKUP(T_Pasajes[[#This Row],[RUN]],T_Voluntarios[],6,FALSE))</f>
        <v>Hualpén</v>
      </c>
      <c r="E12" t="str">
        <f>IF(ISERROR(VLOOKUP(T_Pasajes[[#This Row],[RUN]],T_Voluntarios[],11,FALSE)),"No Existe",VLOOKUP(T_Pasajes[[#This Row],[RUN]],T_Voluntarios[],11,FALSE))</f>
        <v>Golondrinas</v>
      </c>
      <c r="F12" s="38">
        <v>1500</v>
      </c>
      <c r="G12" s="38">
        <v>1500</v>
      </c>
      <c r="H12" s="38">
        <v>1500</v>
      </c>
      <c r="I12" s="38">
        <v>0</v>
      </c>
      <c r="J12" s="38">
        <v>0</v>
      </c>
      <c r="K12" s="38">
        <f>SUM(T_Pasajes[[#This Row],[VIERNES]:[BONO]])</f>
        <v>4500</v>
      </c>
      <c r="L12" s="77" t="s">
        <v>2</v>
      </c>
      <c r="M12" s="77" t="s">
        <v>2</v>
      </c>
      <c r="N12" s="1" t="str">
        <f>IF(ISERROR(VLOOKUP(T_Pasajes[[#This Row],[RUN]],T_Voluntarios[],35,FALSE)),"No Existe",VLOOKUP(T_Pasajes[[#This Row],[RUN]],T_Voluntarios[],35,FALSE))</f>
        <v>No</v>
      </c>
    </row>
    <row r="13" spans="1:14" x14ac:dyDescent="0.3">
      <c r="A13" s="2" t="s">
        <v>686</v>
      </c>
      <c r="B13" t="str">
        <f>IF(ISERROR(VLOOKUP(T_Pasajes[[#This Row],[RUN]],T_Voluntarios[],3,FALSE)),"No Existe",VLOOKUP(T_Pasajes[[#This Row],[RUN]],T_Voluntarios[],3,FALSE))</f>
        <v>Ismael Osvaldo Espinoza Soto</v>
      </c>
      <c r="C13" t="str">
        <f>IF(ISERROR(VLOOKUP(T_Pasajes[[#This Row],[RUN]],T_Voluntarios[],2,FALSE)),"No Existe",VLOOKUP(T_Pasajes[[#This Row],[RUN]],T_Voluntarios[],2,FALSE))</f>
        <v>ismaelsotoespi98@gmail.com</v>
      </c>
      <c r="D13" t="str">
        <f>IF(ISERROR(VLOOKUP(T_Pasajes[[#This Row],[RUN]],T_Voluntarios[],6,FALSE)),"No Existe",VLOOKUP(T_Pasajes[[#This Row],[RUN]],T_Voluntarios[],6,FALSE))</f>
        <v>Chillán</v>
      </c>
      <c r="E13" t="str">
        <f>IF(ISERROR(VLOOKUP(T_Pasajes[[#This Row],[RUN]],T_Voluntarios[],11,FALSE)),"No Existe",VLOOKUP(T_Pasajes[[#This Row],[RUN]],T_Voluntarios[],11,FALSE))</f>
        <v>Golondrinas</v>
      </c>
      <c r="F13" s="38">
        <v>7000</v>
      </c>
      <c r="G13" s="38"/>
      <c r="H13" s="38">
        <v>7000</v>
      </c>
      <c r="I13" s="38">
        <v>0</v>
      </c>
      <c r="J13" s="38">
        <v>0</v>
      </c>
      <c r="K13" s="38">
        <f>SUM(T_Pasajes[[#This Row],[VIERNES]:[BONO]])</f>
        <v>14000</v>
      </c>
      <c r="L13" s="77" t="s">
        <v>2</v>
      </c>
      <c r="M13" s="77" t="s">
        <v>2</v>
      </c>
      <c r="N13" s="1" t="str">
        <f>IF(ISERROR(VLOOKUP(T_Pasajes[[#This Row],[RUN]],T_Voluntarios[],35,FALSE)),"No Existe",VLOOKUP(T_Pasajes[[#This Row],[RUN]],T_Voluntarios[],35,FALSE))</f>
        <v>No</v>
      </c>
    </row>
    <row r="14" spans="1:14" x14ac:dyDescent="0.3">
      <c r="A14" s="2" t="s">
        <v>138</v>
      </c>
      <c r="B14" t="str">
        <f>IF(ISERROR(VLOOKUP(T_Pasajes[[#This Row],[RUN]],T_Voluntarios[],3,FALSE)),"No Existe",VLOOKUP(T_Pasajes[[#This Row],[RUN]],T_Voluntarios[],3,FALSE))</f>
        <v>Braulio Alfredo Rojas Salas</v>
      </c>
      <c r="C14" t="str">
        <f>IF(ISERROR(VLOOKUP(T_Pasajes[[#This Row],[RUN]],T_Voluntarios[],2,FALSE)),"No Existe",VLOOKUP(T_Pasajes[[#This Row],[RUN]],T_Voluntarios[],2,FALSE))</f>
        <v>brojas@guiasyscoutschile.cl</v>
      </c>
      <c r="D14" t="str">
        <f>IF(ISERROR(VLOOKUP(T_Pasajes[[#This Row],[RUN]],T_Voluntarios[],6,FALSE)),"No Existe",VLOOKUP(T_Pasajes[[#This Row],[RUN]],T_Voluntarios[],6,FALSE))</f>
        <v>Hualpén</v>
      </c>
      <c r="E14" t="str">
        <f>IF(ISERROR(VLOOKUP(T_Pasajes[[#This Row],[RUN]],T_Voluntarios[],11,FALSE)),"No Existe",VLOOKUP(T_Pasajes[[#This Row],[RUN]],T_Voluntarios[],11,FALSE))</f>
        <v>Scouts</v>
      </c>
      <c r="F14" s="38">
        <v>1500</v>
      </c>
      <c r="G14" s="38"/>
      <c r="H14" s="38">
        <v>1500</v>
      </c>
      <c r="I14" s="38">
        <v>0</v>
      </c>
      <c r="J14" s="38">
        <v>0</v>
      </c>
      <c r="K14" s="38">
        <f>SUM(T_Pasajes[[#This Row],[VIERNES]:[BONO]])</f>
        <v>3000</v>
      </c>
      <c r="L14" s="77" t="s">
        <v>2</v>
      </c>
      <c r="M14" s="77" t="s">
        <v>2</v>
      </c>
      <c r="N14" s="1" t="str">
        <f>IF(ISERROR(VLOOKUP(T_Pasajes[[#This Row],[RUN]],T_Voluntarios[],35,FALSE)),"No Existe",VLOOKUP(T_Pasajes[[#This Row],[RUN]],T_Voluntarios[],35,FALSE))</f>
        <v>No</v>
      </c>
    </row>
    <row r="15" spans="1:14" x14ac:dyDescent="0.3">
      <c r="A15" s="2" t="s">
        <v>251</v>
      </c>
      <c r="B15" t="str">
        <f>IF(ISERROR(VLOOKUP(T_Pasajes[[#This Row],[RUN]],T_Voluntarios[],3,FALSE)),"No Existe",VLOOKUP(T_Pasajes[[#This Row],[RUN]],T_Voluntarios[],3,FALSE))</f>
        <v>Eric Edison Eduardo Muñoz Beltran</v>
      </c>
      <c r="C15" t="str">
        <f>IF(ISERROR(VLOOKUP(T_Pasajes[[#This Row],[RUN]],T_Voluntarios[],2,FALSE)),"No Existe",VLOOKUP(T_Pasajes[[#This Row],[RUN]],T_Voluntarios[],2,FALSE))</f>
        <v>eric.munoz.bel@gmail.com</v>
      </c>
      <c r="D15" t="str">
        <f>IF(ISERROR(VLOOKUP(T_Pasajes[[#This Row],[RUN]],T_Voluntarios[],6,FALSE)),"No Existe",VLOOKUP(T_Pasajes[[#This Row],[RUN]],T_Voluntarios[],6,FALSE))</f>
        <v>Concepción</v>
      </c>
      <c r="E15" t="str">
        <f>IF(ISERROR(VLOOKUP(T_Pasajes[[#This Row],[RUN]],T_Voluntarios[],11,FALSE)),"No Existe",VLOOKUP(T_Pasajes[[#This Row],[RUN]],T_Voluntarios[],11,FALSE))</f>
        <v>Pioneros</v>
      </c>
      <c r="F15" s="38">
        <v>0</v>
      </c>
      <c r="G15" s="38">
        <v>1500</v>
      </c>
      <c r="H15" s="38">
        <v>1500</v>
      </c>
      <c r="I15" s="38">
        <v>0</v>
      </c>
      <c r="J15" s="38">
        <v>0</v>
      </c>
      <c r="K15" s="38">
        <f>SUM(T_Pasajes[[#This Row],[VIERNES]:[BONO]])</f>
        <v>3000</v>
      </c>
      <c r="L15" s="77" t="s">
        <v>2</v>
      </c>
      <c r="M15" s="77" t="s">
        <v>2</v>
      </c>
      <c r="N15" s="1" t="str">
        <f>IF(ISERROR(VLOOKUP(T_Pasajes[[#This Row],[RUN]],T_Voluntarios[],35,FALSE)),"No Existe",VLOOKUP(T_Pasajes[[#This Row],[RUN]],T_Voluntarios[],35,FALSE))</f>
        <v>No</v>
      </c>
    </row>
    <row r="16" spans="1:14" x14ac:dyDescent="0.3">
      <c r="A16" s="2" t="s">
        <v>546</v>
      </c>
      <c r="B16" t="str">
        <f>IF(ISERROR(VLOOKUP(T_Pasajes[[#This Row],[RUN]],T_Voluntarios[],3,FALSE)),"No Existe",VLOOKUP(T_Pasajes[[#This Row],[RUN]],T_Voluntarios[],3,FALSE))</f>
        <v>Daniela Alejandra Bascur Sanhueza</v>
      </c>
      <c r="C16" t="str">
        <f>IF(ISERROR(VLOOKUP(T_Pasajes[[#This Row],[RUN]],T_Voluntarios[],2,FALSE)),"No Existe",VLOOKUP(T_Pasajes[[#This Row],[RUN]],T_Voluntarios[],2,FALSE))</f>
        <v>danibascursanhueza@gmail.com</v>
      </c>
      <c r="D16" t="str">
        <f>IF(ISERROR(VLOOKUP(T_Pasajes[[#This Row],[RUN]],T_Voluntarios[],6,FALSE)),"No Existe",VLOOKUP(T_Pasajes[[#This Row],[RUN]],T_Voluntarios[],6,FALSE))</f>
        <v>Los Ángeles</v>
      </c>
      <c r="E16" t="str">
        <f>IF(ISERROR(VLOOKUP(T_Pasajes[[#This Row],[RUN]],T_Voluntarios[],11,FALSE)),"No Existe",VLOOKUP(T_Pasajes[[#This Row],[RUN]],T_Voluntarios[],11,FALSE))</f>
        <v>Golondrinas</v>
      </c>
      <c r="F16" s="38">
        <v>9000</v>
      </c>
      <c r="G16" s="38"/>
      <c r="H16" s="38">
        <v>9000</v>
      </c>
      <c r="I16" s="38">
        <v>0</v>
      </c>
      <c r="J16" s="38">
        <v>0</v>
      </c>
      <c r="K16" s="38">
        <f>SUM(T_Pasajes[[#This Row],[VIERNES]:[BONO]])</f>
        <v>18000</v>
      </c>
      <c r="L16" s="77" t="s">
        <v>2</v>
      </c>
      <c r="M16" s="77" t="s">
        <v>2</v>
      </c>
      <c r="N16" s="1" t="str">
        <f>IF(ISERROR(VLOOKUP(T_Pasajes[[#This Row],[RUN]],T_Voluntarios[],35,FALSE)),"No Existe",VLOOKUP(T_Pasajes[[#This Row],[RUN]],T_Voluntarios[],35,FALSE))</f>
        <v>SI</v>
      </c>
    </row>
    <row r="17" spans="1:14" x14ac:dyDescent="0.3">
      <c r="A17" s="2" t="s">
        <v>535</v>
      </c>
      <c r="B17" t="str">
        <f>IF(ISERROR(VLOOKUP(T_Pasajes[[#This Row],[RUN]],T_Voluntarios[],3,FALSE)),"No Existe",VLOOKUP(T_Pasajes[[#This Row],[RUN]],T_Voluntarios[],3,FALSE))</f>
        <v>María José Sepúlveda Benedetti</v>
      </c>
      <c r="C17" t="str">
        <f>IF(ISERROR(VLOOKUP(T_Pasajes[[#This Row],[RUN]],T_Voluntarios[],2,FALSE)),"No Existe",VLOOKUP(T_Pasajes[[#This Row],[RUN]],T_Voluntarios[],2,FALSE))</f>
        <v>cobes.r10729@gmail.com</v>
      </c>
      <c r="D17" t="str">
        <f>IF(ISERROR(VLOOKUP(T_Pasajes[[#This Row],[RUN]],T_Voluntarios[],6,FALSE)),"No Existe",VLOOKUP(T_Pasajes[[#This Row],[RUN]],T_Voluntarios[],6,FALSE))</f>
        <v>Concepción</v>
      </c>
      <c r="E17" t="str">
        <f>IF(ISERROR(VLOOKUP(T_Pasajes[[#This Row],[RUN]],T_Voluntarios[],11,FALSE)),"No Existe",VLOOKUP(T_Pasajes[[#This Row],[RUN]],T_Voluntarios[],11,FALSE))</f>
        <v>Scouts</v>
      </c>
      <c r="F17" s="38">
        <v>1500</v>
      </c>
      <c r="G17" s="38">
        <v>1500</v>
      </c>
      <c r="H17" s="38">
        <v>1500</v>
      </c>
      <c r="I17" s="38">
        <v>0</v>
      </c>
      <c r="J17" s="38">
        <v>0</v>
      </c>
      <c r="K17" s="38">
        <f>SUM(T_Pasajes[[#This Row],[VIERNES]:[BONO]])</f>
        <v>4500</v>
      </c>
      <c r="L17" s="77" t="s">
        <v>2</v>
      </c>
      <c r="M17" s="77" t="s">
        <v>2</v>
      </c>
      <c r="N17" s="1" t="str">
        <f>IF(ISERROR(VLOOKUP(T_Pasajes[[#This Row],[RUN]],T_Voluntarios[],35,FALSE)),"No Existe",VLOOKUP(T_Pasajes[[#This Row],[RUN]],T_Voluntarios[],35,FALSE))</f>
        <v>No</v>
      </c>
    </row>
    <row r="18" spans="1:14" x14ac:dyDescent="0.3">
      <c r="A18" s="2" t="s">
        <v>1990</v>
      </c>
      <c r="B18" t="str">
        <f>IF(ISERROR(VLOOKUP(T_Pasajes[[#This Row],[RUN]],T_Voluntarios[],3,FALSE)),"No Existe",VLOOKUP(T_Pasajes[[#This Row],[RUN]],T_Voluntarios[],3,FALSE))</f>
        <v>Mónica Scarlett Aránguiz Venegas</v>
      </c>
      <c r="C18" t="str">
        <f>IF(ISERROR(VLOOKUP(T_Pasajes[[#This Row],[RUN]],T_Voluntarios[],2,FALSE)),"No Existe",VLOOKUP(T_Pasajes[[#This Row],[RUN]],T_Voluntarios[],2,FALSE))</f>
        <v>moni.aranguiz.v@gmail.com</v>
      </c>
      <c r="D18" t="str">
        <f>IF(ISERROR(VLOOKUP(T_Pasajes[[#This Row],[RUN]],T_Voluntarios[],6,FALSE)),"No Existe",VLOOKUP(T_Pasajes[[#This Row],[RUN]],T_Voluntarios[],6,FALSE))</f>
        <v>Chillán</v>
      </c>
      <c r="E18" t="str">
        <f>IF(ISERROR(VLOOKUP(T_Pasajes[[#This Row],[RUN]],T_Voluntarios[],11,FALSE)),"No Existe",VLOOKUP(T_Pasajes[[#This Row],[RUN]],T_Voluntarios[],11,FALSE))</f>
        <v>Guias</v>
      </c>
      <c r="F18" s="38">
        <v>7000</v>
      </c>
      <c r="G18" s="38"/>
      <c r="H18" s="38">
        <v>7000</v>
      </c>
      <c r="I18" s="38">
        <v>0</v>
      </c>
      <c r="J18" s="38">
        <v>0</v>
      </c>
      <c r="K18" s="38">
        <f>SUM(T_Pasajes[[#This Row],[VIERNES]:[BONO]])</f>
        <v>14000</v>
      </c>
      <c r="L18" s="77" t="s">
        <v>2</v>
      </c>
      <c r="M18" s="77" t="s">
        <v>2</v>
      </c>
      <c r="N18" s="1" t="str">
        <f>IF(ISERROR(VLOOKUP(T_Pasajes[[#This Row],[RUN]],T_Voluntarios[],35,FALSE)),"No Existe",VLOOKUP(T_Pasajes[[#This Row],[RUN]],T_Voluntarios[],35,FALSE))</f>
        <v>SI</v>
      </c>
    </row>
    <row r="19" spans="1:14" x14ac:dyDescent="0.3">
      <c r="A19" s="2" t="s">
        <v>147</v>
      </c>
      <c r="B19" t="str">
        <f>IF(ISERROR(VLOOKUP(T_Pasajes[[#This Row],[RUN]],T_Voluntarios[],3,FALSE)),"No Existe",VLOOKUP(T_Pasajes[[#This Row],[RUN]],T_Voluntarios[],3,FALSE))</f>
        <v>Sebastián Esteban Rojas Canales</v>
      </c>
      <c r="C19" t="str">
        <f>IF(ISERROR(VLOOKUP(T_Pasajes[[#This Row],[RUN]],T_Voluntarios[],2,FALSE)),"No Existe",VLOOKUP(T_Pasajes[[#This Row],[RUN]],T_Voluntarios[],2,FALSE))</f>
        <v>srojas.lla@gmail.com</v>
      </c>
      <c r="D19" t="str">
        <f>IF(ISERROR(VLOOKUP(T_Pasajes[[#This Row],[RUN]],T_Voluntarios[],6,FALSE)),"No Existe",VLOOKUP(T_Pasajes[[#This Row],[RUN]],T_Voluntarios[],6,FALSE))</f>
        <v>Hualpén</v>
      </c>
      <c r="E19" t="str">
        <f>IF(ISERROR(VLOOKUP(T_Pasajes[[#This Row],[RUN]],T_Voluntarios[],11,FALSE)),"No Existe",VLOOKUP(T_Pasajes[[#This Row],[RUN]],T_Voluntarios[],11,FALSE))</f>
        <v>Caminantes</v>
      </c>
      <c r="F19" s="38">
        <v>1500</v>
      </c>
      <c r="G19" s="38"/>
      <c r="H19" s="38">
        <v>1500</v>
      </c>
      <c r="I19" s="38">
        <v>0</v>
      </c>
      <c r="J19" s="38">
        <v>0</v>
      </c>
      <c r="K19" s="38">
        <f>SUM(T_Pasajes[[#This Row],[VIERNES]:[BONO]])</f>
        <v>3000</v>
      </c>
      <c r="L19" s="77" t="s">
        <v>2</v>
      </c>
      <c r="M19" s="77" t="s">
        <v>2</v>
      </c>
      <c r="N19" s="1" t="str">
        <f>IF(ISERROR(VLOOKUP(T_Pasajes[[#This Row],[RUN]],T_Voluntarios[],35,FALSE)),"No Existe",VLOOKUP(T_Pasajes[[#This Row],[RUN]],T_Voluntarios[],35,FALSE))</f>
        <v>SI</v>
      </c>
    </row>
    <row r="20" spans="1:14" x14ac:dyDescent="0.3">
      <c r="A20" s="2" t="s">
        <v>525</v>
      </c>
      <c r="B20" t="str">
        <f>IF(ISERROR(VLOOKUP(T_Pasajes[[#This Row],[RUN]],T_Voluntarios[],3,FALSE)),"No Existe",VLOOKUP(T_Pasajes[[#This Row],[RUN]],T_Voluntarios[],3,FALSE))</f>
        <v>Alexis Hernán Auad Díaz</v>
      </c>
      <c r="C20" t="str">
        <f>IF(ISERROR(VLOOKUP(T_Pasajes[[#This Row],[RUN]],T_Voluntarios[],2,FALSE)),"No Existe",VLOOKUP(T_Pasajes[[#This Row],[RUN]],T_Voluntarios[],2,FALSE))</f>
        <v>alexis.auad@gmail.com</v>
      </c>
      <c r="D20" t="str">
        <f>IF(ISERROR(VLOOKUP(T_Pasajes[[#This Row],[RUN]],T_Voluntarios[],6,FALSE)),"No Existe",VLOOKUP(T_Pasajes[[#This Row],[RUN]],T_Voluntarios[],6,FALSE))</f>
        <v>Los Ángeles</v>
      </c>
      <c r="E20" t="str">
        <f>IF(ISERROR(VLOOKUP(T_Pasajes[[#This Row],[RUN]],T_Voluntarios[],11,FALSE)),"No Existe",VLOOKUP(T_Pasajes[[#This Row],[RUN]],T_Voluntarios[],11,FALSE))</f>
        <v>Caminantes</v>
      </c>
      <c r="F20" s="38">
        <v>9000</v>
      </c>
      <c r="G20" s="38"/>
      <c r="H20" s="38">
        <v>9000</v>
      </c>
      <c r="I20" s="38">
        <v>0</v>
      </c>
      <c r="J20" s="38">
        <v>0</v>
      </c>
      <c r="K20" s="38">
        <f>SUM(T_Pasajes[[#This Row],[VIERNES]:[BONO]])</f>
        <v>18000</v>
      </c>
      <c r="L20" s="77" t="s">
        <v>2</v>
      </c>
      <c r="M20" s="77" t="s">
        <v>2</v>
      </c>
      <c r="N20" s="1" t="str">
        <f>IF(ISERROR(VLOOKUP(T_Pasajes[[#This Row],[RUN]],T_Voluntarios[],35,FALSE)),"No Existe",VLOOKUP(T_Pasajes[[#This Row],[RUN]],T_Voluntarios[],35,FALSE))</f>
        <v>SI</v>
      </c>
    </row>
    <row r="21" spans="1:14" x14ac:dyDescent="0.3">
      <c r="A21" s="2" t="s">
        <v>228</v>
      </c>
      <c r="B21" t="str">
        <f>IF(ISERROR(VLOOKUP(T_Pasajes[[#This Row],[RUN]],T_Voluntarios[],3,FALSE)),"No Existe",VLOOKUP(T_Pasajes[[#This Row],[RUN]],T_Voluntarios[],3,FALSE))</f>
        <v>Silvia Karina Carrasco Avilés</v>
      </c>
      <c r="C21" t="str">
        <f>IF(ISERROR(VLOOKUP(T_Pasajes[[#This Row],[RUN]],T_Voluntarios[],2,FALSE)),"No Existe",VLOOKUP(T_Pasajes[[#This Row],[RUN]],T_Voluntarios[],2,FALSE))</f>
        <v>scarrasco@guiasyscoutschile.cl</v>
      </c>
      <c r="D21" t="str">
        <f>IF(ISERROR(VLOOKUP(T_Pasajes[[#This Row],[RUN]],T_Voluntarios[],6,FALSE)),"No Existe",VLOOKUP(T_Pasajes[[#This Row],[RUN]],T_Voluntarios[],6,FALSE))</f>
        <v>Chillán Viejo</v>
      </c>
      <c r="E21" t="str">
        <f>IF(ISERROR(VLOOKUP(T_Pasajes[[#This Row],[RUN]],T_Voluntarios[],11,FALSE)),"No Existe",VLOOKUP(T_Pasajes[[#This Row],[RUN]],T_Voluntarios[],11,FALSE))</f>
        <v>Guias</v>
      </c>
      <c r="F21" s="38">
        <v>5000</v>
      </c>
      <c r="G21" s="38"/>
      <c r="H21" s="38">
        <v>5000</v>
      </c>
      <c r="I21" s="38">
        <v>0</v>
      </c>
      <c r="J21" s="38">
        <v>0</v>
      </c>
      <c r="K21" s="38">
        <f>SUM(T_Pasajes[[#This Row],[VIERNES]:[BONO]])</f>
        <v>10000</v>
      </c>
      <c r="L21" s="77" t="s">
        <v>1</v>
      </c>
      <c r="M21" s="77" t="s">
        <v>2</v>
      </c>
      <c r="N21" s="1" t="str">
        <f>IF(ISERROR(VLOOKUP(T_Pasajes[[#This Row],[RUN]],T_Voluntarios[],35,FALSE)),"No Existe",VLOOKUP(T_Pasajes[[#This Row],[RUN]],T_Voluntarios[],35,FALSE))</f>
        <v>SI</v>
      </c>
    </row>
    <row r="22" spans="1:14" x14ac:dyDescent="0.3">
      <c r="A22" s="2" t="s">
        <v>2152</v>
      </c>
      <c r="B22" t="str">
        <f>IF(ISERROR(VLOOKUP(T_Pasajes[[#This Row],[RUN]],T_Voluntarios[],3,FALSE)),"No Existe",VLOOKUP(T_Pasajes[[#This Row],[RUN]],T_Voluntarios[],3,FALSE))</f>
        <v>Rodrigo Felipe Pedreros Reyes</v>
      </c>
      <c r="C22" t="str">
        <f>IF(ISERROR(VLOOKUP(T_Pasajes[[#This Row],[RUN]],T_Voluntarios[],2,FALSE)),"No Existe",VLOOKUP(T_Pasajes[[#This Row],[RUN]],T_Voluntarios[],2,FALSE))</f>
        <v>pedrerosszk@gmail.com</v>
      </c>
      <c r="D22" t="str">
        <f>IF(ISERROR(VLOOKUP(T_Pasajes[[#This Row],[RUN]],T_Voluntarios[],6,FALSE)),"No Existe",VLOOKUP(T_Pasajes[[#This Row],[RUN]],T_Voluntarios[],6,FALSE))</f>
        <v>Chillán</v>
      </c>
      <c r="E22" t="str">
        <f>IF(ISERROR(VLOOKUP(T_Pasajes[[#This Row],[RUN]],T_Voluntarios[],11,FALSE)),"No Existe",VLOOKUP(T_Pasajes[[#This Row],[RUN]],T_Voluntarios[],11,FALSE))</f>
        <v>Guias</v>
      </c>
      <c r="F22" s="38">
        <v>5000</v>
      </c>
      <c r="G22" s="38"/>
      <c r="H22" s="38">
        <v>5000</v>
      </c>
      <c r="I22" s="38">
        <v>0</v>
      </c>
      <c r="J22" s="38">
        <v>0</v>
      </c>
      <c r="K22" s="38">
        <f>SUM(T_Pasajes[[#This Row],[VIERNES]:[BONO]])</f>
        <v>10000</v>
      </c>
      <c r="L22" s="77" t="s">
        <v>1</v>
      </c>
      <c r="M22" s="77" t="s">
        <v>2</v>
      </c>
      <c r="N22" s="1" t="str">
        <f>IF(ISERROR(VLOOKUP(T_Pasajes[[#This Row],[RUN]],T_Voluntarios[],35,FALSE)),"No Existe",VLOOKUP(T_Pasajes[[#This Row],[RUN]],T_Voluntarios[],35,FALSE))</f>
        <v>SI</v>
      </c>
    </row>
    <row r="23" spans="1:14" x14ac:dyDescent="0.3">
      <c r="A23" s="2" t="s">
        <v>559</v>
      </c>
      <c r="B23" t="str">
        <f>IF(ISERROR(VLOOKUP(T_Pasajes[[#This Row],[RUN]],T_Voluntarios[],3,FALSE)),"No Existe",VLOOKUP(T_Pasajes[[#This Row],[RUN]],T_Voluntarios[],3,FALSE))</f>
        <v>Danitza Monserrat Valencia Pedreros</v>
      </c>
      <c r="C23" t="str">
        <f>IF(ISERROR(VLOOKUP(T_Pasajes[[#This Row],[RUN]],T_Voluntarios[],2,FALSE)),"No Existe",VLOOKUP(T_Pasajes[[#This Row],[RUN]],T_Voluntarios[],2,FALSE))</f>
        <v>danitza.valencia.p@gmail.com</v>
      </c>
      <c r="D23" t="str">
        <f>IF(ISERROR(VLOOKUP(T_Pasajes[[#This Row],[RUN]],T_Voluntarios[],6,FALSE)),"No Existe",VLOOKUP(T_Pasajes[[#This Row],[RUN]],T_Voluntarios[],6,FALSE))</f>
        <v>Penco</v>
      </c>
      <c r="E23" t="str">
        <f>IF(ISERROR(VLOOKUP(T_Pasajes[[#This Row],[RUN]],T_Voluntarios[],11,FALSE)),"No Existe",VLOOKUP(T_Pasajes[[#This Row],[RUN]],T_Voluntarios[],11,FALSE))</f>
        <v>Guias</v>
      </c>
      <c r="F23" s="38">
        <v>1500</v>
      </c>
      <c r="G23" s="38"/>
      <c r="H23" s="38">
        <v>1500</v>
      </c>
      <c r="I23" s="38">
        <v>0</v>
      </c>
      <c r="J23" s="38">
        <v>0</v>
      </c>
      <c r="K23" s="38">
        <f>SUM(T_Pasajes[[#This Row],[VIERNES]:[BONO]])</f>
        <v>3000</v>
      </c>
      <c r="L23" s="77" t="s">
        <v>2</v>
      </c>
      <c r="M23" s="77" t="s">
        <v>2</v>
      </c>
      <c r="N23" s="1" t="str">
        <f>IF(ISERROR(VLOOKUP(T_Pasajes[[#This Row],[RUN]],T_Voluntarios[],35,FALSE)),"No Existe",VLOOKUP(T_Pasajes[[#This Row],[RUN]],T_Voluntarios[],35,FALSE))</f>
        <v>SI</v>
      </c>
    </row>
    <row r="24" spans="1:14" x14ac:dyDescent="0.3">
      <c r="A24" s="2" t="s">
        <v>217</v>
      </c>
      <c r="B24" t="str">
        <f>IF(ISERROR(VLOOKUP(T_Pasajes[[#This Row],[RUN]],T_Voluntarios[],3,FALSE)),"No Existe",VLOOKUP(T_Pasajes[[#This Row],[RUN]],T_Voluntarios[],3,FALSE))</f>
        <v>Javiera Constanza Sánchez Vega</v>
      </c>
      <c r="C24" t="str">
        <f>IF(ISERROR(VLOOKUP(T_Pasajes[[#This Row],[RUN]],T_Voluntarios[],2,FALSE)),"No Existe",VLOOKUP(T_Pasajes[[#This Row],[RUN]],T_Voluntarios[],2,FALSE))</f>
        <v>javieracsv21@gmail.com</v>
      </c>
      <c r="D24" t="str">
        <f>IF(ISERROR(VLOOKUP(T_Pasajes[[#This Row],[RUN]],T_Voluntarios[],6,FALSE)),"No Existe",VLOOKUP(T_Pasajes[[#This Row],[RUN]],T_Voluntarios[],6,FALSE))</f>
        <v>Concepción</v>
      </c>
      <c r="E24" t="str">
        <f>IF(ISERROR(VLOOKUP(T_Pasajes[[#This Row],[RUN]],T_Voluntarios[],11,FALSE)),"No Existe",VLOOKUP(T_Pasajes[[#This Row],[RUN]],T_Voluntarios[],11,FALSE))</f>
        <v>Lobatos</v>
      </c>
      <c r="F24" s="38">
        <v>1500</v>
      </c>
      <c r="G24" s="38">
        <v>1500</v>
      </c>
      <c r="H24" s="38">
        <v>1500</v>
      </c>
      <c r="I24" s="38">
        <v>0</v>
      </c>
      <c r="J24" s="38">
        <v>0</v>
      </c>
      <c r="K24" s="38">
        <f>SUM(T_Pasajes[[#This Row],[VIERNES]:[BONO]])</f>
        <v>4500</v>
      </c>
      <c r="L24" s="77" t="s">
        <v>2</v>
      </c>
      <c r="M24" s="77" t="s">
        <v>2</v>
      </c>
      <c r="N24" s="1" t="str">
        <f>IF(ISERROR(VLOOKUP(T_Pasajes[[#This Row],[RUN]],T_Voluntarios[],35,FALSE)),"No Existe",VLOOKUP(T_Pasajes[[#This Row],[RUN]],T_Voluntarios[],35,FALSE))</f>
        <v>No</v>
      </c>
    </row>
    <row r="25" spans="1:14" x14ac:dyDescent="0.3">
      <c r="A25" s="2" t="s">
        <v>2671</v>
      </c>
      <c r="B25" t="str">
        <f>IF(ISERROR(VLOOKUP(T_Pasajes[[#This Row],[RUN]],T_Voluntarios[],3,FALSE)),"No Existe",VLOOKUP(T_Pasajes[[#This Row],[RUN]],T_Voluntarios[],3,FALSE))</f>
        <v>Felipe Andrés Lehuey Cuevas</v>
      </c>
      <c r="C25" t="str">
        <f>IF(ISERROR(VLOOKUP(T_Pasajes[[#This Row],[RUN]],T_Voluntarios[],2,FALSE)),"No Existe",VLOOKUP(T_Pasajes[[#This Row],[RUN]],T_Voluntarios[],2,FALSE))</f>
        <v>f.lehuey97@gmail.com</v>
      </c>
      <c r="D25" t="str">
        <f>IF(ISERROR(VLOOKUP(T_Pasajes[[#This Row],[RUN]],T_Voluntarios[],6,FALSE)),"No Existe",VLOOKUP(T_Pasajes[[#This Row],[RUN]],T_Voluntarios[],6,FALSE))</f>
        <v>Temuco</v>
      </c>
      <c r="E25" t="str">
        <f>IF(ISERROR(VLOOKUP(T_Pasajes[[#This Row],[RUN]],T_Voluntarios[],11,FALSE)),"No Existe",VLOOKUP(T_Pasajes[[#This Row],[RUN]],T_Voluntarios[],11,FALSE))</f>
        <v>Lobatos</v>
      </c>
      <c r="F25" s="38">
        <v>14000</v>
      </c>
      <c r="G25" s="38"/>
      <c r="H25" s="38">
        <v>14000</v>
      </c>
      <c r="I25" s="38">
        <v>0</v>
      </c>
      <c r="J25" s="38">
        <v>0</v>
      </c>
      <c r="K25" s="38">
        <f>SUM(T_Pasajes[[#This Row],[VIERNES]:[BONO]])</f>
        <v>28000</v>
      </c>
      <c r="L25" s="77" t="s">
        <v>2</v>
      </c>
      <c r="M25" s="77" t="s">
        <v>2</v>
      </c>
      <c r="N25" s="1" t="str">
        <f>IF(ISERROR(VLOOKUP(T_Pasajes[[#This Row],[RUN]],T_Voluntarios[],35,FALSE)),"No Existe",VLOOKUP(T_Pasajes[[#This Row],[RUN]],T_Voluntarios[],35,FALSE))</f>
        <v>SI</v>
      </c>
    </row>
    <row r="26" spans="1:14" x14ac:dyDescent="0.3">
      <c r="A26" s="2" t="s">
        <v>544</v>
      </c>
      <c r="B26" t="str">
        <f>IF(ISERROR(VLOOKUP(T_Pasajes[[#This Row],[RUN]],T_Voluntarios[],3,FALSE)),"No Existe",VLOOKUP(T_Pasajes[[#This Row],[RUN]],T_Voluntarios[],3,FALSE))</f>
        <v>Barbara Jullieth Meza Benavides</v>
      </c>
      <c r="C26" t="str">
        <f>IF(ISERROR(VLOOKUP(T_Pasajes[[#This Row],[RUN]],T_Voluntarios[],2,FALSE)),"No Existe",VLOOKUP(T_Pasajes[[#This Row],[RUN]],T_Voluntarios[],2,FALSE))</f>
        <v>b.jullieth.meza@gmail.com</v>
      </c>
      <c r="D26" t="str">
        <f>IF(ISERROR(VLOOKUP(T_Pasajes[[#This Row],[RUN]],T_Voluntarios[],6,FALSE)),"No Existe",VLOOKUP(T_Pasajes[[#This Row],[RUN]],T_Voluntarios[],6,FALSE))</f>
        <v>Talcahuano</v>
      </c>
      <c r="E26" t="str">
        <f>IF(ISERROR(VLOOKUP(T_Pasajes[[#This Row],[RUN]],T_Voluntarios[],11,FALSE)),"No Existe",VLOOKUP(T_Pasajes[[#This Row],[RUN]],T_Voluntarios[],11,FALSE))</f>
        <v>Guias</v>
      </c>
      <c r="F26" s="38">
        <v>1500</v>
      </c>
      <c r="G26" s="38"/>
      <c r="H26" s="38">
        <v>1500</v>
      </c>
      <c r="I26" s="38">
        <v>0</v>
      </c>
      <c r="J26" s="38">
        <v>0</v>
      </c>
      <c r="K26" s="38">
        <f>SUM(T_Pasajes[[#This Row],[VIERNES]:[BONO]])</f>
        <v>3000</v>
      </c>
      <c r="L26" s="77" t="s">
        <v>2</v>
      </c>
      <c r="M26" s="77" t="s">
        <v>2</v>
      </c>
      <c r="N26" s="1" t="str">
        <f>IF(ISERROR(VLOOKUP(T_Pasajes[[#This Row],[RUN]],T_Voluntarios[],35,FALSE)),"No Existe",VLOOKUP(T_Pasajes[[#This Row],[RUN]],T_Voluntarios[],35,FALSE))</f>
        <v>SI</v>
      </c>
    </row>
    <row r="27" spans="1:14" x14ac:dyDescent="0.3">
      <c r="A27" s="2" t="s">
        <v>2691</v>
      </c>
      <c r="B27" t="str">
        <f>IF(ISERROR(VLOOKUP(T_Pasajes[[#This Row],[RUN]],T_Voluntarios[],3,FALSE)),"No Existe",VLOOKUP(T_Pasajes[[#This Row],[RUN]],T_Voluntarios[],3,FALSE))</f>
        <v>Fernando Antonio Fuentes Riveros</v>
      </c>
      <c r="C27" t="str">
        <f>IF(ISERROR(VLOOKUP(T_Pasajes[[#This Row],[RUN]],T_Voluntarios[],2,FALSE)),"No Existe",VLOOKUP(T_Pasajes[[#This Row],[RUN]],T_Voluntarios[],2,FALSE))</f>
        <v>ffuentes@guiasyscoutschile.cl</v>
      </c>
      <c r="D27" t="str">
        <f>IF(ISERROR(VLOOKUP(T_Pasajes[[#This Row],[RUN]],T_Voluntarios[],6,FALSE)),"No Existe",VLOOKUP(T_Pasajes[[#This Row],[RUN]],T_Voluntarios[],6,FALSE))</f>
        <v>Valdivia</v>
      </c>
      <c r="E27" t="str">
        <f>IF(ISERROR(VLOOKUP(T_Pasajes[[#This Row],[RUN]],T_Voluntarios[],11,FALSE)),"No Existe",VLOOKUP(T_Pasajes[[#This Row],[RUN]],T_Voluntarios[],11,FALSE))</f>
        <v>Caminantes</v>
      </c>
      <c r="F27" s="38">
        <v>15000</v>
      </c>
      <c r="G27" s="38"/>
      <c r="H27" s="38">
        <v>15000</v>
      </c>
      <c r="I27" s="38">
        <v>0</v>
      </c>
      <c r="J27" s="38">
        <v>0</v>
      </c>
      <c r="K27" s="38">
        <f>SUM(T_Pasajes[[#This Row],[VIERNES]:[BONO]])</f>
        <v>30000</v>
      </c>
      <c r="L27" s="77" t="s">
        <v>2</v>
      </c>
      <c r="M27" s="77" t="s">
        <v>2</v>
      </c>
      <c r="N27" s="1" t="str">
        <f>IF(ISERROR(VLOOKUP(T_Pasajes[[#This Row],[RUN]],T_Voluntarios[],35,FALSE)),"No Existe",VLOOKUP(T_Pasajes[[#This Row],[RUN]],T_Voluntarios[],35,FALSE))</f>
        <v>SI</v>
      </c>
    </row>
    <row r="28" spans="1:14" x14ac:dyDescent="0.3">
      <c r="A28" s="2" t="s">
        <v>2845</v>
      </c>
      <c r="B28" t="str">
        <f>IF(ISERROR(VLOOKUP(T_Pasajes[[#This Row],[RUN]],T_Voluntarios[],3,FALSE)),"No Existe",VLOOKUP(T_Pasajes[[#This Row],[RUN]],T_Voluntarios[],3,FALSE))</f>
        <v>Miguel Angel Villanueva Cuevas</v>
      </c>
      <c r="C28" t="str">
        <f>IF(ISERROR(VLOOKUP(T_Pasajes[[#This Row],[RUN]],T_Voluntarios[],2,FALSE)),"No Existe",VLOOKUP(T_Pasajes[[#This Row],[RUN]],T_Voluntarios[],2,FALSE))</f>
        <v>mavillanueva@guiasyscoutschile.cl</v>
      </c>
      <c r="D28" t="str">
        <f>IF(ISERROR(VLOOKUP(T_Pasajes[[#This Row],[RUN]],T_Voluntarios[],6,FALSE)),"No Existe",VLOOKUP(T_Pasajes[[#This Row],[RUN]],T_Voluntarios[],6,FALSE))</f>
        <v>San Pedro De La Paz</v>
      </c>
      <c r="E28" t="str">
        <f>IF(ISERROR(VLOOKUP(T_Pasajes[[#This Row],[RUN]],T_Voluntarios[],11,FALSE)),"No Existe",VLOOKUP(T_Pasajes[[#This Row],[RUN]],T_Voluntarios[],11,FALSE))</f>
        <v>Caminantes</v>
      </c>
      <c r="F28" s="38">
        <v>1500</v>
      </c>
      <c r="G28" s="38">
        <v>1500</v>
      </c>
      <c r="H28" s="38">
        <v>1500</v>
      </c>
      <c r="I28" s="38"/>
      <c r="J28" s="38"/>
      <c r="K28" s="38">
        <f>SUM(T_Pasajes[[#This Row],[VIERNES]:[BONO]])</f>
        <v>4500</v>
      </c>
      <c r="L28" s="77" t="s">
        <v>2</v>
      </c>
      <c r="M28" s="77" t="s">
        <v>2</v>
      </c>
      <c r="N28" s="1" t="str">
        <f>IF(ISERROR(VLOOKUP(T_Pasajes[[#This Row],[RUN]],T_Voluntarios[],35,FALSE)),"No Existe",VLOOKUP(T_Pasajes[[#This Row],[RUN]],T_Voluntarios[],35,FALSE))</f>
        <v>No</v>
      </c>
    </row>
    <row r="29" spans="1:14" x14ac:dyDescent="0.3">
      <c r="A29" s="2" t="s">
        <v>2893</v>
      </c>
      <c r="B29" t="str">
        <f>IF(ISERROR(VLOOKUP(T_Pasajes[[#This Row],[RUN]],T_Voluntarios[],3,FALSE)),"No Existe",VLOOKUP(T_Pasajes[[#This Row],[RUN]],T_Voluntarios[],3,FALSE))</f>
        <v>Krishna Alexandra Mella Escobar</v>
      </c>
      <c r="C29" t="str">
        <f>IF(ISERROR(VLOOKUP(T_Pasajes[[#This Row],[RUN]],T_Voluntarios[],2,FALSE)),"No Existe",VLOOKUP(T_Pasajes[[#This Row],[RUN]],T_Voluntarios[],2,FALSE))</f>
        <v>k.mellaescobar@gmail.com</v>
      </c>
      <c r="D29" t="str">
        <f>IF(ISERROR(VLOOKUP(T_Pasajes[[#This Row],[RUN]],T_Voluntarios[],6,FALSE)),"No Existe",VLOOKUP(T_Pasajes[[#This Row],[RUN]],T_Voluntarios[],6,FALSE))</f>
        <v>Talcahuano</v>
      </c>
      <c r="E29" t="str">
        <f>IF(ISERROR(VLOOKUP(T_Pasajes[[#This Row],[RUN]],T_Voluntarios[],11,FALSE)),"No Existe",VLOOKUP(T_Pasajes[[#This Row],[RUN]],T_Voluntarios[],11,FALSE))</f>
        <v>Pioneros</v>
      </c>
      <c r="F29" s="38">
        <v>1500</v>
      </c>
      <c r="G29" s="38">
        <v>1500</v>
      </c>
      <c r="H29" s="38">
        <v>1500</v>
      </c>
      <c r="I29" s="38"/>
      <c r="J29" s="38"/>
      <c r="K29" s="38">
        <f>SUM(T_Pasajes[[#This Row],[VIERNES]:[BONO]])</f>
        <v>4500</v>
      </c>
      <c r="L29" s="77" t="s">
        <v>2</v>
      </c>
      <c r="M29" s="77" t="s">
        <v>2</v>
      </c>
      <c r="N29" s="1" t="str">
        <f>IF(ISERROR(VLOOKUP(T_Pasajes[[#This Row],[RUN]],T_Voluntarios[],35,FALSE)),"No Existe",VLOOKUP(T_Pasajes[[#This Row],[RUN]],T_Voluntarios[],35,FALSE))</f>
        <v>No</v>
      </c>
    </row>
    <row r="30" spans="1:14" x14ac:dyDescent="0.3">
      <c r="A30" s="2" t="s">
        <v>174</v>
      </c>
      <c r="B30" t="str">
        <f>IF(ISERROR(VLOOKUP(T_Pasajes[[#This Row],[RUN]],T_Voluntarios[],3,FALSE)),"No Existe",VLOOKUP(T_Pasajes[[#This Row],[RUN]],T_Voluntarios[],3,FALSE))</f>
        <v>Pamela Inostroza Ulloa</v>
      </c>
      <c r="C30" t="str">
        <f>IF(ISERROR(VLOOKUP(T_Pasajes[[#This Row],[RUN]],T_Voluntarios[],2,FALSE)),"No Existe",VLOOKUP(T_Pasajes[[#This Row],[RUN]],T_Voluntarios[],2,FALSE))</f>
        <v>painostroza@gmail.com</v>
      </c>
      <c r="D30" t="str">
        <f>IF(ISERROR(VLOOKUP(T_Pasajes[[#This Row],[RUN]],T_Voluntarios[],6,FALSE)),"No Existe",VLOOKUP(T_Pasajes[[#This Row],[RUN]],T_Voluntarios[],6,FALSE))</f>
        <v>Talcahuano</v>
      </c>
      <c r="E30" t="str">
        <f>IF(ISERROR(VLOOKUP(T_Pasajes[[#This Row],[RUN]],T_Voluntarios[],11,FALSE)),"No Existe",VLOOKUP(T_Pasajes[[#This Row],[RUN]],T_Voluntarios[],11,FALSE))</f>
        <v>Golondrinas</v>
      </c>
      <c r="F30" s="38">
        <v>1500</v>
      </c>
      <c r="G30" s="38">
        <v>1500</v>
      </c>
      <c r="H30" s="38">
        <v>1500</v>
      </c>
      <c r="I30" s="38"/>
      <c r="J30" s="38"/>
      <c r="K30" s="38">
        <f>SUM(T_Pasajes[[#This Row],[VIERNES]:[BONO]])</f>
        <v>4500</v>
      </c>
      <c r="L30" s="77" t="s">
        <v>2</v>
      </c>
      <c r="M30" s="77" t="s">
        <v>2</v>
      </c>
      <c r="N30" s="1" t="str">
        <f>IF(ISERROR(VLOOKUP(T_Pasajes[[#This Row],[RUN]],T_Voluntarios[],35,FALSE)),"No Existe",VLOOKUP(T_Pasajes[[#This Row],[RUN]],T_Voluntarios[],35,FALSE))</f>
        <v>No</v>
      </c>
    </row>
    <row r="31" spans="1:14" x14ac:dyDescent="0.3">
      <c r="A31" s="2" t="s">
        <v>2910</v>
      </c>
      <c r="B31" t="str">
        <f>IF(ISERROR(VLOOKUP(T_Pasajes[[#This Row],[RUN]],T_Voluntarios[],3,FALSE)),"No Existe",VLOOKUP(T_Pasajes[[#This Row],[RUN]],T_Voluntarios[],3,FALSE))</f>
        <v>Fabiola Letelier Álvarez</v>
      </c>
      <c r="C31" t="str">
        <f>IF(ISERROR(VLOOKUP(T_Pasajes[[#This Row],[RUN]],T_Voluntarios[],2,FALSE)),"No Existe",VLOOKUP(T_Pasajes[[#This Row],[RUN]],T_Voluntarios[],2,FALSE))</f>
        <v>fletelier@guiasyscoutschile.cl</v>
      </c>
      <c r="D31" t="str">
        <f>IF(ISERROR(VLOOKUP(T_Pasajes[[#This Row],[RUN]],T_Voluntarios[],6,FALSE)),"No Existe",VLOOKUP(T_Pasajes[[#This Row],[RUN]],T_Voluntarios[],6,FALSE))</f>
        <v>Valdivia</v>
      </c>
      <c r="E31" t="str">
        <f>IF(ISERROR(VLOOKUP(T_Pasajes[[#This Row],[RUN]],T_Voluntarios[],11,FALSE)),"No Existe",VLOOKUP(T_Pasajes[[#This Row],[RUN]],T_Voluntarios[],11,FALSE))</f>
        <v>Caminantes</v>
      </c>
      <c r="F31" s="38">
        <v>15000</v>
      </c>
      <c r="G31" s="38"/>
      <c r="H31" s="38">
        <v>15000</v>
      </c>
      <c r="I31" s="38"/>
      <c r="J31" s="38"/>
      <c r="K31" s="38">
        <f>SUM(T_Pasajes[[#This Row],[VIERNES]:[BONO]])</f>
        <v>30000</v>
      </c>
      <c r="L31" s="77" t="s">
        <v>2</v>
      </c>
      <c r="M31" s="77" t="s">
        <v>2</v>
      </c>
      <c r="N31" s="1" t="str">
        <f>IF(ISERROR(VLOOKUP(T_Pasajes[[#This Row],[RUN]],T_Voluntarios[],35,FALSE)),"No Existe",VLOOKUP(T_Pasajes[[#This Row],[RUN]],T_Voluntarios[],35,FALSE))</f>
        <v>SI</v>
      </c>
    </row>
    <row r="32" spans="1:14" x14ac:dyDescent="0.3">
      <c r="A32" s="2" t="s">
        <v>2955</v>
      </c>
      <c r="B32" t="str">
        <f>IF(ISERROR(VLOOKUP(T_Pasajes[[#This Row],[RUN]],T_Voluntarios[],3,FALSE)),"No Existe",VLOOKUP(T_Pasajes[[#This Row],[RUN]],T_Voluntarios[],3,FALSE))</f>
        <v>Mayra Amigo Cortez</v>
      </c>
      <c r="C32" t="str">
        <f>IF(ISERROR(VLOOKUP(T_Pasajes[[#This Row],[RUN]],T_Voluntarios[],2,FALSE)),"No Existe",VLOOKUP(T_Pasajes[[#This Row],[RUN]],T_Voluntarios[],2,FALSE))</f>
        <v>mayra.amigo@gmail.com</v>
      </c>
      <c r="D32" t="str">
        <f>IF(ISERROR(VLOOKUP(T_Pasajes[[#This Row],[RUN]],T_Voluntarios[],6,FALSE)),"No Existe",VLOOKUP(T_Pasajes[[#This Row],[RUN]],T_Voluntarios[],6,FALSE))</f>
        <v>El Carmen</v>
      </c>
      <c r="E32" t="str">
        <f>IF(ISERROR(VLOOKUP(T_Pasajes[[#This Row],[RUN]],T_Voluntarios[],11,FALSE)),"No Existe",VLOOKUP(T_Pasajes[[#This Row],[RUN]],T_Voluntarios[],11,FALSE))</f>
        <v>Guias</v>
      </c>
      <c r="F32" s="38">
        <v>1500</v>
      </c>
      <c r="G32" s="38"/>
      <c r="H32" s="38">
        <v>1500</v>
      </c>
      <c r="I32" s="38"/>
      <c r="J32" s="38"/>
      <c r="K32" s="38">
        <f>SUM(T_Pasajes[[#This Row],[VIERNES]:[BONO]])</f>
        <v>3000</v>
      </c>
      <c r="L32" s="77" t="s">
        <v>2</v>
      </c>
      <c r="M32" s="77" t="s">
        <v>2</v>
      </c>
      <c r="N32" s="1" t="str">
        <f>IF(ISERROR(VLOOKUP(T_Pasajes[[#This Row],[RUN]],T_Voluntarios[],35,FALSE)),"No Existe",VLOOKUP(T_Pasajes[[#This Row],[RUN]],T_Voluntarios[],35,FALSE))</f>
        <v>SI</v>
      </c>
    </row>
    <row r="33" spans="1:14" x14ac:dyDescent="0.3">
      <c r="A33" s="2" t="s">
        <v>2945</v>
      </c>
      <c r="B33" t="str">
        <f>IF(ISERROR(VLOOKUP(T_Pasajes[[#This Row],[RUN]],T_Voluntarios[],3,FALSE)),"No Existe",VLOOKUP(T_Pasajes[[#This Row],[RUN]],T_Voluntarios[],3,FALSE))</f>
        <v>Belén Antonella Pino Vives</v>
      </c>
      <c r="C33" t="str">
        <f>IF(ISERROR(VLOOKUP(T_Pasajes[[#This Row],[RUN]],T_Voluntarios[],2,FALSE)),"No Existe",VLOOKUP(T_Pasajes[[#This Row],[RUN]],T_Voluntarios[],2,FALSE))</f>
        <v>belenpinovives1@gmail.com</v>
      </c>
      <c r="D33" t="str">
        <f>IF(ISERROR(VLOOKUP(T_Pasajes[[#This Row],[RUN]],T_Voluntarios[],6,FALSE)),"No Existe",VLOOKUP(T_Pasajes[[#This Row],[RUN]],T_Voluntarios[],6,FALSE))</f>
        <v>Concepción</v>
      </c>
      <c r="E33" t="str">
        <f>IF(ISERROR(VLOOKUP(T_Pasajes[[#This Row],[RUN]],T_Voluntarios[],11,FALSE)),"No Existe",VLOOKUP(T_Pasajes[[#This Row],[RUN]],T_Voluntarios[],11,FALSE))</f>
        <v>Golondrinas</v>
      </c>
      <c r="F33" s="38">
        <v>1500</v>
      </c>
      <c r="G33" s="38">
        <v>1500</v>
      </c>
      <c r="H33" s="38">
        <v>1500</v>
      </c>
      <c r="I33" s="38"/>
      <c r="J33" s="38"/>
      <c r="K33" s="38">
        <f>SUM(T_Pasajes[[#This Row],[VIERNES]:[BONO]])</f>
        <v>4500</v>
      </c>
      <c r="L33" s="77" t="s">
        <v>2</v>
      </c>
      <c r="M33" s="77" t="s">
        <v>2</v>
      </c>
      <c r="N33" s="1" t="str">
        <f>IF(ISERROR(VLOOKUP(T_Pasajes[[#This Row],[RUN]],T_Voluntarios[],35,FALSE)),"No Existe",VLOOKUP(T_Pasajes[[#This Row],[RUN]],T_Voluntarios[],35,FALSE))</f>
        <v>No</v>
      </c>
    </row>
    <row r="34" spans="1:14" x14ac:dyDescent="0.3">
      <c r="A34" s="2" t="s">
        <v>388</v>
      </c>
      <c r="B34" t="str">
        <f>IF(ISERROR(VLOOKUP(T_Pasajes[[#This Row],[RUN]],T_Voluntarios[],3,FALSE)),"No Existe",VLOOKUP(T_Pasajes[[#This Row],[RUN]],T_Voluntarios[],3,FALSE))</f>
        <v>Camila Cabrera Menares</v>
      </c>
      <c r="C34" t="str">
        <f>IF(ISERROR(VLOOKUP(T_Pasajes[[#This Row],[RUN]],T_Voluntarios[],2,FALSE)),"No Existe",VLOOKUP(T_Pasajes[[#This Row],[RUN]],T_Voluntarios[],2,FALSE))</f>
        <v>cabreracamilapaz@gmail.com</v>
      </c>
      <c r="D34" t="str">
        <f>IF(ISERROR(VLOOKUP(T_Pasajes[[#This Row],[RUN]],T_Voluntarios[],6,FALSE)),"No Existe",VLOOKUP(T_Pasajes[[#This Row],[RUN]],T_Voluntarios[],6,FALSE))</f>
        <v>Talcahuano</v>
      </c>
      <c r="E34" t="str">
        <f>IF(ISERROR(VLOOKUP(T_Pasajes[[#This Row],[RUN]],T_Voluntarios[],11,FALSE)),"No Existe",VLOOKUP(T_Pasajes[[#This Row],[RUN]],T_Voluntarios[],11,FALSE))</f>
        <v>Golondrinas</v>
      </c>
      <c r="F34" s="38">
        <v>1500</v>
      </c>
      <c r="G34" s="38">
        <v>1500</v>
      </c>
      <c r="H34" s="38">
        <v>1500</v>
      </c>
      <c r="I34" s="38"/>
      <c r="J34" s="38"/>
      <c r="K34" s="38">
        <f>SUM(T_Pasajes[[#This Row],[VIERNES]:[BONO]])</f>
        <v>4500</v>
      </c>
      <c r="L34" s="77" t="s">
        <v>2</v>
      </c>
      <c r="M34" s="77" t="s">
        <v>2</v>
      </c>
      <c r="N34" s="1" t="str">
        <f>IF(ISERROR(VLOOKUP(T_Pasajes[[#This Row],[RUN]],T_Voluntarios[],35,FALSE)),"No Existe",VLOOKUP(T_Pasajes[[#This Row],[RUN]],T_Voluntarios[],35,FALSE))</f>
        <v>No</v>
      </c>
    </row>
  </sheetData>
  <mergeCells count="1">
    <mergeCell ref="A1:E1"/>
  </mergeCells>
  <phoneticPr fontId="1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15835-B69C-46DA-B137-2D7807EAA12B}">
  <sheetPr codeName="Hoja19"/>
  <dimension ref="A1:H143"/>
  <sheetViews>
    <sheetView topLeftCell="A122" workbookViewId="0">
      <selection activeCell="B5" sqref="B5"/>
    </sheetView>
  </sheetViews>
  <sheetFormatPr baseColWidth="10" defaultRowHeight="14.4" x14ac:dyDescent="0.3"/>
  <cols>
    <col min="2" max="2" width="40.88671875" bestFit="1" customWidth="1"/>
    <col min="7" max="7" width="11.5546875" style="38"/>
    <col min="8" max="8" width="28" bestFit="1" customWidth="1"/>
  </cols>
  <sheetData>
    <row r="1" spans="1:8" x14ac:dyDescent="0.3">
      <c r="A1" t="s">
        <v>37</v>
      </c>
      <c r="B1" t="s">
        <v>39</v>
      </c>
      <c r="C1" t="s">
        <v>3246</v>
      </c>
      <c r="D1" t="s">
        <v>45</v>
      </c>
      <c r="E1" t="s">
        <v>46</v>
      </c>
      <c r="F1" t="s">
        <v>87</v>
      </c>
      <c r="G1" s="38" t="s">
        <v>476</v>
      </c>
      <c r="H1" t="s">
        <v>3247</v>
      </c>
    </row>
    <row r="2" spans="1:8" x14ac:dyDescent="0.3">
      <c r="A2" t="s">
        <v>722</v>
      </c>
      <c r="B2" t="str">
        <f>IF(ISERROR(VLOOKUP(T_ComprobanteIngreso[[#This Row],[RUN]],T_Voluntarios[],3,FALSE)),"No Existe",VLOOKUP(T_ComprobanteIngreso[[#This Row],[RUN]],T_Voluntarios[],3,FALSE))</f>
        <v>Andrea Fernanda Vidal Morales</v>
      </c>
      <c r="C2" s="80" t="s">
        <v>3248</v>
      </c>
      <c r="D2" t="str">
        <f>IF(ISERROR(VLOOKUP(T_ComprobanteIngreso[[#This Row],[RUN]],T_Voluntarios[],9,FALSE)),"No Existe",VLOOKUP(T_ComprobanteIngreso[[#This Row],[RUN]],T_Voluntarios[],9,FALSE))</f>
        <v>Participante</v>
      </c>
      <c r="E2" t="str">
        <f>IF(ISERROR(VLOOKUP(T_ComprobanteIngreso[[#This Row],[RUN]],T_Voluntarios[],10,FALSE)),"No Existe",VLOOKUP(T_ComprobanteIngreso[[#This Row],[RUN]],T_Voluntarios[],10,FALSE))</f>
        <v>Huilliche</v>
      </c>
      <c r="F2" t="str">
        <f>IF(ISERROR(VLOOKUP(T_ComprobanteIngreso[[#This Row],[RUN]],T_Voluntarios[],11,FALSE)),"No Existe",VLOOKUP(T_ComprobanteIngreso[[#This Row],[RUN]],T_Voluntarios[],11,FALSE))</f>
        <v>Guias</v>
      </c>
      <c r="G2" s="38">
        <f>IF(ISERROR(VLOOKUP(T_ComprobanteIngreso[[#This Row],[RUN]],T_Voluntarios[],37,FALSE)),"No Existe",VLOOKUP(T_ComprobanteIngreso[[#This Row],[RUN]],T_Voluntarios[],37,FALSE))</f>
        <v>50000</v>
      </c>
      <c r="H2" t="str" cm="1">
        <f t="array" ref="H2">PROPER(NUMEROSALETRAS(T_ComprobanteIngreso[[#This Row],[CUOTA]]))&amp;" pesos"</f>
        <v>Cincuenta Mil pesos</v>
      </c>
    </row>
    <row r="3" spans="1:8" x14ac:dyDescent="0.3">
      <c r="A3" t="s">
        <v>740</v>
      </c>
      <c r="B3" t="str">
        <f>IF(ISERROR(VLOOKUP(T_ComprobanteIngreso[[#This Row],[RUN]],T_Voluntarios[],3,FALSE)),"No Existe",VLOOKUP(T_ComprobanteIngreso[[#This Row],[RUN]],T_Voluntarios[],3,FALSE))</f>
        <v>Pamela Elena Pino Leiva</v>
      </c>
      <c r="C3" s="80" t="s">
        <v>3249</v>
      </c>
      <c r="D3" t="str">
        <f>IF(ISERROR(VLOOKUP(T_ComprobanteIngreso[[#This Row],[RUN]],T_Voluntarios[],9,FALSE)),"No Existe",VLOOKUP(T_ComprobanteIngreso[[#This Row],[RUN]],T_Voluntarios[],9,FALSE))</f>
        <v>Participante</v>
      </c>
      <c r="E3" t="str">
        <f>IF(ISERROR(VLOOKUP(T_ComprobanteIngreso[[#This Row],[RUN]],T_Voluntarios[],10,FALSE)),"No Existe",VLOOKUP(T_ComprobanteIngreso[[#This Row],[RUN]],T_Voluntarios[],10,FALSE))</f>
        <v>Mahuidanche</v>
      </c>
      <c r="F3" t="str">
        <f>IF(ISERROR(VLOOKUP(T_ComprobanteIngreso[[#This Row],[RUN]],T_Voluntarios[],11,FALSE)),"No Existe",VLOOKUP(T_ComprobanteIngreso[[#This Row],[RUN]],T_Voluntarios[],11,FALSE))</f>
        <v>Guias</v>
      </c>
      <c r="G3" s="38">
        <f>IF(ISERROR(VLOOKUP(T_ComprobanteIngreso[[#This Row],[RUN]],T_Voluntarios[],37,FALSE)),"No Existe",VLOOKUP(T_ComprobanteIngreso[[#This Row],[RUN]],T_Voluntarios[],37,FALSE))</f>
        <v>50000</v>
      </c>
      <c r="H3" t="str" cm="1">
        <f t="array" ref="H3">PROPER(NUMEROSALETRAS(T_ComprobanteIngreso[[#This Row],[CUOTA]]))&amp;" pesos"</f>
        <v>Cincuenta Mil pesos</v>
      </c>
    </row>
    <row r="4" spans="1:8" x14ac:dyDescent="0.3">
      <c r="A4" t="s">
        <v>756</v>
      </c>
      <c r="B4" t="str">
        <f>IF(ISERROR(VLOOKUP(T_ComprobanteIngreso[[#This Row],[RUN]],T_Voluntarios[],3,FALSE)),"No Existe",VLOOKUP(T_ComprobanteIngreso[[#This Row],[RUN]],T_Voluntarios[],3,FALSE))</f>
        <v>Noemí Rosita González Marambio</v>
      </c>
      <c r="C4" s="80" t="s">
        <v>3250</v>
      </c>
      <c r="D4" t="str">
        <f>IF(ISERROR(VLOOKUP(T_ComprobanteIngreso[[#This Row],[RUN]],T_Voluntarios[],9,FALSE)),"No Existe",VLOOKUP(T_ComprobanteIngreso[[#This Row],[RUN]],T_Voluntarios[],9,FALSE))</f>
        <v>Participante</v>
      </c>
      <c r="E4" t="str">
        <f>IF(ISERROR(VLOOKUP(T_ComprobanteIngreso[[#This Row],[RUN]],T_Voluntarios[],10,FALSE)),"No Existe",VLOOKUP(T_ComprobanteIngreso[[#This Row],[RUN]],T_Voluntarios[],10,FALSE))</f>
        <v>San Ignacio de Loyola</v>
      </c>
      <c r="F4" t="str">
        <f>IF(ISERROR(VLOOKUP(T_ComprobanteIngreso[[#This Row],[RUN]],T_Voluntarios[],11,FALSE)),"No Existe",VLOOKUP(T_ComprobanteIngreso[[#This Row],[RUN]],T_Voluntarios[],11,FALSE))</f>
        <v>Guias</v>
      </c>
      <c r="G4" s="38">
        <f>IF(ISERROR(VLOOKUP(T_ComprobanteIngreso[[#This Row],[RUN]],T_Voluntarios[],37,FALSE)),"No Existe",VLOOKUP(T_ComprobanteIngreso[[#This Row],[RUN]],T_Voluntarios[],37,FALSE))</f>
        <v>50000</v>
      </c>
      <c r="H4" t="str" cm="1">
        <f t="array" ref="H4">PROPER(NUMEROSALETRAS(T_ComprobanteIngreso[[#This Row],[CUOTA]]))&amp;" pesos"</f>
        <v>Cincuenta Mil pesos</v>
      </c>
    </row>
    <row r="5" spans="1:8" x14ac:dyDescent="0.3">
      <c r="A5" t="s">
        <v>767</v>
      </c>
      <c r="B5" t="str">
        <f>IF(ISERROR(VLOOKUP(T_ComprobanteIngreso[[#This Row],[RUN]],T_Voluntarios[],3,FALSE)),"No Existe",VLOOKUP(T_ComprobanteIngreso[[#This Row],[RUN]],T_Voluntarios[],3,FALSE))</f>
        <v>Catalina Dannae Palma Bastías</v>
      </c>
      <c r="C5" s="80" t="s">
        <v>3251</v>
      </c>
      <c r="D5" t="str">
        <f>IF(ISERROR(VLOOKUP(T_ComprobanteIngreso[[#This Row],[RUN]],T_Voluntarios[],9,FALSE)),"No Existe",VLOOKUP(T_ComprobanteIngreso[[#This Row],[RUN]],T_Voluntarios[],9,FALSE))</f>
        <v>Participante</v>
      </c>
      <c r="E5" t="str">
        <f>IF(ISERROR(VLOOKUP(T_ComprobanteIngreso[[#This Row],[RUN]],T_Voluntarios[],10,FALSE)),"No Existe",VLOOKUP(T_ComprobanteIngreso[[#This Row],[RUN]],T_Voluntarios[],10,FALSE))</f>
        <v>San Ignacio de Loyola</v>
      </c>
      <c r="F5" t="str">
        <f>IF(ISERROR(VLOOKUP(T_ComprobanteIngreso[[#This Row],[RUN]],T_Voluntarios[],11,FALSE)),"No Existe",VLOOKUP(T_ComprobanteIngreso[[#This Row],[RUN]],T_Voluntarios[],11,FALSE))</f>
        <v>Pioneros</v>
      </c>
      <c r="G5" s="38">
        <f>IF(ISERROR(VLOOKUP(T_ComprobanteIngreso[[#This Row],[RUN]],T_Voluntarios[],37,FALSE)),"No Existe",VLOOKUP(T_ComprobanteIngreso[[#This Row],[RUN]],T_Voluntarios[],37,FALSE))</f>
        <v>50000</v>
      </c>
      <c r="H5" t="str" cm="1">
        <f t="array" ref="H5">PROPER(NUMEROSALETRAS(T_ComprobanteIngreso[[#This Row],[CUOTA]]))&amp;" pesos"</f>
        <v>Cincuenta Mil pesos</v>
      </c>
    </row>
    <row r="6" spans="1:8" x14ac:dyDescent="0.3">
      <c r="A6" t="s">
        <v>781</v>
      </c>
      <c r="B6" t="str">
        <f>IF(ISERROR(VLOOKUP(T_ComprobanteIngreso[[#This Row],[RUN]],T_Voluntarios[],3,FALSE)),"No Existe",VLOOKUP(T_ComprobanteIngreso[[#This Row],[RUN]],T_Voluntarios[],3,FALSE))</f>
        <v>Muriel Esther González Silva</v>
      </c>
      <c r="C6" s="80" t="s">
        <v>3252</v>
      </c>
      <c r="D6" t="str">
        <f>IF(ISERROR(VLOOKUP(T_ComprobanteIngreso[[#This Row],[RUN]],T_Voluntarios[],9,FALSE)),"No Existe",VLOOKUP(T_ComprobanteIngreso[[#This Row],[RUN]],T_Voluntarios[],9,FALSE))</f>
        <v>Participante</v>
      </c>
      <c r="E6" t="str">
        <f>IF(ISERROR(VLOOKUP(T_ComprobanteIngreso[[#This Row],[RUN]],T_Voluntarios[],10,FALSE)),"No Existe",VLOOKUP(T_ComprobanteIngreso[[#This Row],[RUN]],T_Voluntarios[],10,FALSE))</f>
        <v>Helen Keller</v>
      </c>
      <c r="F6" t="str">
        <f>IF(ISERROR(VLOOKUP(T_ComprobanteIngreso[[#This Row],[RUN]],T_Voluntarios[],11,FALSE)),"No Existe",VLOOKUP(T_ComprobanteIngreso[[#This Row],[RUN]],T_Voluntarios[],11,FALSE))</f>
        <v>Caminantes</v>
      </c>
      <c r="G6" s="38">
        <f>IF(ISERROR(VLOOKUP(T_ComprobanteIngreso[[#This Row],[RUN]],T_Voluntarios[],37,FALSE)),"No Existe",VLOOKUP(T_ComprobanteIngreso[[#This Row],[RUN]],T_Voluntarios[],37,FALSE))</f>
        <v>50000</v>
      </c>
      <c r="H6" t="str" cm="1">
        <f t="array" ref="H6">PROPER(NUMEROSALETRAS(T_ComprobanteIngreso[[#This Row],[CUOTA]]))&amp;" pesos"</f>
        <v>Cincuenta Mil pesos</v>
      </c>
    </row>
    <row r="7" spans="1:8" x14ac:dyDescent="0.3">
      <c r="A7" t="s">
        <v>793</v>
      </c>
      <c r="B7" t="str">
        <f>IF(ISERROR(VLOOKUP(T_ComprobanteIngreso[[#This Row],[RUN]],T_Voluntarios[],3,FALSE)),"No Existe",VLOOKUP(T_ComprobanteIngreso[[#This Row],[RUN]],T_Voluntarios[],3,FALSE))</f>
        <v>Catalina Belén Díaz Aguilera</v>
      </c>
      <c r="C7" s="80" t="s">
        <v>3253</v>
      </c>
      <c r="D7" t="str">
        <f>IF(ISERROR(VLOOKUP(T_ComprobanteIngreso[[#This Row],[RUN]],T_Voluntarios[],9,FALSE)),"No Existe",VLOOKUP(T_ComprobanteIngreso[[#This Row],[RUN]],T_Voluntarios[],9,FALSE))</f>
        <v>Participante</v>
      </c>
      <c r="E7" t="str">
        <f>IF(ISERROR(VLOOKUP(T_ComprobanteIngreso[[#This Row],[RUN]],T_Voluntarios[],10,FALSE)),"No Existe",VLOOKUP(T_ComprobanteIngreso[[#This Row],[RUN]],T_Voluntarios[],10,FALSE))</f>
        <v>San Ignacio de Loyola</v>
      </c>
      <c r="F7" t="str">
        <f>IF(ISERROR(VLOOKUP(T_ComprobanteIngreso[[#This Row],[RUN]],T_Voluntarios[],11,FALSE)),"No Existe",VLOOKUP(T_ComprobanteIngreso[[#This Row],[RUN]],T_Voluntarios[],11,FALSE))</f>
        <v>Guias</v>
      </c>
      <c r="G7" s="38">
        <f>IF(ISERROR(VLOOKUP(T_ComprobanteIngreso[[#This Row],[RUN]],T_Voluntarios[],37,FALSE)),"No Existe",VLOOKUP(T_ComprobanteIngreso[[#This Row],[RUN]],T_Voluntarios[],37,FALSE))</f>
        <v>50000</v>
      </c>
      <c r="H7" t="str" cm="1">
        <f t="array" ref="H7">PROPER(NUMEROSALETRAS(T_ComprobanteIngreso[[#This Row],[CUOTA]]))&amp;" pesos"</f>
        <v>Cincuenta Mil pesos</v>
      </c>
    </row>
    <row r="8" spans="1:8" x14ac:dyDescent="0.3">
      <c r="A8" t="s">
        <v>803</v>
      </c>
      <c r="B8" t="str">
        <f>IF(ISERROR(VLOOKUP(T_ComprobanteIngreso[[#This Row],[RUN]],T_Voluntarios[],3,FALSE)),"No Existe",VLOOKUP(T_ComprobanteIngreso[[#This Row],[RUN]],T_Voluntarios[],3,FALSE))</f>
        <v>Alejandro Antonio Quezada Huenchunao</v>
      </c>
      <c r="C8" s="80" t="s">
        <v>3254</v>
      </c>
      <c r="D8" t="str">
        <f>IF(ISERROR(VLOOKUP(T_ComprobanteIngreso[[#This Row],[RUN]],T_Voluntarios[],9,FALSE)),"No Existe",VLOOKUP(T_ComprobanteIngreso[[#This Row],[RUN]],T_Voluntarios[],9,FALSE))</f>
        <v>Participante</v>
      </c>
      <c r="E8" t="str">
        <f>IF(ISERROR(VLOOKUP(T_ComprobanteIngreso[[#This Row],[RUN]],T_Voluntarios[],10,FALSE)),"No Existe",VLOOKUP(T_ComprobanteIngreso[[#This Row],[RUN]],T_Voluntarios[],10,FALSE))</f>
        <v>Mahuidanche</v>
      </c>
      <c r="F8" t="str">
        <f>IF(ISERROR(VLOOKUP(T_ComprobanteIngreso[[#This Row],[RUN]],T_Voluntarios[],11,FALSE)),"No Existe",VLOOKUP(T_ComprobanteIngreso[[#This Row],[RUN]],T_Voluntarios[],11,FALSE))</f>
        <v>Caminantes</v>
      </c>
      <c r="G8" s="38">
        <f>IF(ISERROR(VLOOKUP(T_ComprobanteIngreso[[#This Row],[RUN]],T_Voluntarios[],37,FALSE)),"No Existe",VLOOKUP(T_ComprobanteIngreso[[#This Row],[RUN]],T_Voluntarios[],37,FALSE))</f>
        <v>50000</v>
      </c>
      <c r="H8" t="str" cm="1">
        <f t="array" ref="H8">PROPER(NUMEROSALETRAS(T_ComprobanteIngreso[[#This Row],[CUOTA]]))&amp;" pesos"</f>
        <v>Cincuenta Mil pesos</v>
      </c>
    </row>
    <row r="9" spans="1:8" x14ac:dyDescent="0.3">
      <c r="A9" t="s">
        <v>815</v>
      </c>
      <c r="B9" t="str">
        <f>IF(ISERROR(VLOOKUP(T_ComprobanteIngreso[[#This Row],[RUN]],T_Voluntarios[],3,FALSE)),"No Existe",VLOOKUP(T_ComprobanteIngreso[[#This Row],[RUN]],T_Voluntarios[],3,FALSE))</f>
        <v>Gonzalo Peña Sandoval</v>
      </c>
      <c r="C9" s="80" t="s">
        <v>3255</v>
      </c>
      <c r="D9" t="str">
        <f>IF(ISERROR(VLOOKUP(T_ComprobanteIngreso[[#This Row],[RUN]],T_Voluntarios[],9,FALSE)),"No Existe",VLOOKUP(T_ComprobanteIngreso[[#This Row],[RUN]],T_Voluntarios[],9,FALSE))</f>
        <v>Participante</v>
      </c>
      <c r="E9" t="str">
        <f>IF(ISERROR(VLOOKUP(T_ComprobanteIngreso[[#This Row],[RUN]],T_Voluntarios[],10,FALSE)),"No Existe",VLOOKUP(T_ComprobanteIngreso[[#This Row],[RUN]],T_Voluntarios[],10,FALSE))</f>
        <v>Helen Keller</v>
      </c>
      <c r="F9" t="str">
        <f>IF(ISERROR(VLOOKUP(T_ComprobanteIngreso[[#This Row],[RUN]],T_Voluntarios[],11,FALSE)),"No Existe",VLOOKUP(T_ComprobanteIngreso[[#This Row],[RUN]],T_Voluntarios[],11,FALSE))</f>
        <v>Lobatos</v>
      </c>
      <c r="G9" s="38">
        <f>IF(ISERROR(VLOOKUP(T_ComprobanteIngreso[[#This Row],[RUN]],T_Voluntarios[],37,FALSE)),"No Existe",VLOOKUP(T_ComprobanteIngreso[[#This Row],[RUN]],T_Voluntarios[],37,FALSE))</f>
        <v>50000</v>
      </c>
      <c r="H9" t="str" cm="1">
        <f t="array" ref="H9">PROPER(NUMEROSALETRAS(T_ComprobanteIngreso[[#This Row],[CUOTA]]))&amp;" pesos"</f>
        <v>Cincuenta Mil pesos</v>
      </c>
    </row>
    <row r="10" spans="1:8" x14ac:dyDescent="0.3">
      <c r="A10" t="s">
        <v>838</v>
      </c>
      <c r="B10" t="str">
        <f>IF(ISERROR(VLOOKUP(T_ComprobanteIngreso[[#This Row],[RUN]],T_Voluntarios[],3,FALSE)),"No Existe",VLOOKUP(T_ComprobanteIngreso[[#This Row],[RUN]],T_Voluntarios[],3,FALSE))</f>
        <v>Benjamin Ignacio Herrera Acevedo</v>
      </c>
      <c r="C10" s="80" t="s">
        <v>3256</v>
      </c>
      <c r="D10" t="str">
        <f>IF(ISERROR(VLOOKUP(T_ComprobanteIngreso[[#This Row],[RUN]],T_Voluntarios[],9,FALSE)),"No Existe",VLOOKUP(T_ComprobanteIngreso[[#This Row],[RUN]],T_Voluntarios[],9,FALSE))</f>
        <v>Participante</v>
      </c>
      <c r="E10" t="str">
        <f>IF(ISERROR(VLOOKUP(T_ComprobanteIngreso[[#This Row],[RUN]],T_Voluntarios[],10,FALSE)),"No Existe",VLOOKUP(T_ComprobanteIngreso[[#This Row],[RUN]],T_Voluntarios[],10,FALSE))</f>
        <v>Salesianos Concepción</v>
      </c>
      <c r="F10" t="str">
        <f>IF(ISERROR(VLOOKUP(T_ComprobanteIngreso[[#This Row],[RUN]],T_Voluntarios[],11,FALSE)),"No Existe",VLOOKUP(T_ComprobanteIngreso[[#This Row],[RUN]],T_Voluntarios[],11,FALSE))</f>
        <v>Lobatos</v>
      </c>
      <c r="G10" s="38">
        <f>IF(ISERROR(VLOOKUP(T_ComprobanteIngreso[[#This Row],[RUN]],T_Voluntarios[],37,FALSE)),"No Existe",VLOOKUP(T_ComprobanteIngreso[[#This Row],[RUN]],T_Voluntarios[],37,FALSE))</f>
        <v>50000</v>
      </c>
      <c r="H10" t="str" cm="1">
        <f t="array" ref="H10">PROPER(NUMEROSALETRAS(T_ComprobanteIngreso[[#This Row],[CUOTA]]))&amp;" pesos"</f>
        <v>Cincuenta Mil pesos</v>
      </c>
    </row>
    <row r="11" spans="1:8" x14ac:dyDescent="0.3">
      <c r="A11" t="s">
        <v>860</v>
      </c>
      <c r="B11" t="str">
        <f>IF(ISERROR(VLOOKUP(T_ComprobanteIngreso[[#This Row],[RUN]],T_Voluntarios[],3,FALSE)),"No Existe",VLOOKUP(T_ComprobanteIngreso[[#This Row],[RUN]],T_Voluntarios[],3,FALSE))</f>
        <v>Ignacio Antonio González Carrasco</v>
      </c>
      <c r="C11" s="80" t="s">
        <v>3257</v>
      </c>
      <c r="D11" t="str">
        <f>IF(ISERROR(VLOOKUP(T_ComprobanteIngreso[[#This Row],[RUN]],T_Voluntarios[],9,FALSE)),"No Existe",VLOOKUP(T_ComprobanteIngreso[[#This Row],[RUN]],T_Voluntarios[],9,FALSE))</f>
        <v>Participante</v>
      </c>
      <c r="E11" t="str">
        <f>IF(ISERROR(VLOOKUP(T_ComprobanteIngreso[[#This Row],[RUN]],T_Voluntarios[],10,FALSE)),"No Existe",VLOOKUP(T_ComprobanteIngreso[[#This Row],[RUN]],T_Voluntarios[],10,FALSE))</f>
        <v>Salesianos Concepción</v>
      </c>
      <c r="F11" t="str">
        <f>IF(ISERROR(VLOOKUP(T_ComprobanteIngreso[[#This Row],[RUN]],T_Voluntarios[],11,FALSE)),"No Existe",VLOOKUP(T_ComprobanteIngreso[[#This Row],[RUN]],T_Voluntarios[],11,FALSE))</f>
        <v>Lobatos</v>
      </c>
      <c r="G11" s="38">
        <f>IF(ISERROR(VLOOKUP(T_ComprobanteIngreso[[#This Row],[RUN]],T_Voluntarios[],37,FALSE)),"No Existe",VLOOKUP(T_ComprobanteIngreso[[#This Row],[RUN]],T_Voluntarios[],37,FALSE))</f>
        <v>50000</v>
      </c>
      <c r="H11" t="str" cm="1">
        <f t="array" ref="H11">PROPER(NUMEROSALETRAS(T_ComprobanteIngreso[[#This Row],[CUOTA]]))&amp;" pesos"</f>
        <v>Cincuenta Mil pesos</v>
      </c>
    </row>
    <row r="12" spans="1:8" x14ac:dyDescent="0.3">
      <c r="A12" t="s">
        <v>871</v>
      </c>
      <c r="B12" t="str">
        <f>IF(ISERROR(VLOOKUP(T_ComprobanteIngreso[[#This Row],[RUN]],T_Voluntarios[],3,FALSE)),"No Existe",VLOOKUP(T_ComprobanteIngreso[[#This Row],[RUN]],T_Voluntarios[],3,FALSE))</f>
        <v>Carla Andrea Contreras Calderon</v>
      </c>
      <c r="C12" s="80" t="s">
        <v>3258</v>
      </c>
      <c r="D12" t="str">
        <f>IF(ISERROR(VLOOKUP(T_ComprobanteIngreso[[#This Row],[RUN]],T_Voluntarios[],9,FALSE)),"No Existe",VLOOKUP(T_ComprobanteIngreso[[#This Row],[RUN]],T_Voluntarios[],9,FALSE))</f>
        <v>Participante</v>
      </c>
      <c r="E12" t="str">
        <f>IF(ISERROR(VLOOKUP(T_ComprobanteIngreso[[#This Row],[RUN]],T_Voluntarios[],10,FALSE)),"No Existe",VLOOKUP(T_ComprobanteIngreso[[#This Row],[RUN]],T_Voluntarios[],10,FALSE))</f>
        <v>Nuestra señora del pilar</v>
      </c>
      <c r="F12" t="str">
        <f>IF(ISERROR(VLOOKUP(T_ComprobanteIngreso[[#This Row],[RUN]],T_Voluntarios[],11,FALSE)),"No Existe",VLOOKUP(T_ComprobanteIngreso[[#This Row],[RUN]],T_Voluntarios[],11,FALSE))</f>
        <v>Golondrinas</v>
      </c>
      <c r="G12" s="38">
        <f>IF(ISERROR(VLOOKUP(T_ComprobanteIngreso[[#This Row],[RUN]],T_Voluntarios[],37,FALSE)),"No Existe",VLOOKUP(T_ComprobanteIngreso[[#This Row],[RUN]],T_Voluntarios[],37,FALSE))</f>
        <v>50000</v>
      </c>
      <c r="H12" t="str" cm="1">
        <f t="array" ref="H12">PROPER(NUMEROSALETRAS(T_ComprobanteIngreso[[#This Row],[CUOTA]]))&amp;" pesos"</f>
        <v>Cincuenta Mil pesos</v>
      </c>
    </row>
    <row r="13" spans="1:8" x14ac:dyDescent="0.3">
      <c r="A13" t="s">
        <v>884</v>
      </c>
      <c r="B13" t="str">
        <f>IF(ISERROR(VLOOKUP(T_ComprobanteIngreso[[#This Row],[RUN]],T_Voluntarios[],3,FALSE)),"No Existe",VLOOKUP(T_ComprobanteIngreso[[#This Row],[RUN]],T_Voluntarios[],3,FALSE))</f>
        <v>Natalie Magdalena Sepulveda Gomez</v>
      </c>
      <c r="C13" s="80" t="s">
        <v>3259</v>
      </c>
      <c r="D13" t="str">
        <f>IF(ISERROR(VLOOKUP(T_ComprobanteIngreso[[#This Row],[RUN]],T_Voluntarios[],9,FALSE)),"No Existe",VLOOKUP(T_ComprobanteIngreso[[#This Row],[RUN]],T_Voluntarios[],9,FALSE))</f>
        <v>Participante</v>
      </c>
      <c r="E13" t="str">
        <f>IF(ISERROR(VLOOKUP(T_ComprobanteIngreso[[#This Row],[RUN]],T_Voluntarios[],10,FALSE)),"No Existe",VLOOKUP(T_ComprobanteIngreso[[#This Row],[RUN]],T_Voluntarios[],10,FALSE))</f>
        <v>Nuestra señora del pilar</v>
      </c>
      <c r="F13" t="str">
        <f>IF(ISERROR(VLOOKUP(T_ComprobanteIngreso[[#This Row],[RUN]],T_Voluntarios[],11,FALSE)),"No Existe",VLOOKUP(T_ComprobanteIngreso[[#This Row],[RUN]],T_Voluntarios[],11,FALSE))</f>
        <v>Pioneros</v>
      </c>
      <c r="G13" s="38">
        <f>IF(ISERROR(VLOOKUP(T_ComprobanteIngreso[[#This Row],[RUN]],T_Voluntarios[],37,FALSE)),"No Existe",VLOOKUP(T_ComprobanteIngreso[[#This Row],[RUN]],T_Voluntarios[],37,FALSE))</f>
        <v>50000</v>
      </c>
      <c r="H13" t="str" cm="1">
        <f t="array" ref="H13">PROPER(NUMEROSALETRAS(T_ComprobanteIngreso[[#This Row],[CUOTA]]))&amp;" pesos"</f>
        <v>Cincuenta Mil pesos</v>
      </c>
    </row>
    <row r="14" spans="1:8" x14ac:dyDescent="0.3">
      <c r="A14" t="s">
        <v>894</v>
      </c>
      <c r="B14" t="str">
        <f>IF(ISERROR(VLOOKUP(T_ComprobanteIngreso[[#This Row],[RUN]],T_Voluntarios[],3,FALSE)),"No Existe",VLOOKUP(T_ComprobanteIngreso[[#This Row],[RUN]],T_Voluntarios[],3,FALSE))</f>
        <v>Renato Andres Santibañez Yevilao</v>
      </c>
      <c r="C14" s="80" t="s">
        <v>3260</v>
      </c>
      <c r="D14" t="str">
        <f>IF(ISERROR(VLOOKUP(T_ComprobanteIngreso[[#This Row],[RUN]],T_Voluntarios[],9,FALSE)),"No Existe",VLOOKUP(T_ComprobanteIngreso[[#This Row],[RUN]],T_Voluntarios[],9,FALSE))</f>
        <v>Participante</v>
      </c>
      <c r="E14" t="str">
        <f>IF(ISERROR(VLOOKUP(T_ComprobanteIngreso[[#This Row],[RUN]],T_Voluntarios[],10,FALSE)),"No Existe",VLOOKUP(T_ComprobanteIngreso[[#This Row],[RUN]],T_Voluntarios[],10,FALSE))</f>
        <v>Salesianos Concepción</v>
      </c>
      <c r="F14" t="str">
        <f>IF(ISERROR(VLOOKUP(T_ComprobanteIngreso[[#This Row],[RUN]],T_Voluntarios[],11,FALSE)),"No Existe",VLOOKUP(T_ComprobanteIngreso[[#This Row],[RUN]],T_Voluntarios[],11,FALSE))</f>
        <v>Lobatos</v>
      </c>
      <c r="G14" s="38">
        <f>IF(ISERROR(VLOOKUP(T_ComprobanteIngreso[[#This Row],[RUN]],T_Voluntarios[],37,FALSE)),"No Existe",VLOOKUP(T_ComprobanteIngreso[[#This Row],[RUN]],T_Voluntarios[],37,FALSE))</f>
        <v>50000</v>
      </c>
      <c r="H14" t="str" cm="1">
        <f t="array" ref="H14">PROPER(NUMEROSALETRAS(T_ComprobanteIngreso[[#This Row],[CUOTA]]))&amp;" pesos"</f>
        <v>Cincuenta Mil pesos</v>
      </c>
    </row>
    <row r="15" spans="1:8" x14ac:dyDescent="0.3">
      <c r="A15" t="s">
        <v>907</v>
      </c>
      <c r="B15" t="str">
        <f>IF(ISERROR(VLOOKUP(T_ComprobanteIngreso[[#This Row],[RUN]],T_Voluntarios[],3,FALSE)),"No Existe",VLOOKUP(T_ComprobanteIngreso[[#This Row],[RUN]],T_Voluntarios[],3,FALSE))</f>
        <v>José Ignacio Aravena Navarrete</v>
      </c>
      <c r="C15" s="80" t="s">
        <v>3261</v>
      </c>
      <c r="D15" t="str">
        <f>IF(ISERROR(VLOOKUP(T_ComprobanteIngreso[[#This Row],[RUN]],T_Voluntarios[],9,FALSE)),"No Existe",VLOOKUP(T_ComprobanteIngreso[[#This Row],[RUN]],T_Voluntarios[],9,FALSE))</f>
        <v>Participante</v>
      </c>
      <c r="E15" t="str">
        <f>IF(ISERROR(VLOOKUP(T_ComprobanteIngreso[[#This Row],[RUN]],T_Voluntarios[],10,FALSE)),"No Existe",VLOOKUP(T_ComprobanteIngreso[[#This Row],[RUN]],T_Voluntarios[],10,FALSE))</f>
        <v>Salesianos Concepción</v>
      </c>
      <c r="F15" t="str">
        <f>IF(ISERROR(VLOOKUP(T_ComprobanteIngreso[[#This Row],[RUN]],T_Voluntarios[],11,FALSE)),"No Existe",VLOOKUP(T_ComprobanteIngreso[[#This Row],[RUN]],T_Voluntarios[],11,FALSE))</f>
        <v>Scouts</v>
      </c>
      <c r="G15" s="38">
        <f>IF(ISERROR(VLOOKUP(T_ComprobanteIngreso[[#This Row],[RUN]],T_Voluntarios[],37,FALSE)),"No Existe",VLOOKUP(T_ComprobanteIngreso[[#This Row],[RUN]],T_Voluntarios[],37,FALSE))</f>
        <v>50000</v>
      </c>
      <c r="H15" t="str" cm="1">
        <f t="array" ref="H15">PROPER(NUMEROSALETRAS(T_ComprobanteIngreso[[#This Row],[CUOTA]]))&amp;" pesos"</f>
        <v>Cincuenta Mil pesos</v>
      </c>
    </row>
    <row r="16" spans="1:8" x14ac:dyDescent="0.3">
      <c r="A16" t="s">
        <v>934</v>
      </c>
      <c r="B16" t="str">
        <f>IF(ISERROR(VLOOKUP(T_ComprobanteIngreso[[#This Row],[RUN]],T_Voluntarios[],3,FALSE)),"No Existe",VLOOKUP(T_ComprobanteIngreso[[#This Row],[RUN]],T_Voluntarios[],3,FALSE))</f>
        <v>Ana Erilda Peña Orellana</v>
      </c>
      <c r="C16" s="80" t="s">
        <v>3262</v>
      </c>
      <c r="D16" t="str">
        <f>IF(ISERROR(VLOOKUP(T_ComprobanteIngreso[[#This Row],[RUN]],T_Voluntarios[],9,FALSE)),"No Existe",VLOOKUP(T_ComprobanteIngreso[[#This Row],[RUN]],T_Voluntarios[],9,FALSE))</f>
        <v>Participante</v>
      </c>
      <c r="E16" t="str">
        <f>IF(ISERROR(VLOOKUP(T_ComprobanteIngreso[[#This Row],[RUN]],T_Voluntarios[],10,FALSE)),"No Existe",VLOOKUP(T_ComprobanteIngreso[[#This Row],[RUN]],T_Voluntarios[],10,FALSE))</f>
        <v>Aliwen kimün</v>
      </c>
      <c r="F16" t="str">
        <f>IF(ISERROR(VLOOKUP(T_ComprobanteIngreso[[#This Row],[RUN]],T_Voluntarios[],11,FALSE)),"No Existe",VLOOKUP(T_ComprobanteIngreso[[#This Row],[RUN]],T_Voluntarios[],11,FALSE))</f>
        <v>Pioneros</v>
      </c>
      <c r="G16" s="38">
        <f>IF(ISERROR(VLOOKUP(T_ComprobanteIngreso[[#This Row],[RUN]],T_Voluntarios[],37,FALSE)),"No Existe",VLOOKUP(T_ComprobanteIngreso[[#This Row],[RUN]],T_Voluntarios[],37,FALSE))</f>
        <v>50000</v>
      </c>
      <c r="H16" t="str" cm="1">
        <f t="array" ref="H16">PROPER(NUMEROSALETRAS(T_ComprobanteIngreso[[#This Row],[CUOTA]]))&amp;" pesos"</f>
        <v>Cincuenta Mil pesos</v>
      </c>
    </row>
    <row r="17" spans="1:8" x14ac:dyDescent="0.3">
      <c r="A17" t="s">
        <v>948</v>
      </c>
      <c r="B17" t="str">
        <f>IF(ISERROR(VLOOKUP(T_ComprobanteIngreso[[#This Row],[RUN]],T_Voluntarios[],3,FALSE)),"No Existe",VLOOKUP(T_ComprobanteIngreso[[#This Row],[RUN]],T_Voluntarios[],3,FALSE))</f>
        <v>Francisco Javier Latorre Zuñiga</v>
      </c>
      <c r="C17" s="80" t="s">
        <v>3263</v>
      </c>
      <c r="D17" t="str">
        <f>IF(ISERROR(VLOOKUP(T_ComprobanteIngreso[[#This Row],[RUN]],T_Voluntarios[],9,FALSE)),"No Existe",VLOOKUP(T_ComprobanteIngreso[[#This Row],[RUN]],T_Voluntarios[],9,FALSE))</f>
        <v>Participante</v>
      </c>
      <c r="E17" t="str">
        <f>IF(ISERROR(VLOOKUP(T_ComprobanteIngreso[[#This Row],[RUN]],T_Voluntarios[],10,FALSE)),"No Existe",VLOOKUP(T_ComprobanteIngreso[[#This Row],[RUN]],T_Voluntarios[],10,FALSE))</f>
        <v>Rañileufu</v>
      </c>
      <c r="F17" t="str">
        <f>IF(ISERROR(VLOOKUP(T_ComprobanteIngreso[[#This Row],[RUN]],T_Voluntarios[],11,FALSE)),"No Existe",VLOOKUP(T_ComprobanteIngreso[[#This Row],[RUN]],T_Voluntarios[],11,FALSE))</f>
        <v>Caminantes</v>
      </c>
      <c r="G17" s="38">
        <f>IF(ISERROR(VLOOKUP(T_ComprobanteIngreso[[#This Row],[RUN]],T_Voluntarios[],37,FALSE)),"No Existe",VLOOKUP(T_ComprobanteIngreso[[#This Row],[RUN]],T_Voluntarios[],37,FALSE))</f>
        <v>50000</v>
      </c>
      <c r="H17" t="str" cm="1">
        <f t="array" ref="H17">PROPER(NUMEROSALETRAS(T_ComprobanteIngreso[[#This Row],[CUOTA]]))&amp;" pesos"</f>
        <v>Cincuenta Mil pesos</v>
      </c>
    </row>
    <row r="18" spans="1:8" x14ac:dyDescent="0.3">
      <c r="A18" t="s">
        <v>957</v>
      </c>
      <c r="B18" t="str">
        <f>IF(ISERROR(VLOOKUP(T_ComprobanteIngreso[[#This Row],[RUN]],T_Voluntarios[],3,FALSE)),"No Existe",VLOOKUP(T_ComprobanteIngreso[[#This Row],[RUN]],T_Voluntarios[],3,FALSE))</f>
        <v>Sebastián Alejandro Pérez Serrano</v>
      </c>
      <c r="C18" s="80" t="s">
        <v>3264</v>
      </c>
      <c r="D18" t="str">
        <f>IF(ISERROR(VLOOKUP(T_ComprobanteIngreso[[#This Row],[RUN]],T_Voluntarios[],9,FALSE)),"No Existe",VLOOKUP(T_ComprobanteIngreso[[#This Row],[RUN]],T_Voluntarios[],9,FALSE))</f>
        <v>Participante</v>
      </c>
      <c r="E18" t="str">
        <f>IF(ISERROR(VLOOKUP(T_ComprobanteIngreso[[#This Row],[RUN]],T_Voluntarios[],10,FALSE)),"No Existe",VLOOKUP(T_ComprobanteIngreso[[#This Row],[RUN]],T_Voluntarios[],10,FALSE))</f>
        <v>Rucapeñihue</v>
      </c>
      <c r="F18" t="str">
        <f>IF(ISERROR(VLOOKUP(T_ComprobanteIngreso[[#This Row],[RUN]],T_Voluntarios[],11,FALSE)),"No Existe",VLOOKUP(T_ComprobanteIngreso[[#This Row],[RUN]],T_Voluntarios[],11,FALSE))</f>
        <v>Scouts</v>
      </c>
      <c r="G18" s="38">
        <f>IF(ISERROR(VLOOKUP(T_ComprobanteIngreso[[#This Row],[RUN]],T_Voluntarios[],37,FALSE)),"No Existe",VLOOKUP(T_ComprobanteIngreso[[#This Row],[RUN]],T_Voluntarios[],37,FALSE))</f>
        <v>36500</v>
      </c>
      <c r="H18" t="str" cm="1">
        <f t="array" ref="H18">PROPER(NUMEROSALETRAS(T_ComprobanteIngreso[[#This Row],[CUOTA]]))&amp;" pesos"</f>
        <v>Treinta Seis Mil Quinientos pesos</v>
      </c>
    </row>
    <row r="19" spans="1:8" x14ac:dyDescent="0.3">
      <c r="A19" t="s">
        <v>1554</v>
      </c>
      <c r="B19" t="str">
        <f>IF(ISERROR(VLOOKUP(T_ComprobanteIngreso[[#This Row],[RUN]],T_Voluntarios[],3,FALSE)),"No Existe",VLOOKUP(T_ComprobanteIngreso[[#This Row],[RUN]],T_Voluntarios[],3,FALSE))</f>
        <v>Elias Neira Torres</v>
      </c>
      <c r="C19" s="80" t="s">
        <v>3265</v>
      </c>
      <c r="D19" t="str">
        <f>IF(ISERROR(VLOOKUP(T_ComprobanteIngreso[[#This Row],[RUN]],T_Voluntarios[],9,FALSE)),"No Existe",VLOOKUP(T_ComprobanteIngreso[[#This Row],[RUN]],T_Voluntarios[],9,FALSE))</f>
        <v>Participante</v>
      </c>
      <c r="E19" t="str">
        <f>IF(ISERROR(VLOOKUP(T_ComprobanteIngreso[[#This Row],[RUN]],T_Voluntarios[],10,FALSE)),"No Existe",VLOOKUP(T_ComprobanteIngreso[[#This Row],[RUN]],T_Voluntarios[],10,FALSE))</f>
        <v>Rañileufu</v>
      </c>
      <c r="F19" t="str">
        <f>IF(ISERROR(VLOOKUP(T_ComprobanteIngreso[[#This Row],[RUN]],T_Voluntarios[],11,FALSE)),"No Existe",VLOOKUP(T_ComprobanteIngreso[[#This Row],[RUN]],T_Voluntarios[],11,FALSE))</f>
        <v>Caminantes</v>
      </c>
      <c r="G19" s="38">
        <f>IF(ISERROR(VLOOKUP(T_ComprobanteIngreso[[#This Row],[RUN]],T_Voluntarios[],37,FALSE)),"No Existe",VLOOKUP(T_ComprobanteIngreso[[#This Row],[RUN]],T_Voluntarios[],37,FALSE))</f>
        <v>50000</v>
      </c>
      <c r="H19" t="str" cm="1">
        <f t="array" ref="H19">PROPER(NUMEROSALETRAS(T_ComprobanteIngreso[[#This Row],[CUOTA]]))&amp;" pesos"</f>
        <v>Cincuenta Mil pesos</v>
      </c>
    </row>
    <row r="20" spans="1:8" x14ac:dyDescent="0.3">
      <c r="A20" t="s">
        <v>563</v>
      </c>
      <c r="B20" t="str">
        <f>IF(ISERROR(VLOOKUP(T_ComprobanteIngreso[[#This Row],[RUN]],T_Voluntarios[],3,FALSE)),"No Existe",VLOOKUP(T_ComprobanteIngreso[[#This Row],[RUN]],T_Voluntarios[],3,FALSE))</f>
        <v>Ignacio Nicolás Techeira Sepúlveda</v>
      </c>
      <c r="C20" s="80" t="s">
        <v>3266</v>
      </c>
      <c r="D20" t="str">
        <f>IF(ISERROR(VLOOKUP(T_ComprobanteIngreso[[#This Row],[RUN]],T_Voluntarios[],9,FALSE)),"No Existe",VLOOKUP(T_ComprobanteIngreso[[#This Row],[RUN]],T_Voluntarios[],9,FALSE))</f>
        <v>Participante</v>
      </c>
      <c r="E20" t="str">
        <f>IF(ISERROR(VLOOKUP(T_ComprobanteIngreso[[#This Row],[RUN]],T_Voluntarios[],10,FALSE)),"No Existe",VLOOKUP(T_ComprobanteIngreso[[#This Row],[RUN]],T_Voluntarios[],10,FALSE))</f>
        <v>Rucapeñihue</v>
      </c>
      <c r="F20" t="str">
        <f>IF(ISERROR(VLOOKUP(T_ComprobanteIngreso[[#This Row],[RUN]],T_Voluntarios[],11,FALSE)),"No Existe",VLOOKUP(T_ComprobanteIngreso[[#This Row],[RUN]],T_Voluntarios[],11,FALSE))</f>
        <v>Caminantes</v>
      </c>
      <c r="G20" s="38">
        <f>IF(ISERROR(VLOOKUP(T_ComprobanteIngreso[[#This Row],[RUN]],T_Voluntarios[],37,FALSE)),"No Existe",VLOOKUP(T_ComprobanteIngreso[[#This Row],[RUN]],T_Voluntarios[],37,FALSE))</f>
        <v>36500</v>
      </c>
      <c r="H20" t="str" cm="1">
        <f t="array" ref="H20">PROPER(NUMEROSALETRAS(T_ComprobanteIngreso[[#This Row],[CUOTA]]))&amp;" pesos"</f>
        <v>Treinta Seis Mil Quinientos pesos</v>
      </c>
    </row>
    <row r="21" spans="1:8" x14ac:dyDescent="0.3">
      <c r="A21" t="s">
        <v>1555</v>
      </c>
      <c r="B21" t="str">
        <f>IF(ISERROR(VLOOKUP(T_ComprobanteIngreso[[#This Row],[RUN]],T_Voluntarios[],3,FALSE)),"No Existe",VLOOKUP(T_ComprobanteIngreso[[#This Row],[RUN]],T_Voluntarios[],3,FALSE))</f>
        <v>Alvaro Mora Martinez</v>
      </c>
      <c r="C21" s="80" t="s">
        <v>3267</v>
      </c>
      <c r="D21" t="str">
        <f>IF(ISERROR(VLOOKUP(T_ComprobanteIngreso[[#This Row],[RUN]],T_Voluntarios[],9,FALSE)),"No Existe",VLOOKUP(T_ComprobanteIngreso[[#This Row],[RUN]],T_Voluntarios[],9,FALSE))</f>
        <v>Participante</v>
      </c>
      <c r="E21" t="str">
        <f>IF(ISERROR(VLOOKUP(T_ComprobanteIngreso[[#This Row],[RUN]],T_Voluntarios[],10,FALSE)),"No Existe",VLOOKUP(T_ComprobanteIngreso[[#This Row],[RUN]],T_Voluntarios[],10,FALSE))</f>
        <v>La Montaña</v>
      </c>
      <c r="F21" t="str">
        <f>IF(ISERROR(VLOOKUP(T_ComprobanteIngreso[[#This Row],[RUN]],T_Voluntarios[],11,FALSE)),"No Existe",VLOOKUP(T_ComprobanteIngreso[[#This Row],[RUN]],T_Voluntarios[],11,FALSE))</f>
        <v>Lobatos</v>
      </c>
      <c r="G21" s="38">
        <f>IF(ISERROR(VLOOKUP(T_ComprobanteIngreso[[#This Row],[RUN]],T_Voluntarios[],37,FALSE)),"No Existe",VLOOKUP(T_ComprobanteIngreso[[#This Row],[RUN]],T_Voluntarios[],37,FALSE))</f>
        <v>50000</v>
      </c>
      <c r="H21" t="str" cm="1">
        <f t="array" ref="H21">PROPER(NUMEROSALETRAS(T_ComprobanteIngreso[[#This Row],[CUOTA]]))&amp;" pesos"</f>
        <v>Cincuenta Mil pesos</v>
      </c>
    </row>
    <row r="22" spans="1:8" x14ac:dyDescent="0.3">
      <c r="A22" t="s">
        <v>1556</v>
      </c>
      <c r="B22" t="str">
        <f>IF(ISERROR(VLOOKUP(T_ComprobanteIngreso[[#This Row],[RUN]],T_Voluntarios[],3,FALSE)),"No Existe",VLOOKUP(T_ComprobanteIngreso[[#This Row],[RUN]],T_Voluntarios[],3,FALSE))</f>
        <v>Lisbet Almendra Matamala Sandoval</v>
      </c>
      <c r="C22" s="80" t="s">
        <v>3268</v>
      </c>
      <c r="D22" t="str">
        <f>IF(ISERROR(VLOOKUP(T_ComprobanteIngreso[[#This Row],[RUN]],T_Voluntarios[],9,FALSE)),"No Existe",VLOOKUP(T_ComprobanteIngreso[[#This Row],[RUN]],T_Voluntarios[],9,FALSE))</f>
        <v>Participante</v>
      </c>
      <c r="E22" t="str">
        <f>IF(ISERROR(VLOOKUP(T_ComprobanteIngreso[[#This Row],[RUN]],T_Voluntarios[],10,FALSE)),"No Existe",VLOOKUP(T_ComprobanteIngreso[[#This Row],[RUN]],T_Voluntarios[],10,FALSE))</f>
        <v>La Montaña</v>
      </c>
      <c r="F22" t="str">
        <f>IF(ISERROR(VLOOKUP(T_ComprobanteIngreso[[#This Row],[RUN]],T_Voluntarios[],11,FALSE)),"No Existe",VLOOKUP(T_ComprobanteIngreso[[#This Row],[RUN]],T_Voluntarios[],11,FALSE))</f>
        <v>Guias</v>
      </c>
      <c r="G22" s="38">
        <f>IF(ISERROR(VLOOKUP(T_ComprobanteIngreso[[#This Row],[RUN]],T_Voluntarios[],37,FALSE)),"No Existe",VLOOKUP(T_ComprobanteIngreso[[#This Row],[RUN]],T_Voluntarios[],37,FALSE))</f>
        <v>50000</v>
      </c>
      <c r="H22" t="str" cm="1">
        <f t="array" ref="H22">PROPER(NUMEROSALETRAS(T_ComprobanteIngreso[[#This Row],[CUOTA]]))&amp;" pesos"</f>
        <v>Cincuenta Mil pesos</v>
      </c>
    </row>
    <row r="23" spans="1:8" x14ac:dyDescent="0.3">
      <c r="A23" t="s">
        <v>1022</v>
      </c>
      <c r="B23" t="str">
        <f>IF(ISERROR(VLOOKUP(T_ComprobanteIngreso[[#This Row],[RUN]],T_Voluntarios[],3,FALSE)),"No Existe",VLOOKUP(T_ComprobanteIngreso[[#This Row],[RUN]],T_Voluntarios[],3,FALSE))</f>
        <v>Katherin Valeska Bañados Henriquez</v>
      </c>
      <c r="C23" s="80" t="s">
        <v>3269</v>
      </c>
      <c r="D23" t="str">
        <f>IF(ISERROR(VLOOKUP(T_ComprobanteIngreso[[#This Row],[RUN]],T_Voluntarios[],9,FALSE)),"No Existe",VLOOKUP(T_ComprobanteIngreso[[#This Row],[RUN]],T_Voluntarios[],9,FALSE))</f>
        <v>Participante</v>
      </c>
      <c r="E23" t="str">
        <f>IF(ISERROR(VLOOKUP(T_ComprobanteIngreso[[#This Row],[RUN]],T_Voluntarios[],10,FALSE)),"No Existe",VLOOKUP(T_ComprobanteIngreso[[#This Row],[RUN]],T_Voluntarios[],10,FALSE))</f>
        <v>Helen Keller</v>
      </c>
      <c r="F23" t="str">
        <f>IF(ISERROR(VLOOKUP(T_ComprobanteIngreso[[#This Row],[RUN]],T_Voluntarios[],11,FALSE)),"No Existe",VLOOKUP(T_ComprobanteIngreso[[#This Row],[RUN]],T_Voluntarios[],11,FALSE))</f>
        <v>Pioneros</v>
      </c>
      <c r="G23" s="38">
        <f>IF(ISERROR(VLOOKUP(T_ComprobanteIngreso[[#This Row],[RUN]],T_Voluntarios[],37,FALSE)),"No Existe",VLOOKUP(T_ComprobanteIngreso[[#This Row],[RUN]],T_Voluntarios[],37,FALSE))</f>
        <v>50000</v>
      </c>
      <c r="H23" t="str" cm="1">
        <f t="array" ref="H23">PROPER(NUMEROSALETRAS(T_ComprobanteIngreso[[#This Row],[CUOTA]]))&amp;" pesos"</f>
        <v>Cincuenta Mil pesos</v>
      </c>
    </row>
    <row r="24" spans="1:8" x14ac:dyDescent="0.3">
      <c r="A24" t="s">
        <v>1035</v>
      </c>
      <c r="B24" t="str">
        <f>IF(ISERROR(VLOOKUP(T_ComprobanteIngreso[[#This Row],[RUN]],T_Voluntarios[],3,FALSE)),"No Existe",VLOOKUP(T_ComprobanteIngreso[[#This Row],[RUN]],T_Voluntarios[],3,FALSE))</f>
        <v>Anita Bravo Cortez</v>
      </c>
      <c r="C24" s="80" t="s">
        <v>3270</v>
      </c>
      <c r="D24" t="str">
        <f>IF(ISERROR(VLOOKUP(T_ComprobanteIngreso[[#This Row],[RUN]],T_Voluntarios[],9,FALSE)),"No Existe",VLOOKUP(T_ComprobanteIngreso[[#This Row],[RUN]],T_Voluntarios[],9,FALSE))</f>
        <v>Participante</v>
      </c>
      <c r="E24" t="str">
        <f>IF(ISERROR(VLOOKUP(T_ComprobanteIngreso[[#This Row],[RUN]],T_Voluntarios[],10,FALSE)),"No Existe",VLOOKUP(T_ComprobanteIngreso[[#This Row],[RUN]],T_Voluntarios[],10,FALSE))</f>
        <v>La Montaña</v>
      </c>
      <c r="F24" t="str">
        <f>IF(ISERROR(VLOOKUP(T_ComprobanteIngreso[[#This Row],[RUN]],T_Voluntarios[],11,FALSE)),"No Existe",VLOOKUP(T_ComprobanteIngreso[[#This Row],[RUN]],T_Voluntarios[],11,FALSE))</f>
        <v>Lobatos</v>
      </c>
      <c r="G24" s="38">
        <f>IF(ISERROR(VLOOKUP(T_ComprobanteIngreso[[#This Row],[RUN]],T_Voluntarios[],37,FALSE)),"No Existe",VLOOKUP(T_ComprobanteIngreso[[#This Row],[RUN]],T_Voluntarios[],37,FALSE))</f>
        <v>50000</v>
      </c>
      <c r="H24" t="str" cm="1">
        <f t="array" ref="H24">PROPER(NUMEROSALETRAS(T_ComprobanteIngreso[[#This Row],[CUOTA]]))&amp;" pesos"</f>
        <v>Cincuenta Mil pesos</v>
      </c>
    </row>
    <row r="25" spans="1:8" x14ac:dyDescent="0.3">
      <c r="A25" t="s">
        <v>1045</v>
      </c>
      <c r="B25" t="str">
        <f>IF(ISERROR(VLOOKUP(T_ComprobanteIngreso[[#This Row],[RUN]],T_Voluntarios[],3,FALSE)),"No Existe",VLOOKUP(T_ComprobanteIngreso[[#This Row],[RUN]],T_Voluntarios[],3,FALSE))</f>
        <v>Antonia Belén Romero Campos</v>
      </c>
      <c r="C25" s="80" t="s">
        <v>3271</v>
      </c>
      <c r="D25" t="str">
        <f>IF(ISERROR(VLOOKUP(T_ComprobanteIngreso[[#This Row],[RUN]],T_Voluntarios[],9,FALSE)),"No Existe",VLOOKUP(T_ComprobanteIngreso[[#This Row],[RUN]],T_Voluntarios[],9,FALSE))</f>
        <v>Participante</v>
      </c>
      <c r="E25" t="str">
        <f>IF(ISERROR(VLOOKUP(T_ComprobanteIngreso[[#This Row],[RUN]],T_Voluntarios[],10,FALSE)),"No Existe",VLOOKUP(T_ComprobanteIngreso[[#This Row],[RUN]],T_Voluntarios[],10,FALSE))</f>
        <v>La Montaña</v>
      </c>
      <c r="F25" t="str">
        <f>IF(ISERROR(VLOOKUP(T_ComprobanteIngreso[[#This Row],[RUN]],T_Voluntarios[],11,FALSE)),"No Existe",VLOOKUP(T_ComprobanteIngreso[[#This Row],[RUN]],T_Voluntarios[],11,FALSE))</f>
        <v>Lobatos</v>
      </c>
      <c r="G25" s="38">
        <f>IF(ISERROR(VLOOKUP(T_ComprobanteIngreso[[#This Row],[RUN]],T_Voluntarios[],37,FALSE)),"No Existe",VLOOKUP(T_ComprobanteIngreso[[#This Row],[RUN]],T_Voluntarios[],37,FALSE))</f>
        <v>50000</v>
      </c>
      <c r="H25" t="str" cm="1">
        <f t="array" ref="H25">PROPER(NUMEROSALETRAS(T_ComprobanteIngreso[[#This Row],[CUOTA]]))&amp;" pesos"</f>
        <v>Cincuenta Mil pesos</v>
      </c>
    </row>
    <row r="26" spans="1:8" x14ac:dyDescent="0.3">
      <c r="A26" t="s">
        <v>1053</v>
      </c>
      <c r="B26" t="str">
        <f>IF(ISERROR(VLOOKUP(T_ComprobanteIngreso[[#This Row],[RUN]],T_Voluntarios[],3,FALSE)),"No Existe",VLOOKUP(T_ComprobanteIngreso[[#This Row],[RUN]],T_Voluntarios[],3,FALSE))</f>
        <v>Angela Andrea Feijoo Herrerra</v>
      </c>
      <c r="C26" s="80" t="s">
        <v>3272</v>
      </c>
      <c r="D26" t="str">
        <f>IF(ISERROR(VLOOKUP(T_ComprobanteIngreso[[#This Row],[RUN]],T_Voluntarios[],9,FALSE)),"No Existe",VLOOKUP(T_ComprobanteIngreso[[#This Row],[RUN]],T_Voluntarios[],9,FALSE))</f>
        <v>Participante</v>
      </c>
      <c r="E26" t="str">
        <f>IF(ISERROR(VLOOKUP(T_ComprobanteIngreso[[#This Row],[RUN]],T_Voluntarios[],10,FALSE)),"No Existe",VLOOKUP(T_ComprobanteIngreso[[#This Row],[RUN]],T_Voluntarios[],10,FALSE))</f>
        <v>Rañileufu</v>
      </c>
      <c r="F26" t="str">
        <f>IF(ISERROR(VLOOKUP(T_ComprobanteIngreso[[#This Row],[RUN]],T_Voluntarios[],11,FALSE)),"No Existe",VLOOKUP(T_ComprobanteIngreso[[#This Row],[RUN]],T_Voluntarios[],11,FALSE))</f>
        <v>Golondrinas</v>
      </c>
      <c r="G26" s="38">
        <f>IF(ISERROR(VLOOKUP(T_ComprobanteIngreso[[#This Row],[RUN]],T_Voluntarios[],37,FALSE)),"No Existe",VLOOKUP(T_ComprobanteIngreso[[#This Row],[RUN]],T_Voluntarios[],37,FALSE))</f>
        <v>50000</v>
      </c>
      <c r="H26" t="str" cm="1">
        <f t="array" ref="H26">PROPER(NUMEROSALETRAS(T_ComprobanteIngreso[[#This Row],[CUOTA]]))&amp;" pesos"</f>
        <v>Cincuenta Mil pesos</v>
      </c>
    </row>
    <row r="27" spans="1:8" x14ac:dyDescent="0.3">
      <c r="A27" t="s">
        <v>1065</v>
      </c>
      <c r="B27" t="str">
        <f>IF(ISERROR(VLOOKUP(T_ComprobanteIngreso[[#This Row],[RUN]],T_Voluntarios[],3,FALSE)),"No Existe",VLOOKUP(T_ComprobanteIngreso[[#This Row],[RUN]],T_Voluntarios[],3,FALSE))</f>
        <v>Isidora María Fernanda Sandoval Gutiérrez</v>
      </c>
      <c r="C27" s="80" t="s">
        <v>3273</v>
      </c>
      <c r="D27" t="str">
        <f>IF(ISERROR(VLOOKUP(T_ComprobanteIngreso[[#This Row],[RUN]],T_Voluntarios[],9,FALSE)),"No Existe",VLOOKUP(T_ComprobanteIngreso[[#This Row],[RUN]],T_Voluntarios[],9,FALSE))</f>
        <v>Participante</v>
      </c>
      <c r="E27" t="str">
        <f>IF(ISERROR(VLOOKUP(T_ComprobanteIngreso[[#This Row],[RUN]],T_Voluntarios[],10,FALSE)),"No Existe",VLOOKUP(T_ComprobanteIngreso[[#This Row],[RUN]],T_Voluntarios[],10,FALSE))</f>
        <v>La Montaña</v>
      </c>
      <c r="F27" t="str">
        <f>IF(ISERROR(VLOOKUP(T_ComprobanteIngreso[[#This Row],[RUN]],T_Voluntarios[],11,FALSE)),"No Existe",VLOOKUP(T_ComprobanteIngreso[[#This Row],[RUN]],T_Voluntarios[],11,FALSE))</f>
        <v>Guias</v>
      </c>
      <c r="G27" s="38">
        <f>IF(ISERROR(VLOOKUP(T_ComprobanteIngreso[[#This Row],[RUN]],T_Voluntarios[],37,FALSE)),"No Existe",VLOOKUP(T_ComprobanteIngreso[[#This Row],[RUN]],T_Voluntarios[],37,FALSE))</f>
        <v>50000</v>
      </c>
      <c r="H27" t="str" cm="1">
        <f t="array" ref="H27">PROPER(NUMEROSALETRAS(T_ComprobanteIngreso[[#This Row],[CUOTA]]))&amp;" pesos"</f>
        <v>Cincuenta Mil pesos</v>
      </c>
    </row>
    <row r="28" spans="1:8" x14ac:dyDescent="0.3">
      <c r="A28" t="s">
        <v>1072</v>
      </c>
      <c r="B28" t="str">
        <f>IF(ISERROR(VLOOKUP(T_ComprobanteIngreso[[#This Row],[RUN]],T_Voluntarios[],3,FALSE)),"No Existe",VLOOKUP(T_ComprobanteIngreso[[#This Row],[RUN]],T_Voluntarios[],3,FALSE))</f>
        <v>Javiera Jacqueline Jara Reyes</v>
      </c>
      <c r="C28" s="80" t="s">
        <v>3274</v>
      </c>
      <c r="D28" t="str">
        <f>IF(ISERROR(VLOOKUP(T_ComprobanteIngreso[[#This Row],[RUN]],T_Voluntarios[],9,FALSE)),"No Existe",VLOOKUP(T_ComprobanteIngreso[[#This Row],[RUN]],T_Voluntarios[],9,FALSE))</f>
        <v>Participante</v>
      </c>
      <c r="E28" t="str">
        <f>IF(ISERROR(VLOOKUP(T_ComprobanteIngreso[[#This Row],[RUN]],T_Voluntarios[],10,FALSE)),"No Existe",VLOOKUP(T_ComprobanteIngreso[[#This Row],[RUN]],T_Voluntarios[],10,FALSE))</f>
        <v>Huilliche</v>
      </c>
      <c r="F28" t="str">
        <f>IF(ISERROR(VLOOKUP(T_ComprobanteIngreso[[#This Row],[RUN]],T_Voluntarios[],11,FALSE)),"No Existe",VLOOKUP(T_ComprobanteIngreso[[#This Row],[RUN]],T_Voluntarios[],11,FALSE))</f>
        <v>Pioneros</v>
      </c>
      <c r="G28" s="38">
        <f>IF(ISERROR(VLOOKUP(T_ComprobanteIngreso[[#This Row],[RUN]],T_Voluntarios[],37,FALSE)),"No Existe",VLOOKUP(T_ComprobanteIngreso[[#This Row],[RUN]],T_Voluntarios[],37,FALSE))</f>
        <v>50000</v>
      </c>
      <c r="H28" t="str" cm="1">
        <f t="array" ref="H28">PROPER(NUMEROSALETRAS(T_ComprobanteIngreso[[#This Row],[CUOTA]]))&amp;" pesos"</f>
        <v>Cincuenta Mil pesos</v>
      </c>
    </row>
    <row r="29" spans="1:8" x14ac:dyDescent="0.3">
      <c r="A29" t="s">
        <v>1082</v>
      </c>
      <c r="B29" t="str">
        <f>IF(ISERROR(VLOOKUP(T_ComprobanteIngreso[[#This Row],[RUN]],T_Voluntarios[],3,FALSE)),"No Existe",VLOOKUP(T_ComprobanteIngreso[[#This Row],[RUN]],T_Voluntarios[],3,FALSE))</f>
        <v>Alfredo Andrés Placencia Valenzuela</v>
      </c>
      <c r="C29" s="80" t="s">
        <v>3275</v>
      </c>
      <c r="D29" t="str">
        <f>IF(ISERROR(VLOOKUP(T_ComprobanteIngreso[[#This Row],[RUN]],T_Voluntarios[],9,FALSE)),"No Existe",VLOOKUP(T_ComprobanteIngreso[[#This Row],[RUN]],T_Voluntarios[],9,FALSE))</f>
        <v>Participante</v>
      </c>
      <c r="E29" t="str">
        <f>IF(ISERROR(VLOOKUP(T_ComprobanteIngreso[[#This Row],[RUN]],T_Voluntarios[],10,FALSE)),"No Existe",VLOOKUP(T_ComprobanteIngreso[[#This Row],[RUN]],T_Voluntarios[],10,FALSE))</f>
        <v>Huilliche</v>
      </c>
      <c r="F29" t="str">
        <f>IF(ISERROR(VLOOKUP(T_ComprobanteIngreso[[#This Row],[RUN]],T_Voluntarios[],11,FALSE)),"No Existe",VLOOKUP(T_ComprobanteIngreso[[#This Row],[RUN]],T_Voluntarios[],11,FALSE))</f>
        <v>Scouts</v>
      </c>
      <c r="G29" s="38">
        <f>IF(ISERROR(VLOOKUP(T_ComprobanteIngreso[[#This Row],[RUN]],T_Voluntarios[],37,FALSE)),"No Existe",VLOOKUP(T_ComprobanteIngreso[[#This Row],[RUN]],T_Voluntarios[],37,FALSE))</f>
        <v>50000</v>
      </c>
      <c r="H29" t="str" cm="1">
        <f t="array" ref="H29">PROPER(NUMEROSALETRAS(T_ComprobanteIngreso[[#This Row],[CUOTA]]))&amp;" pesos"</f>
        <v>Cincuenta Mil pesos</v>
      </c>
    </row>
    <row r="30" spans="1:8" x14ac:dyDescent="0.3">
      <c r="A30" t="s">
        <v>1109</v>
      </c>
      <c r="B30" t="str">
        <f>IF(ISERROR(VLOOKUP(T_ComprobanteIngreso[[#This Row],[RUN]],T_Voluntarios[],3,FALSE)),"No Existe",VLOOKUP(T_ComprobanteIngreso[[#This Row],[RUN]],T_Voluntarios[],3,FALSE))</f>
        <v>Darío Alfonso Sheward Castillo</v>
      </c>
      <c r="C30" s="80" t="s">
        <v>3276</v>
      </c>
      <c r="D30" t="str">
        <f>IF(ISERROR(VLOOKUP(T_ComprobanteIngreso[[#This Row],[RUN]],T_Voluntarios[],9,FALSE)),"No Existe",VLOOKUP(T_ComprobanteIngreso[[#This Row],[RUN]],T_Voluntarios[],9,FALSE))</f>
        <v>Participante</v>
      </c>
      <c r="E30" t="str">
        <f>IF(ISERROR(VLOOKUP(T_ComprobanteIngreso[[#This Row],[RUN]],T_Voluntarios[],10,FALSE)),"No Existe",VLOOKUP(T_ComprobanteIngreso[[#This Row],[RUN]],T_Voluntarios[],10,FALSE))</f>
        <v>Rucapeñihue</v>
      </c>
      <c r="F30" t="str">
        <f>IF(ISERROR(VLOOKUP(T_ComprobanteIngreso[[#This Row],[RUN]],T_Voluntarios[],11,FALSE)),"No Existe",VLOOKUP(T_ComprobanteIngreso[[#This Row],[RUN]],T_Voluntarios[],11,FALSE))</f>
        <v>Guias</v>
      </c>
      <c r="G30" s="38">
        <f>IF(ISERROR(VLOOKUP(T_ComprobanteIngreso[[#This Row],[RUN]],T_Voluntarios[],37,FALSE)),"No Existe",VLOOKUP(T_ComprobanteIngreso[[#This Row],[RUN]],T_Voluntarios[],37,FALSE))</f>
        <v>36500</v>
      </c>
      <c r="H30" t="str" cm="1">
        <f t="array" ref="H30">PROPER(NUMEROSALETRAS(T_ComprobanteIngreso[[#This Row],[CUOTA]]))&amp;" pesos"</f>
        <v>Treinta Seis Mil Quinientos pesos</v>
      </c>
    </row>
    <row r="31" spans="1:8" x14ac:dyDescent="0.3">
      <c r="A31" t="s">
        <v>1120</v>
      </c>
      <c r="B31" t="str">
        <f>IF(ISERROR(VLOOKUP(T_ComprobanteIngreso[[#This Row],[RUN]],T_Voluntarios[],3,FALSE)),"No Existe",VLOOKUP(T_ComprobanteIngreso[[#This Row],[RUN]],T_Voluntarios[],3,FALSE))</f>
        <v>Emilia Belén Maturana Valverde</v>
      </c>
      <c r="C31" s="80" t="s">
        <v>3277</v>
      </c>
      <c r="D31" t="str">
        <f>IF(ISERROR(VLOOKUP(T_ComprobanteIngreso[[#This Row],[RUN]],T_Voluntarios[],9,FALSE)),"No Existe",VLOOKUP(T_ComprobanteIngreso[[#This Row],[RUN]],T_Voluntarios[],9,FALSE))</f>
        <v>Participante</v>
      </c>
      <c r="E31" t="str">
        <f>IF(ISERROR(VLOOKUP(T_ComprobanteIngreso[[#This Row],[RUN]],T_Voluntarios[],10,FALSE)),"No Existe",VLOOKUP(T_ComprobanteIngreso[[#This Row],[RUN]],T_Voluntarios[],10,FALSE))</f>
        <v>Sagrados Corazones</v>
      </c>
      <c r="F31" t="str">
        <f>IF(ISERROR(VLOOKUP(T_ComprobanteIngreso[[#This Row],[RUN]],T_Voluntarios[],11,FALSE)),"No Existe",VLOOKUP(T_ComprobanteIngreso[[#This Row],[RUN]],T_Voluntarios[],11,FALSE))</f>
        <v>Guias</v>
      </c>
      <c r="G31" s="38">
        <f>IF(ISERROR(VLOOKUP(T_ComprobanteIngreso[[#This Row],[RUN]],T_Voluntarios[],37,FALSE)),"No Existe",VLOOKUP(T_ComprobanteIngreso[[#This Row],[RUN]],T_Voluntarios[],37,FALSE))</f>
        <v>50000</v>
      </c>
      <c r="H31" t="str" cm="1">
        <f t="array" ref="H31">PROPER(NUMEROSALETRAS(T_ComprobanteIngreso[[#This Row],[CUOTA]]))&amp;" pesos"</f>
        <v>Cincuenta Mil pesos</v>
      </c>
    </row>
    <row r="32" spans="1:8" x14ac:dyDescent="0.3">
      <c r="A32" t="s">
        <v>1132</v>
      </c>
      <c r="B32" t="str">
        <f>IF(ISERROR(VLOOKUP(T_ComprobanteIngreso[[#This Row],[RUN]],T_Voluntarios[],3,FALSE)),"No Existe",VLOOKUP(T_ComprobanteIngreso[[#This Row],[RUN]],T_Voluntarios[],3,FALSE))</f>
        <v>Sofía Isabel Martínez Clavería</v>
      </c>
      <c r="C32" s="80" t="s">
        <v>3278</v>
      </c>
      <c r="D32" t="str">
        <f>IF(ISERROR(VLOOKUP(T_ComprobanteIngreso[[#This Row],[RUN]],T_Voluntarios[],9,FALSE)),"No Existe",VLOOKUP(T_ComprobanteIngreso[[#This Row],[RUN]],T_Voluntarios[],9,FALSE))</f>
        <v>Participante</v>
      </c>
      <c r="E32" t="str">
        <f>IF(ISERROR(VLOOKUP(T_ComprobanteIngreso[[#This Row],[RUN]],T_Voluntarios[],10,FALSE)),"No Existe",VLOOKUP(T_ComprobanteIngreso[[#This Row],[RUN]],T_Voluntarios[],10,FALSE))</f>
        <v>Rucapeñihue</v>
      </c>
      <c r="F32" t="str">
        <f>IF(ISERROR(VLOOKUP(T_ComprobanteIngreso[[#This Row],[RUN]],T_Voluntarios[],11,FALSE)),"No Existe",VLOOKUP(T_ComprobanteIngreso[[#This Row],[RUN]],T_Voluntarios[],11,FALSE))</f>
        <v>Pioneros</v>
      </c>
      <c r="G32" s="38">
        <f>IF(ISERROR(VLOOKUP(T_ComprobanteIngreso[[#This Row],[RUN]],T_Voluntarios[],37,FALSE)),"No Existe",VLOOKUP(T_ComprobanteIngreso[[#This Row],[RUN]],T_Voluntarios[],37,FALSE))</f>
        <v>36500</v>
      </c>
      <c r="H32" t="str" cm="1">
        <f t="array" ref="H32">PROPER(NUMEROSALETRAS(T_ComprobanteIngreso[[#This Row],[CUOTA]]))&amp;" pesos"</f>
        <v>Treinta Seis Mil Quinientos pesos</v>
      </c>
    </row>
    <row r="33" spans="1:8" x14ac:dyDescent="0.3">
      <c r="A33" t="s">
        <v>1141</v>
      </c>
      <c r="B33" t="str">
        <f>IF(ISERROR(VLOOKUP(T_ComprobanteIngreso[[#This Row],[RUN]],T_Voluntarios[],3,FALSE)),"No Existe",VLOOKUP(T_ComprobanteIngreso[[#This Row],[RUN]],T_Voluntarios[],3,FALSE))</f>
        <v>Antonia Isabel Venegas Larrere</v>
      </c>
      <c r="C33" s="80" t="s">
        <v>3279</v>
      </c>
      <c r="D33" t="str">
        <f>IF(ISERROR(VLOOKUP(T_ComprobanteIngreso[[#This Row],[RUN]],T_Voluntarios[],9,FALSE)),"No Existe",VLOOKUP(T_ComprobanteIngreso[[#This Row],[RUN]],T_Voluntarios[],9,FALSE))</f>
        <v>Participante</v>
      </c>
      <c r="E33" t="str">
        <f>IF(ISERROR(VLOOKUP(T_ComprobanteIngreso[[#This Row],[RUN]],T_Voluntarios[],10,FALSE)),"No Existe",VLOOKUP(T_ComprobanteIngreso[[#This Row],[RUN]],T_Voluntarios[],10,FALSE))</f>
        <v>Sagrados Corazones</v>
      </c>
      <c r="F33" t="str">
        <f>IF(ISERROR(VLOOKUP(T_ComprobanteIngreso[[#This Row],[RUN]],T_Voluntarios[],11,FALSE)),"No Existe",VLOOKUP(T_ComprobanteIngreso[[#This Row],[RUN]],T_Voluntarios[],11,FALSE))</f>
        <v>Guias</v>
      </c>
      <c r="G33" s="38">
        <f>IF(ISERROR(VLOOKUP(T_ComprobanteIngreso[[#This Row],[RUN]],T_Voluntarios[],37,FALSE)),"No Existe",VLOOKUP(T_ComprobanteIngreso[[#This Row],[RUN]],T_Voluntarios[],37,FALSE))</f>
        <v>50000</v>
      </c>
      <c r="H33" t="str" cm="1">
        <f t="array" ref="H33">PROPER(NUMEROSALETRAS(T_ComprobanteIngreso[[#This Row],[CUOTA]]))&amp;" pesos"</f>
        <v>Cincuenta Mil pesos</v>
      </c>
    </row>
    <row r="34" spans="1:8" x14ac:dyDescent="0.3">
      <c r="A34" t="s">
        <v>1151</v>
      </c>
      <c r="B34" t="str">
        <f>IF(ISERROR(VLOOKUP(T_ComprobanteIngreso[[#This Row],[RUN]],T_Voluntarios[],3,FALSE)),"No Existe",VLOOKUP(T_ComprobanteIngreso[[#This Row],[RUN]],T_Voluntarios[],3,FALSE))</f>
        <v>Carolina Francisca Silva Molina</v>
      </c>
      <c r="C34" s="80" t="s">
        <v>3280</v>
      </c>
      <c r="D34" t="str">
        <f>IF(ISERROR(VLOOKUP(T_ComprobanteIngreso[[#This Row],[RUN]],T_Voluntarios[],9,FALSE)),"No Existe",VLOOKUP(T_ComprobanteIngreso[[#This Row],[RUN]],T_Voluntarios[],9,FALSE))</f>
        <v>Participante</v>
      </c>
      <c r="E34" t="str">
        <f>IF(ISERROR(VLOOKUP(T_ComprobanteIngreso[[#This Row],[RUN]],T_Voluntarios[],10,FALSE)),"No Existe",VLOOKUP(T_ComprobanteIngreso[[#This Row],[RUN]],T_Voluntarios[],10,FALSE))</f>
        <v>Rucapeñihue</v>
      </c>
      <c r="F34" t="str">
        <f>IF(ISERROR(VLOOKUP(T_ComprobanteIngreso[[#This Row],[RUN]],T_Voluntarios[],11,FALSE)),"No Existe",VLOOKUP(T_ComprobanteIngreso[[#This Row],[RUN]],T_Voluntarios[],11,FALSE))</f>
        <v>Guias</v>
      </c>
      <c r="G34" s="38">
        <f>IF(ISERROR(VLOOKUP(T_ComprobanteIngreso[[#This Row],[RUN]],T_Voluntarios[],37,FALSE)),"No Existe",VLOOKUP(T_ComprobanteIngreso[[#This Row],[RUN]],T_Voluntarios[],37,FALSE))</f>
        <v>36500</v>
      </c>
      <c r="H34" t="str" cm="1">
        <f t="array" ref="H34">PROPER(NUMEROSALETRAS(T_ComprobanteIngreso[[#This Row],[CUOTA]]))&amp;" pesos"</f>
        <v>Treinta Seis Mil Quinientos pesos</v>
      </c>
    </row>
    <row r="35" spans="1:8" x14ac:dyDescent="0.3">
      <c r="A35" t="s">
        <v>1163</v>
      </c>
      <c r="B35" t="str">
        <f>IF(ISERROR(VLOOKUP(T_ComprobanteIngreso[[#This Row],[RUN]],T_Voluntarios[],3,FALSE)),"No Existe",VLOOKUP(T_ComprobanteIngreso[[#This Row],[RUN]],T_Voluntarios[],3,FALSE))</f>
        <v>Fernanda Javiera Pérez Figueroa</v>
      </c>
      <c r="C35" s="80" t="s">
        <v>3281</v>
      </c>
      <c r="D35" t="str">
        <f>IF(ISERROR(VLOOKUP(T_ComprobanteIngreso[[#This Row],[RUN]],T_Voluntarios[],9,FALSE)),"No Existe",VLOOKUP(T_ComprobanteIngreso[[#This Row],[RUN]],T_Voluntarios[],9,FALSE))</f>
        <v>Participante</v>
      </c>
      <c r="E35" t="str">
        <f>IF(ISERROR(VLOOKUP(T_ComprobanteIngreso[[#This Row],[RUN]],T_Voluntarios[],10,FALSE)),"No Existe",VLOOKUP(T_ComprobanteIngreso[[#This Row],[RUN]],T_Voluntarios[],10,FALSE))</f>
        <v>Rucapeñihue</v>
      </c>
      <c r="F35" t="str">
        <f>IF(ISERROR(VLOOKUP(T_ComprobanteIngreso[[#This Row],[RUN]],T_Voluntarios[],11,FALSE)),"No Existe",VLOOKUP(T_ComprobanteIngreso[[#This Row],[RUN]],T_Voluntarios[],11,FALSE))</f>
        <v>Lobatos</v>
      </c>
      <c r="G35" s="38">
        <f>IF(ISERROR(VLOOKUP(T_ComprobanteIngreso[[#This Row],[RUN]],T_Voluntarios[],37,FALSE)),"No Existe",VLOOKUP(T_ComprobanteIngreso[[#This Row],[RUN]],T_Voluntarios[],37,FALSE))</f>
        <v>36500</v>
      </c>
      <c r="H35" t="str" cm="1">
        <f t="array" ref="H35">PROPER(NUMEROSALETRAS(T_ComprobanteIngreso[[#This Row],[CUOTA]]))&amp;" pesos"</f>
        <v>Treinta Seis Mil Quinientos pesos</v>
      </c>
    </row>
    <row r="36" spans="1:8" x14ac:dyDescent="0.3">
      <c r="A36" t="s">
        <v>1176</v>
      </c>
      <c r="B36" t="str">
        <f>IF(ISERROR(VLOOKUP(T_ComprobanteIngreso[[#This Row],[RUN]],T_Voluntarios[],3,FALSE)),"No Existe",VLOOKUP(T_ComprobanteIngreso[[#This Row],[RUN]],T_Voluntarios[],3,FALSE))</f>
        <v>Angela Belén Martínez Clavería</v>
      </c>
      <c r="C36" s="80" t="s">
        <v>3282</v>
      </c>
      <c r="D36" t="str">
        <f>IF(ISERROR(VLOOKUP(T_ComprobanteIngreso[[#This Row],[RUN]],T_Voluntarios[],9,FALSE)),"No Existe",VLOOKUP(T_ComprobanteIngreso[[#This Row],[RUN]],T_Voluntarios[],9,FALSE))</f>
        <v>Participante</v>
      </c>
      <c r="E36" t="str">
        <f>IF(ISERROR(VLOOKUP(T_ComprobanteIngreso[[#This Row],[RUN]],T_Voluntarios[],10,FALSE)),"No Existe",VLOOKUP(T_ComprobanteIngreso[[#This Row],[RUN]],T_Voluntarios[],10,FALSE))</f>
        <v>Rucapeñihue</v>
      </c>
      <c r="F36" t="str">
        <f>IF(ISERROR(VLOOKUP(T_ComprobanteIngreso[[#This Row],[RUN]],T_Voluntarios[],11,FALSE)),"No Existe",VLOOKUP(T_ComprobanteIngreso[[#This Row],[RUN]],T_Voluntarios[],11,FALSE))</f>
        <v>Pioneros</v>
      </c>
      <c r="G36" s="38">
        <f>IF(ISERROR(VLOOKUP(T_ComprobanteIngreso[[#This Row],[RUN]],T_Voluntarios[],37,FALSE)),"No Existe",VLOOKUP(T_ComprobanteIngreso[[#This Row],[RUN]],T_Voluntarios[],37,FALSE))</f>
        <v>36500</v>
      </c>
      <c r="H36" t="str" cm="1">
        <f t="array" ref="H36">PROPER(NUMEROSALETRAS(T_ComprobanteIngreso[[#This Row],[CUOTA]]))&amp;" pesos"</f>
        <v>Treinta Seis Mil Quinientos pesos</v>
      </c>
    </row>
    <row r="37" spans="1:8" x14ac:dyDescent="0.3">
      <c r="A37" t="s">
        <v>1557</v>
      </c>
      <c r="B37" t="str">
        <f>IF(ISERROR(VLOOKUP(T_ComprobanteIngreso[[#This Row],[RUN]],T_Voluntarios[],3,FALSE)),"No Existe",VLOOKUP(T_ComprobanteIngreso[[#This Row],[RUN]],T_Voluntarios[],3,FALSE))</f>
        <v>Álvaro Andrés Toledo Seguel</v>
      </c>
      <c r="C37" s="80" t="s">
        <v>3283</v>
      </c>
      <c r="D37" t="str">
        <f>IF(ISERROR(VLOOKUP(T_ComprobanteIngreso[[#This Row],[RUN]],T_Voluntarios[],9,FALSE)),"No Existe",VLOOKUP(T_ComprobanteIngreso[[#This Row],[RUN]],T_Voluntarios[],9,FALSE))</f>
        <v>Participante</v>
      </c>
      <c r="E37" t="str">
        <f>IF(ISERROR(VLOOKUP(T_ComprobanteIngreso[[#This Row],[RUN]],T_Voluntarios[],10,FALSE)),"No Existe",VLOOKUP(T_ComprobanteIngreso[[#This Row],[RUN]],T_Voluntarios[],10,FALSE))</f>
        <v>La Montaña</v>
      </c>
      <c r="F37" t="str">
        <f>IF(ISERROR(VLOOKUP(T_ComprobanteIngreso[[#This Row],[RUN]],T_Voluntarios[],11,FALSE)),"No Existe",VLOOKUP(T_ComprobanteIngreso[[#This Row],[RUN]],T_Voluntarios[],11,FALSE))</f>
        <v>Caminantes</v>
      </c>
      <c r="G37" s="38">
        <f>IF(ISERROR(VLOOKUP(T_ComprobanteIngreso[[#This Row],[RUN]],T_Voluntarios[],37,FALSE)),"No Existe",VLOOKUP(T_ComprobanteIngreso[[#This Row],[RUN]],T_Voluntarios[],37,FALSE))</f>
        <v>50000</v>
      </c>
      <c r="H37" t="str" cm="1">
        <f t="array" ref="H37">PROPER(NUMEROSALETRAS(T_ComprobanteIngreso[[#This Row],[CUOTA]]))&amp;" pesos"</f>
        <v>Cincuenta Mil pesos</v>
      </c>
    </row>
    <row r="38" spans="1:8" x14ac:dyDescent="0.3">
      <c r="A38" t="s">
        <v>1194</v>
      </c>
      <c r="B38" t="str">
        <f>IF(ISERROR(VLOOKUP(T_ComprobanteIngreso[[#This Row],[RUN]],T_Voluntarios[],3,FALSE)),"No Existe",VLOOKUP(T_ComprobanteIngreso[[#This Row],[RUN]],T_Voluntarios[],3,FALSE))</f>
        <v>Camila Francisca Guala Troncoso</v>
      </c>
      <c r="C38" s="80" t="s">
        <v>3284</v>
      </c>
      <c r="D38" t="str">
        <f>IF(ISERROR(VLOOKUP(T_ComprobanteIngreso[[#This Row],[RUN]],T_Voluntarios[],9,FALSE)),"No Existe",VLOOKUP(T_ComprobanteIngreso[[#This Row],[RUN]],T_Voluntarios[],9,FALSE))</f>
        <v>Participante</v>
      </c>
      <c r="E38" t="str">
        <f>IF(ISERROR(VLOOKUP(T_ComprobanteIngreso[[#This Row],[RUN]],T_Voluntarios[],10,FALSE)),"No Existe",VLOOKUP(T_ComprobanteIngreso[[#This Row],[RUN]],T_Voluntarios[],10,FALSE))</f>
        <v>Rucapeñihue</v>
      </c>
      <c r="F38" t="str">
        <f>IF(ISERROR(VLOOKUP(T_ComprobanteIngreso[[#This Row],[RUN]],T_Voluntarios[],11,FALSE)),"No Existe",VLOOKUP(T_ComprobanteIngreso[[#This Row],[RUN]],T_Voluntarios[],11,FALSE))</f>
        <v>Lobatos</v>
      </c>
      <c r="G38" s="38">
        <f>IF(ISERROR(VLOOKUP(T_ComprobanteIngreso[[#This Row],[RUN]],T_Voluntarios[],37,FALSE)),"No Existe",VLOOKUP(T_ComprobanteIngreso[[#This Row],[RUN]],T_Voluntarios[],37,FALSE))</f>
        <v>36500</v>
      </c>
      <c r="H38" t="str" cm="1">
        <f t="array" ref="H38">PROPER(NUMEROSALETRAS(T_ComprobanteIngreso[[#This Row],[CUOTA]]))&amp;" pesos"</f>
        <v>Treinta Seis Mil Quinientos pesos</v>
      </c>
    </row>
    <row r="39" spans="1:8" x14ac:dyDescent="0.3">
      <c r="A39" t="s">
        <v>1204</v>
      </c>
      <c r="B39" t="str">
        <f>IF(ISERROR(VLOOKUP(T_ComprobanteIngreso[[#This Row],[RUN]],T_Voluntarios[],3,FALSE)),"No Existe",VLOOKUP(T_ComprobanteIngreso[[#This Row],[RUN]],T_Voluntarios[],3,FALSE))</f>
        <v>Camila Andrea Rodriguez Vargas</v>
      </c>
      <c r="C39" s="80" t="s">
        <v>3285</v>
      </c>
      <c r="D39" t="str">
        <f>IF(ISERROR(VLOOKUP(T_ComprobanteIngreso[[#This Row],[RUN]],T_Voluntarios[],9,FALSE)),"No Existe",VLOOKUP(T_ComprobanteIngreso[[#This Row],[RUN]],T_Voluntarios[],9,FALSE))</f>
        <v>Participante</v>
      </c>
      <c r="E39" t="str">
        <f>IF(ISERROR(VLOOKUP(T_ComprobanteIngreso[[#This Row],[RUN]],T_Voluntarios[],10,FALSE)),"No Existe",VLOOKUP(T_ComprobanteIngreso[[#This Row],[RUN]],T_Voluntarios[],10,FALSE))</f>
        <v>Rucapeñihue</v>
      </c>
      <c r="F39" t="str">
        <f>IF(ISERROR(VLOOKUP(T_ComprobanteIngreso[[#This Row],[RUN]],T_Voluntarios[],11,FALSE)),"No Existe",VLOOKUP(T_ComprobanteIngreso[[#This Row],[RUN]],T_Voluntarios[],11,FALSE))</f>
        <v>Guias</v>
      </c>
      <c r="G39" s="38">
        <f>IF(ISERROR(VLOOKUP(T_ComprobanteIngreso[[#This Row],[RUN]],T_Voluntarios[],37,FALSE)),"No Existe",VLOOKUP(T_ComprobanteIngreso[[#This Row],[RUN]],T_Voluntarios[],37,FALSE))</f>
        <v>36500</v>
      </c>
      <c r="H39" t="str" cm="1">
        <f t="array" ref="H39">PROPER(NUMEROSALETRAS(T_ComprobanteIngreso[[#This Row],[CUOTA]]))&amp;" pesos"</f>
        <v>Treinta Seis Mil Quinientos pesos</v>
      </c>
    </row>
    <row r="40" spans="1:8" x14ac:dyDescent="0.3">
      <c r="A40" t="s">
        <v>1215</v>
      </c>
      <c r="B40" t="str">
        <f>IF(ISERROR(VLOOKUP(T_ComprobanteIngreso[[#This Row],[RUN]],T_Voluntarios[],3,FALSE)),"No Existe",VLOOKUP(T_ComprobanteIngreso[[#This Row],[RUN]],T_Voluntarios[],3,FALSE))</f>
        <v>Santiago Khalil Constenla Arias</v>
      </c>
      <c r="C40" s="80" t="s">
        <v>3286</v>
      </c>
      <c r="D40" t="str">
        <f>IF(ISERROR(VLOOKUP(T_ComprobanteIngreso[[#This Row],[RUN]],T_Voluntarios[],9,FALSE)),"No Existe",VLOOKUP(T_ComprobanteIngreso[[#This Row],[RUN]],T_Voluntarios[],9,FALSE))</f>
        <v>Participante</v>
      </c>
      <c r="E40" t="str">
        <f>IF(ISERROR(VLOOKUP(T_ComprobanteIngreso[[#This Row],[RUN]],T_Voluntarios[],10,FALSE)),"No Existe",VLOOKUP(T_ComprobanteIngreso[[#This Row],[RUN]],T_Voluntarios[],10,FALSE))</f>
        <v>Rucapeñihue</v>
      </c>
      <c r="F40" t="str">
        <f>IF(ISERROR(VLOOKUP(T_ComprobanteIngreso[[#This Row],[RUN]],T_Voluntarios[],11,FALSE)),"No Existe",VLOOKUP(T_ComprobanteIngreso[[#This Row],[RUN]],T_Voluntarios[],11,FALSE))</f>
        <v>Pioneros</v>
      </c>
      <c r="G40" s="38">
        <f>IF(ISERROR(VLOOKUP(T_ComprobanteIngreso[[#This Row],[RUN]],T_Voluntarios[],37,FALSE)),"No Existe",VLOOKUP(T_ComprobanteIngreso[[#This Row],[RUN]],T_Voluntarios[],37,FALSE))</f>
        <v>36500</v>
      </c>
      <c r="H40" t="str" cm="1">
        <f t="array" ref="H40">PROPER(NUMEROSALETRAS(T_ComprobanteIngreso[[#This Row],[CUOTA]]))&amp;" pesos"</f>
        <v>Treinta Seis Mil Quinientos pesos</v>
      </c>
    </row>
    <row r="41" spans="1:8" x14ac:dyDescent="0.3">
      <c r="A41" t="s">
        <v>1558</v>
      </c>
      <c r="B41" t="str">
        <f>IF(ISERROR(VLOOKUP(T_ComprobanteIngreso[[#This Row],[RUN]],T_Voluntarios[],3,FALSE)),"No Existe",VLOOKUP(T_ComprobanteIngreso[[#This Row],[RUN]],T_Voluntarios[],3,FALSE))</f>
        <v>Diego Henríquez Valenzuela</v>
      </c>
      <c r="C41" s="80" t="s">
        <v>3287</v>
      </c>
      <c r="D41" t="str">
        <f>IF(ISERROR(VLOOKUP(T_ComprobanteIngreso[[#This Row],[RUN]],T_Voluntarios[],9,FALSE)),"No Existe",VLOOKUP(T_ComprobanteIngreso[[#This Row],[RUN]],T_Voluntarios[],9,FALSE))</f>
        <v>Participante</v>
      </c>
      <c r="E41" t="str">
        <f>IF(ISERROR(VLOOKUP(T_ComprobanteIngreso[[#This Row],[RUN]],T_Voluntarios[],10,FALSE)),"No Existe",VLOOKUP(T_ComprobanteIngreso[[#This Row],[RUN]],T_Voluntarios[],10,FALSE))</f>
        <v>Rucapeñihue</v>
      </c>
      <c r="F41" t="str">
        <f>IF(ISERROR(VLOOKUP(T_ComprobanteIngreso[[#This Row],[RUN]],T_Voluntarios[],11,FALSE)),"No Existe",VLOOKUP(T_ComprobanteIngreso[[#This Row],[RUN]],T_Voluntarios[],11,FALSE))</f>
        <v>Caminantes</v>
      </c>
      <c r="G41" s="38">
        <f>IF(ISERROR(VLOOKUP(T_ComprobanteIngreso[[#This Row],[RUN]],T_Voluntarios[],37,FALSE)),"No Existe",VLOOKUP(T_ComprobanteIngreso[[#This Row],[RUN]],T_Voluntarios[],37,FALSE))</f>
        <v>36500</v>
      </c>
      <c r="H41" t="str" cm="1">
        <f t="array" ref="H41">PROPER(NUMEROSALETRAS(T_ComprobanteIngreso[[#This Row],[CUOTA]]))&amp;" pesos"</f>
        <v>Treinta Seis Mil Quinientos pesos</v>
      </c>
    </row>
    <row r="42" spans="1:8" x14ac:dyDescent="0.3">
      <c r="A42" t="s">
        <v>1248</v>
      </c>
      <c r="B42" t="str">
        <f>IF(ISERROR(VLOOKUP(T_ComprobanteIngreso[[#This Row],[RUN]],T_Voluntarios[],3,FALSE)),"No Existe",VLOOKUP(T_ComprobanteIngreso[[#This Row],[RUN]],T_Voluntarios[],3,FALSE))</f>
        <v>Katherine Jahel Acuña Farias</v>
      </c>
      <c r="C42" s="80" t="s">
        <v>3288</v>
      </c>
      <c r="D42" t="str">
        <f>IF(ISERROR(VLOOKUP(T_ComprobanteIngreso[[#This Row],[RUN]],T_Voluntarios[],9,FALSE)),"No Existe",VLOOKUP(T_ComprobanteIngreso[[#This Row],[RUN]],T_Voluntarios[],9,FALSE))</f>
        <v>Participante</v>
      </c>
      <c r="E42" t="str">
        <f>IF(ISERROR(VLOOKUP(T_ComprobanteIngreso[[#This Row],[RUN]],T_Voluntarios[],10,FALSE)),"No Existe",VLOOKUP(T_ComprobanteIngreso[[#This Row],[RUN]],T_Voluntarios[],10,FALSE))</f>
        <v>Santa Bárbara</v>
      </c>
      <c r="F42" t="str">
        <f>IF(ISERROR(VLOOKUP(T_ComprobanteIngreso[[#This Row],[RUN]],T_Voluntarios[],11,FALSE)),"No Existe",VLOOKUP(T_ComprobanteIngreso[[#This Row],[RUN]],T_Voluntarios[],11,FALSE))</f>
        <v>Scouts</v>
      </c>
      <c r="G42" s="38">
        <f>IF(ISERROR(VLOOKUP(T_ComprobanteIngreso[[#This Row],[RUN]],T_Voluntarios[],37,FALSE)),"No Existe",VLOOKUP(T_ComprobanteIngreso[[#This Row],[RUN]],T_Voluntarios[],37,FALSE))</f>
        <v>50000</v>
      </c>
      <c r="H42" t="str" cm="1">
        <f t="array" ref="H42">PROPER(NUMEROSALETRAS(T_ComprobanteIngreso[[#This Row],[CUOTA]]))&amp;" pesos"</f>
        <v>Cincuenta Mil pesos</v>
      </c>
    </row>
    <row r="43" spans="1:8" x14ac:dyDescent="0.3">
      <c r="A43" t="s">
        <v>1257</v>
      </c>
      <c r="B43" t="str">
        <f>IF(ISERROR(VLOOKUP(T_ComprobanteIngreso[[#This Row],[RUN]],T_Voluntarios[],3,FALSE)),"No Existe",VLOOKUP(T_ComprobanteIngreso[[#This Row],[RUN]],T_Voluntarios[],3,FALSE))</f>
        <v>Catalina Torres Muñoz</v>
      </c>
      <c r="C43" s="80" t="s">
        <v>3289</v>
      </c>
      <c r="D43" t="str">
        <f>IF(ISERROR(VLOOKUP(T_ComprobanteIngreso[[#This Row],[RUN]],T_Voluntarios[],9,FALSE)),"No Existe",VLOOKUP(T_ComprobanteIngreso[[#This Row],[RUN]],T_Voluntarios[],9,FALSE))</f>
        <v>Participante</v>
      </c>
      <c r="E43" t="str">
        <f>IF(ISERROR(VLOOKUP(T_ComprobanteIngreso[[#This Row],[RUN]],T_Voluntarios[],10,FALSE)),"No Existe",VLOOKUP(T_ComprobanteIngreso[[#This Row],[RUN]],T_Voluntarios[],10,FALSE))</f>
        <v>Santa Bárbara</v>
      </c>
      <c r="F43" t="str">
        <f>IF(ISERROR(VLOOKUP(T_ComprobanteIngreso[[#This Row],[RUN]],T_Voluntarios[],11,FALSE)),"No Existe",VLOOKUP(T_ComprobanteIngreso[[#This Row],[RUN]],T_Voluntarios[],11,FALSE))</f>
        <v>Guias</v>
      </c>
      <c r="G43" s="38">
        <f>IF(ISERROR(VLOOKUP(T_ComprobanteIngreso[[#This Row],[RUN]],T_Voluntarios[],37,FALSE)),"No Existe",VLOOKUP(T_ComprobanteIngreso[[#This Row],[RUN]],T_Voluntarios[],37,FALSE))</f>
        <v>36500</v>
      </c>
      <c r="H43" t="str" cm="1">
        <f t="array" ref="H43">PROPER(NUMEROSALETRAS(T_ComprobanteIngreso[[#This Row],[CUOTA]]))&amp;" pesos"</f>
        <v>Treinta Seis Mil Quinientos pesos</v>
      </c>
    </row>
    <row r="44" spans="1:8" x14ac:dyDescent="0.3">
      <c r="A44" t="s">
        <v>1264</v>
      </c>
      <c r="B44" t="str">
        <f>IF(ISERROR(VLOOKUP(T_ComprobanteIngreso[[#This Row],[RUN]],T_Voluntarios[],3,FALSE)),"No Existe",VLOOKUP(T_ComprobanteIngreso[[#This Row],[RUN]],T_Voluntarios[],3,FALSE))</f>
        <v>Paulina Andrea Fuentealba Gutiérrez</v>
      </c>
      <c r="C44" s="80" t="s">
        <v>3290</v>
      </c>
      <c r="D44" t="str">
        <f>IF(ISERROR(VLOOKUP(T_ComprobanteIngreso[[#This Row],[RUN]],T_Voluntarios[],9,FALSE)),"No Existe",VLOOKUP(T_ComprobanteIngreso[[#This Row],[RUN]],T_Voluntarios[],9,FALSE))</f>
        <v>Participante</v>
      </c>
      <c r="E44" t="str">
        <f>IF(ISERROR(VLOOKUP(T_ComprobanteIngreso[[#This Row],[RUN]],T_Voluntarios[],10,FALSE)),"No Existe",VLOOKUP(T_ComprobanteIngreso[[#This Row],[RUN]],T_Voluntarios[],10,FALSE))</f>
        <v>Huilliche</v>
      </c>
      <c r="F44" t="str">
        <f>IF(ISERROR(VLOOKUP(T_ComprobanteIngreso[[#This Row],[RUN]],T_Voluntarios[],11,FALSE)),"No Existe",VLOOKUP(T_ComprobanteIngreso[[#This Row],[RUN]],T_Voluntarios[],11,FALSE))</f>
        <v>Pioneros</v>
      </c>
      <c r="G44" s="38">
        <f>IF(ISERROR(VLOOKUP(T_ComprobanteIngreso[[#This Row],[RUN]],T_Voluntarios[],37,FALSE)),"No Existe",VLOOKUP(T_ComprobanteIngreso[[#This Row],[RUN]],T_Voluntarios[],37,FALSE))</f>
        <v>50000</v>
      </c>
      <c r="H44" t="str" cm="1">
        <f t="array" ref="H44">PROPER(NUMEROSALETRAS(T_ComprobanteIngreso[[#This Row],[CUOTA]]))&amp;" pesos"</f>
        <v>Cincuenta Mil pesos</v>
      </c>
    </row>
    <row r="45" spans="1:8" x14ac:dyDescent="0.3">
      <c r="A45" t="s">
        <v>1276</v>
      </c>
      <c r="B45" t="str">
        <f>IF(ISERROR(VLOOKUP(T_ComprobanteIngreso[[#This Row],[RUN]],T_Voluntarios[],3,FALSE)),"No Existe",VLOOKUP(T_ComprobanteIngreso[[#This Row],[RUN]],T_Voluntarios[],3,FALSE))</f>
        <v>Octavio Antonio Cortés Lara</v>
      </c>
      <c r="C45" s="80" t="s">
        <v>3291</v>
      </c>
      <c r="D45" t="str">
        <f>IF(ISERROR(VLOOKUP(T_ComprobanteIngreso[[#This Row],[RUN]],T_Voluntarios[],9,FALSE)),"No Existe",VLOOKUP(T_ComprobanteIngreso[[#This Row],[RUN]],T_Voluntarios[],9,FALSE))</f>
        <v>Participante</v>
      </c>
      <c r="E45" t="str">
        <f>IF(ISERROR(VLOOKUP(T_ComprobanteIngreso[[#This Row],[RUN]],T_Voluntarios[],10,FALSE)),"No Existe",VLOOKUP(T_ComprobanteIngreso[[#This Row],[RUN]],T_Voluntarios[],10,FALSE))</f>
        <v>San Ignacio de Loyola</v>
      </c>
      <c r="F45" t="str">
        <f>IF(ISERROR(VLOOKUP(T_ComprobanteIngreso[[#This Row],[RUN]],T_Voluntarios[],11,FALSE)),"No Existe",VLOOKUP(T_ComprobanteIngreso[[#This Row],[RUN]],T_Voluntarios[],11,FALSE))</f>
        <v>Pioneros</v>
      </c>
      <c r="G45" s="38">
        <f>IF(ISERROR(VLOOKUP(T_ComprobanteIngreso[[#This Row],[RUN]],T_Voluntarios[],37,FALSE)),"No Existe",VLOOKUP(T_ComprobanteIngreso[[#This Row],[RUN]],T_Voluntarios[],37,FALSE))</f>
        <v>50000</v>
      </c>
      <c r="H45" t="str" cm="1">
        <f t="array" ref="H45">PROPER(NUMEROSALETRAS(T_ComprobanteIngreso[[#This Row],[CUOTA]]))&amp;" pesos"</f>
        <v>Cincuenta Mil pesos</v>
      </c>
    </row>
    <row r="46" spans="1:8" x14ac:dyDescent="0.3">
      <c r="A46" t="s">
        <v>1288</v>
      </c>
      <c r="B46" t="str">
        <f>IF(ISERROR(VLOOKUP(T_ComprobanteIngreso[[#This Row],[RUN]],T_Voluntarios[],3,FALSE)),"No Existe",VLOOKUP(T_ComprobanteIngreso[[#This Row],[RUN]],T_Voluntarios[],3,FALSE))</f>
        <v>Antonia Belén Rodriguez Garay</v>
      </c>
      <c r="C46" s="80" t="s">
        <v>3292</v>
      </c>
      <c r="D46" t="str">
        <f>IF(ISERROR(VLOOKUP(T_ComprobanteIngreso[[#This Row],[RUN]],T_Voluntarios[],9,FALSE)),"No Existe",VLOOKUP(T_ComprobanteIngreso[[#This Row],[RUN]],T_Voluntarios[],9,FALSE))</f>
        <v>Participante</v>
      </c>
      <c r="E46" t="str">
        <f>IF(ISERROR(VLOOKUP(T_ComprobanteIngreso[[#This Row],[RUN]],T_Voluntarios[],10,FALSE)),"No Existe",VLOOKUP(T_ComprobanteIngreso[[#This Row],[RUN]],T_Voluntarios[],10,FALSE))</f>
        <v>La Montaña</v>
      </c>
      <c r="F46" t="str">
        <f>IF(ISERROR(VLOOKUP(T_ComprobanteIngreso[[#This Row],[RUN]],T_Voluntarios[],11,FALSE)),"No Existe",VLOOKUP(T_ComprobanteIngreso[[#This Row],[RUN]],T_Voluntarios[],11,FALSE))</f>
        <v>Lobatos</v>
      </c>
      <c r="G46" s="38">
        <f>IF(ISERROR(VLOOKUP(T_ComprobanteIngreso[[#This Row],[RUN]],T_Voluntarios[],37,FALSE)),"No Existe",VLOOKUP(T_ComprobanteIngreso[[#This Row],[RUN]],T_Voluntarios[],37,FALSE))</f>
        <v>50000</v>
      </c>
      <c r="H46" t="str" cm="1">
        <f t="array" ref="H46">PROPER(NUMEROSALETRAS(T_ComprobanteIngreso[[#This Row],[CUOTA]]))&amp;" pesos"</f>
        <v>Cincuenta Mil pesos</v>
      </c>
    </row>
    <row r="47" spans="1:8" x14ac:dyDescent="0.3">
      <c r="A47" t="s">
        <v>1295</v>
      </c>
      <c r="B47" t="str">
        <f>IF(ISERROR(VLOOKUP(T_ComprobanteIngreso[[#This Row],[RUN]],T_Voluntarios[],3,FALSE)),"No Existe",VLOOKUP(T_ComprobanteIngreso[[#This Row],[RUN]],T_Voluntarios[],3,FALSE))</f>
        <v>Fernanda Nicol Lagos González</v>
      </c>
      <c r="C47" s="80" t="s">
        <v>3293</v>
      </c>
      <c r="D47" t="str">
        <f>IF(ISERROR(VLOOKUP(T_ComprobanteIngreso[[#This Row],[RUN]],T_Voluntarios[],9,FALSE)),"No Existe",VLOOKUP(T_ComprobanteIngreso[[#This Row],[RUN]],T_Voluntarios[],9,FALSE))</f>
        <v>Participante</v>
      </c>
      <c r="E47" t="str">
        <f>IF(ISERROR(VLOOKUP(T_ComprobanteIngreso[[#This Row],[RUN]],T_Voluntarios[],10,FALSE)),"No Existe",VLOOKUP(T_ComprobanteIngreso[[#This Row],[RUN]],T_Voluntarios[],10,FALSE))</f>
        <v>Espíritu Santo</v>
      </c>
      <c r="F47" t="str">
        <f>IF(ISERROR(VLOOKUP(T_ComprobanteIngreso[[#This Row],[RUN]],T_Voluntarios[],11,FALSE)),"No Existe",VLOOKUP(T_ComprobanteIngreso[[#This Row],[RUN]],T_Voluntarios[],11,FALSE))</f>
        <v>Lobatos</v>
      </c>
      <c r="G47" s="38">
        <f>IF(ISERROR(VLOOKUP(T_ComprobanteIngreso[[#This Row],[RUN]],T_Voluntarios[],37,FALSE)),"No Existe",VLOOKUP(T_ComprobanteIngreso[[#This Row],[RUN]],T_Voluntarios[],37,FALSE))</f>
        <v>50000</v>
      </c>
      <c r="H47" t="str" cm="1">
        <f t="array" ref="H47">PROPER(NUMEROSALETRAS(T_ComprobanteIngreso[[#This Row],[CUOTA]]))&amp;" pesos"</f>
        <v>Cincuenta Mil pesos</v>
      </c>
    </row>
    <row r="48" spans="1:8" x14ac:dyDescent="0.3">
      <c r="A48" t="s">
        <v>1306</v>
      </c>
      <c r="B48" t="str">
        <f>IF(ISERROR(VLOOKUP(T_ComprobanteIngreso[[#This Row],[RUN]],T_Voluntarios[],3,FALSE)),"No Existe",VLOOKUP(T_ComprobanteIngreso[[#This Row],[RUN]],T_Voluntarios[],3,FALSE))</f>
        <v>Nicole Belén Leiva Villalobos</v>
      </c>
      <c r="C48" s="80" t="s">
        <v>3294</v>
      </c>
      <c r="D48" t="str">
        <f>IF(ISERROR(VLOOKUP(T_ComprobanteIngreso[[#This Row],[RUN]],T_Voluntarios[],9,FALSE)),"No Existe",VLOOKUP(T_ComprobanteIngreso[[#This Row],[RUN]],T_Voluntarios[],9,FALSE))</f>
        <v>Participante</v>
      </c>
      <c r="E48" t="str">
        <f>IF(ISERROR(VLOOKUP(T_ComprobanteIngreso[[#This Row],[RUN]],T_Voluntarios[],10,FALSE)),"No Existe",VLOOKUP(T_ComprobanteIngreso[[#This Row],[RUN]],T_Voluntarios[],10,FALSE))</f>
        <v>Sagrada Familia</v>
      </c>
      <c r="F48" t="str">
        <f>IF(ISERROR(VLOOKUP(T_ComprobanteIngreso[[#This Row],[RUN]],T_Voluntarios[],11,FALSE)),"No Existe",VLOOKUP(T_ComprobanteIngreso[[#This Row],[RUN]],T_Voluntarios[],11,FALSE))</f>
        <v>Golondrinas</v>
      </c>
      <c r="G48" s="38">
        <f>IF(ISERROR(VLOOKUP(T_ComprobanteIngreso[[#This Row],[RUN]],T_Voluntarios[],37,FALSE)),"No Existe",VLOOKUP(T_ComprobanteIngreso[[#This Row],[RUN]],T_Voluntarios[],37,FALSE))</f>
        <v>36500</v>
      </c>
      <c r="H48" t="str" cm="1">
        <f t="array" ref="H48">PROPER(NUMEROSALETRAS(T_ComprobanteIngreso[[#This Row],[CUOTA]]))&amp;" pesos"</f>
        <v>Treinta Seis Mil Quinientos pesos</v>
      </c>
    </row>
    <row r="49" spans="1:8" x14ac:dyDescent="0.3">
      <c r="A49" t="s">
        <v>1316</v>
      </c>
      <c r="B49" t="str">
        <f>IF(ISERROR(VLOOKUP(T_ComprobanteIngreso[[#This Row],[RUN]],T_Voluntarios[],3,FALSE)),"No Existe",VLOOKUP(T_ComprobanteIngreso[[#This Row],[RUN]],T_Voluntarios[],3,FALSE))</f>
        <v>Mariaignacia Paulina Belmar Manríquez</v>
      </c>
      <c r="C49" s="80" t="s">
        <v>3295</v>
      </c>
      <c r="D49" t="str">
        <f>IF(ISERROR(VLOOKUP(T_ComprobanteIngreso[[#This Row],[RUN]],T_Voluntarios[],9,FALSE)),"No Existe",VLOOKUP(T_ComprobanteIngreso[[#This Row],[RUN]],T_Voluntarios[],9,FALSE))</f>
        <v>Participante</v>
      </c>
      <c r="E49" t="str">
        <f>IF(ISERROR(VLOOKUP(T_ComprobanteIngreso[[#This Row],[RUN]],T_Voluntarios[],10,FALSE)),"No Existe",VLOOKUP(T_ComprobanteIngreso[[#This Row],[RUN]],T_Voluntarios[],10,FALSE))</f>
        <v>La Montaña</v>
      </c>
      <c r="F49" t="str">
        <f>IF(ISERROR(VLOOKUP(T_ComprobanteIngreso[[#This Row],[RUN]],T_Voluntarios[],11,FALSE)),"No Existe",VLOOKUP(T_ComprobanteIngreso[[#This Row],[RUN]],T_Voluntarios[],11,FALSE))</f>
        <v>Scouts</v>
      </c>
      <c r="G49" s="38">
        <f>IF(ISERROR(VLOOKUP(T_ComprobanteIngreso[[#This Row],[RUN]],T_Voluntarios[],37,FALSE)),"No Existe",VLOOKUP(T_ComprobanteIngreso[[#This Row],[RUN]],T_Voluntarios[],37,FALSE))</f>
        <v>50000</v>
      </c>
      <c r="H49" t="str" cm="1">
        <f t="array" ref="H49">PROPER(NUMEROSALETRAS(T_ComprobanteIngreso[[#This Row],[CUOTA]]))&amp;" pesos"</f>
        <v>Cincuenta Mil pesos</v>
      </c>
    </row>
    <row r="50" spans="1:8" x14ac:dyDescent="0.3">
      <c r="A50" t="s">
        <v>1325</v>
      </c>
      <c r="B50" t="str">
        <f>IF(ISERROR(VLOOKUP(T_ComprobanteIngreso[[#This Row],[RUN]],T_Voluntarios[],3,FALSE)),"No Existe",VLOOKUP(T_ComprobanteIngreso[[#This Row],[RUN]],T_Voluntarios[],3,FALSE))</f>
        <v>Rocío Andrea Utreras Troncoso</v>
      </c>
      <c r="C50" s="80" t="s">
        <v>3296</v>
      </c>
      <c r="D50" t="str">
        <f>IF(ISERROR(VLOOKUP(T_ComprobanteIngreso[[#This Row],[RUN]],T_Voluntarios[],9,FALSE)),"No Existe",VLOOKUP(T_ComprobanteIngreso[[#This Row],[RUN]],T_Voluntarios[],9,FALSE))</f>
        <v>Participante</v>
      </c>
      <c r="E50" t="str">
        <f>IF(ISERROR(VLOOKUP(T_ComprobanteIngreso[[#This Row],[RUN]],T_Voluntarios[],10,FALSE)),"No Existe",VLOOKUP(T_ComprobanteIngreso[[#This Row],[RUN]],T_Voluntarios[],10,FALSE))</f>
        <v>Rucapeñihue</v>
      </c>
      <c r="F50" t="str">
        <f>IF(ISERROR(VLOOKUP(T_ComprobanteIngreso[[#This Row],[RUN]],T_Voluntarios[],11,FALSE)),"No Existe",VLOOKUP(T_ComprobanteIngreso[[#This Row],[RUN]],T_Voluntarios[],11,FALSE))</f>
        <v>Golondrinas</v>
      </c>
      <c r="G50" s="38">
        <f>IF(ISERROR(VLOOKUP(T_ComprobanteIngreso[[#This Row],[RUN]],T_Voluntarios[],37,FALSE)),"No Existe",VLOOKUP(T_ComprobanteIngreso[[#This Row],[RUN]],T_Voluntarios[],37,FALSE))</f>
        <v>36500</v>
      </c>
      <c r="H50" t="str" cm="1">
        <f t="array" ref="H50">PROPER(NUMEROSALETRAS(T_ComprobanteIngreso[[#This Row],[CUOTA]]))&amp;" pesos"</f>
        <v>Treinta Seis Mil Quinientos pesos</v>
      </c>
    </row>
    <row r="51" spans="1:8" x14ac:dyDescent="0.3">
      <c r="A51" t="s">
        <v>1340</v>
      </c>
      <c r="B51" t="str">
        <f>IF(ISERROR(VLOOKUP(T_ComprobanteIngreso[[#This Row],[RUN]],T_Voluntarios[],3,FALSE)),"No Existe",VLOOKUP(T_ComprobanteIngreso[[#This Row],[RUN]],T_Voluntarios[],3,FALSE))</f>
        <v>Carla Andrea Contreras Novoa</v>
      </c>
      <c r="C51" s="80" t="s">
        <v>3297</v>
      </c>
      <c r="D51" t="str">
        <f>IF(ISERROR(VLOOKUP(T_ComprobanteIngreso[[#This Row],[RUN]],T_Voluntarios[],9,FALSE)),"No Existe",VLOOKUP(T_ComprobanteIngreso[[#This Row],[RUN]],T_Voluntarios[],9,FALSE))</f>
        <v>Participante</v>
      </c>
      <c r="E51" t="str">
        <f>IF(ISERROR(VLOOKUP(T_ComprobanteIngreso[[#This Row],[RUN]],T_Voluntarios[],10,FALSE)),"No Existe",VLOOKUP(T_ComprobanteIngreso[[#This Row],[RUN]],T_Voluntarios[],10,FALSE))</f>
        <v>San Bartolomé</v>
      </c>
      <c r="F51" t="str">
        <f>IF(ISERROR(VLOOKUP(T_ComprobanteIngreso[[#This Row],[RUN]],T_Voluntarios[],11,FALSE)),"No Existe",VLOOKUP(T_ComprobanteIngreso[[#This Row],[RUN]],T_Voluntarios[],11,FALSE))</f>
        <v>Guias</v>
      </c>
      <c r="G51" s="38">
        <f>IF(ISERROR(VLOOKUP(T_ComprobanteIngreso[[#This Row],[RUN]],T_Voluntarios[],37,FALSE)),"No Existe",VLOOKUP(T_ComprobanteIngreso[[#This Row],[RUN]],T_Voluntarios[],37,FALSE))</f>
        <v>36500</v>
      </c>
      <c r="H51" t="str" cm="1">
        <f t="array" ref="H51">PROPER(NUMEROSALETRAS(T_ComprobanteIngreso[[#This Row],[CUOTA]]))&amp;" pesos"</f>
        <v>Treinta Seis Mil Quinientos pesos</v>
      </c>
    </row>
    <row r="52" spans="1:8" x14ac:dyDescent="0.3">
      <c r="A52" t="s">
        <v>1350</v>
      </c>
      <c r="B52" t="str">
        <f>IF(ISERROR(VLOOKUP(T_ComprobanteIngreso[[#This Row],[RUN]],T_Voluntarios[],3,FALSE)),"No Existe",VLOOKUP(T_ComprobanteIngreso[[#This Row],[RUN]],T_Voluntarios[],3,FALSE))</f>
        <v>Italo Gustavo Vergara Pacheco</v>
      </c>
      <c r="C52" s="80" t="s">
        <v>3298</v>
      </c>
      <c r="D52" t="str">
        <f>IF(ISERROR(VLOOKUP(T_ComprobanteIngreso[[#This Row],[RUN]],T_Voluntarios[],9,FALSE)),"No Existe",VLOOKUP(T_ComprobanteIngreso[[#This Row],[RUN]],T_Voluntarios[],9,FALSE))</f>
        <v>Participante</v>
      </c>
      <c r="E52" t="str">
        <f>IF(ISERROR(VLOOKUP(T_ComprobanteIngreso[[#This Row],[RUN]],T_Voluntarios[],10,FALSE)),"No Existe",VLOOKUP(T_ComprobanteIngreso[[#This Row],[RUN]],T_Voluntarios[],10,FALSE))</f>
        <v>Sagrada Familia</v>
      </c>
      <c r="F52" t="str">
        <f>IF(ISERROR(VLOOKUP(T_ComprobanteIngreso[[#This Row],[RUN]],T_Voluntarios[],11,FALSE)),"No Existe",VLOOKUP(T_ComprobanteIngreso[[#This Row],[RUN]],T_Voluntarios[],11,FALSE))</f>
        <v>Scouts</v>
      </c>
      <c r="G52" s="38">
        <f>IF(ISERROR(VLOOKUP(T_ComprobanteIngreso[[#This Row],[RUN]],T_Voluntarios[],37,FALSE)),"No Existe",VLOOKUP(T_ComprobanteIngreso[[#This Row],[RUN]],T_Voluntarios[],37,FALSE))</f>
        <v>50000</v>
      </c>
      <c r="H52" t="str" cm="1">
        <f t="array" ref="H52">PROPER(NUMEROSALETRAS(T_ComprobanteIngreso[[#This Row],[CUOTA]]))&amp;" pesos"</f>
        <v>Cincuenta Mil pesos</v>
      </c>
    </row>
    <row r="53" spans="1:8" x14ac:dyDescent="0.3">
      <c r="A53" t="s">
        <v>1369</v>
      </c>
      <c r="B53" t="str">
        <f>IF(ISERROR(VLOOKUP(T_ComprobanteIngreso[[#This Row],[RUN]],T_Voluntarios[],3,FALSE)),"No Existe",VLOOKUP(T_ComprobanteIngreso[[#This Row],[RUN]],T_Voluntarios[],3,FALSE))</f>
        <v>Milovan Christopher Jesús San Martín Manríquez</v>
      </c>
      <c r="C53" s="80" t="s">
        <v>3299</v>
      </c>
      <c r="D53" t="str">
        <f>IF(ISERROR(VLOOKUP(T_ComprobanteIngreso[[#This Row],[RUN]],T_Voluntarios[],9,FALSE)),"No Existe",VLOOKUP(T_ComprobanteIngreso[[#This Row],[RUN]],T_Voluntarios[],9,FALSE))</f>
        <v>Participante</v>
      </c>
      <c r="E53" t="str">
        <f>IF(ISERROR(VLOOKUP(T_ComprobanteIngreso[[#This Row],[RUN]],T_Voluntarios[],10,FALSE)),"No Existe",VLOOKUP(T_ComprobanteIngreso[[#This Row],[RUN]],T_Voluntarios[],10,FALSE))</f>
        <v>San Bartolomé</v>
      </c>
      <c r="F53" t="str">
        <f>IF(ISERROR(VLOOKUP(T_ComprobanteIngreso[[#This Row],[RUN]],T_Voluntarios[],11,FALSE)),"No Existe",VLOOKUP(T_ComprobanteIngreso[[#This Row],[RUN]],T_Voluntarios[],11,FALSE))</f>
        <v>Guias</v>
      </c>
      <c r="G53" s="38">
        <f>IF(ISERROR(VLOOKUP(T_ComprobanteIngreso[[#This Row],[RUN]],T_Voluntarios[],37,FALSE)),"No Existe",VLOOKUP(T_ComprobanteIngreso[[#This Row],[RUN]],T_Voluntarios[],37,FALSE))</f>
        <v>36500</v>
      </c>
      <c r="H53" t="str" cm="1">
        <f t="array" ref="H53">PROPER(NUMEROSALETRAS(T_ComprobanteIngreso[[#This Row],[CUOTA]]))&amp;" pesos"</f>
        <v>Treinta Seis Mil Quinientos pesos</v>
      </c>
    </row>
    <row r="54" spans="1:8" x14ac:dyDescent="0.3">
      <c r="A54" t="s">
        <v>1380</v>
      </c>
      <c r="B54" t="str">
        <f>IF(ISERROR(VLOOKUP(T_ComprobanteIngreso[[#This Row],[RUN]],T_Voluntarios[],3,FALSE)),"No Existe",VLOOKUP(T_ComprobanteIngreso[[#This Row],[RUN]],T_Voluntarios[],3,FALSE))</f>
        <v>Erik Jesus Antonio Mariqueo Rodriguez</v>
      </c>
      <c r="C54" s="80" t="s">
        <v>3300</v>
      </c>
      <c r="D54" t="str">
        <f>IF(ISERROR(VLOOKUP(T_ComprobanteIngreso[[#This Row],[RUN]],T_Voluntarios[],9,FALSE)),"No Existe",VLOOKUP(T_ComprobanteIngreso[[#This Row],[RUN]],T_Voluntarios[],9,FALSE))</f>
        <v>Participante</v>
      </c>
      <c r="E54" t="str">
        <f>IF(ISERROR(VLOOKUP(T_ComprobanteIngreso[[#This Row],[RUN]],T_Voluntarios[],10,FALSE)),"No Existe",VLOOKUP(T_ComprobanteIngreso[[#This Row],[RUN]],T_Voluntarios[],10,FALSE))</f>
        <v>La Montaña</v>
      </c>
      <c r="F54" t="str">
        <f>IF(ISERROR(VLOOKUP(T_ComprobanteIngreso[[#This Row],[RUN]],T_Voluntarios[],11,FALSE)),"No Existe",VLOOKUP(T_ComprobanteIngreso[[#This Row],[RUN]],T_Voluntarios[],11,FALSE))</f>
        <v>Scouts</v>
      </c>
      <c r="G54" s="38">
        <f>IF(ISERROR(VLOOKUP(T_ComprobanteIngreso[[#This Row],[RUN]],T_Voluntarios[],37,FALSE)),"No Existe",VLOOKUP(T_ComprobanteIngreso[[#This Row],[RUN]],T_Voluntarios[],37,FALSE))</f>
        <v>50000</v>
      </c>
      <c r="H54" t="str" cm="1">
        <f t="array" ref="H54">PROPER(NUMEROSALETRAS(T_ComprobanteIngreso[[#This Row],[CUOTA]]))&amp;" pesos"</f>
        <v>Cincuenta Mil pesos</v>
      </c>
    </row>
    <row r="55" spans="1:8" x14ac:dyDescent="0.3">
      <c r="A55" t="s">
        <v>1389</v>
      </c>
      <c r="B55" t="str">
        <f>IF(ISERROR(VLOOKUP(T_ComprobanteIngreso[[#This Row],[RUN]],T_Voluntarios[],3,FALSE)),"No Existe",VLOOKUP(T_ComprobanteIngreso[[#This Row],[RUN]],T_Voluntarios[],3,FALSE))</f>
        <v>Martin Nicolas Quintana Bravo</v>
      </c>
      <c r="C55" s="80" t="s">
        <v>3301</v>
      </c>
      <c r="D55" t="str">
        <f>IF(ISERROR(VLOOKUP(T_ComprobanteIngreso[[#This Row],[RUN]],T_Voluntarios[],9,FALSE)),"No Existe",VLOOKUP(T_ComprobanteIngreso[[#This Row],[RUN]],T_Voluntarios[],9,FALSE))</f>
        <v>Participante</v>
      </c>
      <c r="E55" t="str">
        <f>IF(ISERROR(VLOOKUP(T_ComprobanteIngreso[[#This Row],[RUN]],T_Voluntarios[],10,FALSE)),"No Existe",VLOOKUP(T_ComprobanteIngreso[[#This Row],[RUN]],T_Voluntarios[],10,FALSE))</f>
        <v>San Bartolomé</v>
      </c>
      <c r="F55" t="str">
        <f>IF(ISERROR(VLOOKUP(T_ComprobanteIngreso[[#This Row],[RUN]],T_Voluntarios[],11,FALSE)),"No Existe",VLOOKUP(T_ComprobanteIngreso[[#This Row],[RUN]],T_Voluntarios[],11,FALSE))</f>
        <v>Lobatos</v>
      </c>
      <c r="G55" s="38">
        <f>IF(ISERROR(VLOOKUP(T_ComprobanteIngreso[[#This Row],[RUN]],T_Voluntarios[],37,FALSE)),"No Existe",VLOOKUP(T_ComprobanteIngreso[[#This Row],[RUN]],T_Voluntarios[],37,FALSE))</f>
        <v>36500</v>
      </c>
      <c r="H55" t="str" cm="1">
        <f t="array" ref="H55">PROPER(NUMEROSALETRAS(T_ComprobanteIngreso[[#This Row],[CUOTA]]))&amp;" pesos"</f>
        <v>Treinta Seis Mil Quinientos pesos</v>
      </c>
    </row>
    <row r="56" spans="1:8" x14ac:dyDescent="0.3">
      <c r="A56" t="s">
        <v>1396</v>
      </c>
      <c r="B56" t="str">
        <f>IF(ISERROR(VLOOKUP(T_ComprobanteIngreso[[#This Row],[RUN]],T_Voluntarios[],3,FALSE)),"No Existe",VLOOKUP(T_ComprobanteIngreso[[#This Row],[RUN]],T_Voluntarios[],3,FALSE))</f>
        <v>Rafaela Medel Bustamante</v>
      </c>
      <c r="C56" s="80" t="s">
        <v>3302</v>
      </c>
      <c r="D56" t="str">
        <f>IF(ISERROR(VLOOKUP(T_ComprobanteIngreso[[#This Row],[RUN]],T_Voluntarios[],9,FALSE)),"No Existe",VLOOKUP(T_ComprobanteIngreso[[#This Row],[RUN]],T_Voluntarios[],9,FALSE))</f>
        <v>Participante</v>
      </c>
      <c r="E56" t="str">
        <f>IF(ISERROR(VLOOKUP(T_ComprobanteIngreso[[#This Row],[RUN]],T_Voluntarios[],10,FALSE)),"No Existe",VLOOKUP(T_ComprobanteIngreso[[#This Row],[RUN]],T_Voluntarios[],10,FALSE))</f>
        <v>San Bartolomé</v>
      </c>
      <c r="F56" t="str">
        <f>IF(ISERROR(VLOOKUP(T_ComprobanteIngreso[[#This Row],[RUN]],T_Voluntarios[],11,FALSE)),"No Existe",VLOOKUP(T_ComprobanteIngreso[[#This Row],[RUN]],T_Voluntarios[],11,FALSE))</f>
        <v>Guias</v>
      </c>
      <c r="G56" s="38">
        <f>IF(ISERROR(VLOOKUP(T_ComprobanteIngreso[[#This Row],[RUN]],T_Voluntarios[],37,FALSE)),"No Existe",VLOOKUP(T_ComprobanteIngreso[[#This Row],[RUN]],T_Voluntarios[],37,FALSE))</f>
        <v>36500</v>
      </c>
      <c r="H56" t="str" cm="1">
        <f t="array" ref="H56">PROPER(NUMEROSALETRAS(T_ComprobanteIngreso[[#This Row],[CUOTA]]))&amp;" pesos"</f>
        <v>Treinta Seis Mil Quinientos pesos</v>
      </c>
    </row>
    <row r="57" spans="1:8" x14ac:dyDescent="0.3">
      <c r="A57" t="s">
        <v>1406</v>
      </c>
      <c r="B57" t="str">
        <f>IF(ISERROR(VLOOKUP(T_ComprobanteIngreso[[#This Row],[RUN]],T_Voluntarios[],3,FALSE)),"No Existe",VLOOKUP(T_ComprobanteIngreso[[#This Row],[RUN]],T_Voluntarios[],3,FALSE))</f>
        <v>Nicolás Andrés Figueroa Orellana</v>
      </c>
      <c r="C57" s="80" t="s">
        <v>3303</v>
      </c>
      <c r="D57" t="str">
        <f>IF(ISERROR(VLOOKUP(T_ComprobanteIngreso[[#This Row],[RUN]],T_Voluntarios[],9,FALSE)),"No Existe",VLOOKUP(T_ComprobanteIngreso[[#This Row],[RUN]],T_Voluntarios[],9,FALSE))</f>
        <v>Participante</v>
      </c>
      <c r="E57" t="str">
        <f>IF(ISERROR(VLOOKUP(T_ComprobanteIngreso[[#This Row],[RUN]],T_Voluntarios[],10,FALSE)),"No Existe",VLOOKUP(T_ComprobanteIngreso[[#This Row],[RUN]],T_Voluntarios[],10,FALSE))</f>
        <v>San Bartolomé</v>
      </c>
      <c r="F57" t="str">
        <f>IF(ISERROR(VLOOKUP(T_ComprobanteIngreso[[#This Row],[RUN]],T_Voluntarios[],11,FALSE)),"No Existe",VLOOKUP(T_ComprobanteIngreso[[#This Row],[RUN]],T_Voluntarios[],11,FALSE))</f>
        <v>Scouts</v>
      </c>
      <c r="G57" s="38">
        <f>IF(ISERROR(VLOOKUP(T_ComprobanteIngreso[[#This Row],[RUN]],T_Voluntarios[],37,FALSE)),"No Existe",VLOOKUP(T_ComprobanteIngreso[[#This Row],[RUN]],T_Voluntarios[],37,FALSE))</f>
        <v>36500</v>
      </c>
      <c r="H57" t="str" cm="1">
        <f t="array" ref="H57">PROPER(NUMEROSALETRAS(T_ComprobanteIngreso[[#This Row],[CUOTA]]))&amp;" pesos"</f>
        <v>Treinta Seis Mil Quinientos pesos</v>
      </c>
    </row>
    <row r="58" spans="1:8" x14ac:dyDescent="0.3">
      <c r="A58" t="s">
        <v>1415</v>
      </c>
      <c r="B58" t="str">
        <f>IF(ISERROR(VLOOKUP(T_ComprobanteIngreso[[#This Row],[RUN]],T_Voluntarios[],3,FALSE)),"No Existe",VLOOKUP(T_ComprobanteIngreso[[#This Row],[RUN]],T_Voluntarios[],3,FALSE))</f>
        <v>Sebastián Alejandro Bravo García</v>
      </c>
      <c r="C58" s="80" t="s">
        <v>3304</v>
      </c>
      <c r="D58" t="str">
        <f>IF(ISERROR(VLOOKUP(T_ComprobanteIngreso[[#This Row],[RUN]],T_Voluntarios[],9,FALSE)),"No Existe",VLOOKUP(T_ComprobanteIngreso[[#This Row],[RUN]],T_Voluntarios[],9,FALSE))</f>
        <v>Participante</v>
      </c>
      <c r="E58" t="str">
        <f>IF(ISERROR(VLOOKUP(T_ComprobanteIngreso[[#This Row],[RUN]],T_Voluntarios[],10,FALSE)),"No Existe",VLOOKUP(T_ComprobanteIngreso[[#This Row],[RUN]],T_Voluntarios[],10,FALSE))</f>
        <v>San Bartolomé</v>
      </c>
      <c r="F58" t="str">
        <f>IF(ISERROR(VLOOKUP(T_ComprobanteIngreso[[#This Row],[RUN]],T_Voluntarios[],11,FALSE)),"No Existe",VLOOKUP(T_ComprobanteIngreso[[#This Row],[RUN]],T_Voluntarios[],11,FALSE))</f>
        <v>Scouts</v>
      </c>
      <c r="G58" s="38">
        <f>IF(ISERROR(VLOOKUP(T_ComprobanteIngreso[[#This Row],[RUN]],T_Voluntarios[],37,FALSE)),"No Existe",VLOOKUP(T_ComprobanteIngreso[[#This Row],[RUN]],T_Voluntarios[],37,FALSE))</f>
        <v>36500</v>
      </c>
      <c r="H58" t="str" cm="1">
        <f t="array" ref="H58">PROPER(NUMEROSALETRAS(T_ComprobanteIngreso[[#This Row],[CUOTA]]))&amp;" pesos"</f>
        <v>Treinta Seis Mil Quinientos pesos</v>
      </c>
    </row>
    <row r="59" spans="1:8" x14ac:dyDescent="0.3">
      <c r="A59" t="s">
        <v>1425</v>
      </c>
      <c r="B59" t="str">
        <f>IF(ISERROR(VLOOKUP(T_ComprobanteIngreso[[#This Row],[RUN]],T_Voluntarios[],3,FALSE)),"No Existe",VLOOKUP(T_ComprobanteIngreso[[#This Row],[RUN]],T_Voluntarios[],3,FALSE))</f>
        <v>Tomas Alberto Espinoza Muñoz</v>
      </c>
      <c r="C59" s="80" t="s">
        <v>3305</v>
      </c>
      <c r="D59" t="str">
        <f>IF(ISERROR(VLOOKUP(T_ComprobanteIngreso[[#This Row],[RUN]],T_Voluntarios[],9,FALSE)),"No Existe",VLOOKUP(T_ComprobanteIngreso[[#This Row],[RUN]],T_Voluntarios[],9,FALSE))</f>
        <v>Participante</v>
      </c>
      <c r="E59" t="str">
        <f>IF(ISERROR(VLOOKUP(T_ComprobanteIngreso[[#This Row],[RUN]],T_Voluntarios[],10,FALSE)),"No Existe",VLOOKUP(T_ComprobanteIngreso[[#This Row],[RUN]],T_Voluntarios[],10,FALSE))</f>
        <v>Sagrada Familia</v>
      </c>
      <c r="F59" t="str">
        <f>IF(ISERROR(VLOOKUP(T_ComprobanteIngreso[[#This Row],[RUN]],T_Voluntarios[],11,FALSE)),"No Existe",VLOOKUP(T_ComprobanteIngreso[[#This Row],[RUN]],T_Voluntarios[],11,FALSE))</f>
        <v>Scouts</v>
      </c>
      <c r="G59" s="38">
        <f>IF(ISERROR(VLOOKUP(T_ComprobanteIngreso[[#This Row],[RUN]],T_Voluntarios[],37,FALSE)),"No Existe",VLOOKUP(T_ComprobanteIngreso[[#This Row],[RUN]],T_Voluntarios[],37,FALSE))</f>
        <v>36500</v>
      </c>
      <c r="H59" t="str" cm="1">
        <f t="array" ref="H59">PROPER(NUMEROSALETRAS(T_ComprobanteIngreso[[#This Row],[CUOTA]]))&amp;" pesos"</f>
        <v>Treinta Seis Mil Quinientos pesos</v>
      </c>
    </row>
    <row r="60" spans="1:8" x14ac:dyDescent="0.3">
      <c r="A60" t="s">
        <v>1438</v>
      </c>
      <c r="B60" t="str">
        <f>IF(ISERROR(VLOOKUP(T_ComprobanteIngreso[[#This Row],[RUN]],T_Voluntarios[],3,FALSE)),"No Existe",VLOOKUP(T_ComprobanteIngreso[[#This Row],[RUN]],T_Voluntarios[],3,FALSE))</f>
        <v>Valentina Scarleth Vargas Rios</v>
      </c>
      <c r="C60" s="80" t="s">
        <v>3306</v>
      </c>
      <c r="D60" t="str">
        <f>IF(ISERROR(VLOOKUP(T_ComprobanteIngreso[[#This Row],[RUN]],T_Voluntarios[],9,FALSE)),"No Existe",VLOOKUP(T_ComprobanteIngreso[[#This Row],[RUN]],T_Voluntarios[],9,FALSE))</f>
        <v>Participante</v>
      </c>
      <c r="E60" t="str">
        <f>IF(ISERROR(VLOOKUP(T_ComprobanteIngreso[[#This Row],[RUN]],T_Voluntarios[],10,FALSE)),"No Existe",VLOOKUP(T_ComprobanteIngreso[[#This Row],[RUN]],T_Voluntarios[],10,FALSE))</f>
        <v>Sagrada Familia</v>
      </c>
      <c r="F60" t="str">
        <f>IF(ISERROR(VLOOKUP(T_ComprobanteIngreso[[#This Row],[RUN]],T_Voluntarios[],11,FALSE)),"No Existe",VLOOKUP(T_ComprobanteIngreso[[#This Row],[RUN]],T_Voluntarios[],11,FALSE))</f>
        <v>Golondrinas</v>
      </c>
      <c r="G60" s="38">
        <f>IF(ISERROR(VLOOKUP(T_ComprobanteIngreso[[#This Row],[RUN]],T_Voluntarios[],37,FALSE)),"No Existe",VLOOKUP(T_ComprobanteIngreso[[#This Row],[RUN]],T_Voluntarios[],37,FALSE))</f>
        <v>36500</v>
      </c>
      <c r="H60" t="str" cm="1">
        <f t="array" ref="H60">PROPER(NUMEROSALETRAS(T_ComprobanteIngreso[[#This Row],[CUOTA]]))&amp;" pesos"</f>
        <v>Treinta Seis Mil Quinientos pesos</v>
      </c>
    </row>
    <row r="61" spans="1:8" x14ac:dyDescent="0.3">
      <c r="A61" t="s">
        <v>1451</v>
      </c>
      <c r="B61" t="str">
        <f>IF(ISERROR(VLOOKUP(T_ComprobanteIngreso[[#This Row],[RUN]],T_Voluntarios[],3,FALSE)),"No Existe",VLOOKUP(T_ComprobanteIngreso[[#This Row],[RUN]],T_Voluntarios[],3,FALSE))</f>
        <v>Yertty Karina Sandoval Muñoz</v>
      </c>
      <c r="C61" s="80" t="s">
        <v>3307</v>
      </c>
      <c r="D61" t="str">
        <f>IF(ISERROR(VLOOKUP(T_ComprobanteIngreso[[#This Row],[RUN]],T_Voluntarios[],9,FALSE)),"No Existe",VLOOKUP(T_ComprobanteIngreso[[#This Row],[RUN]],T_Voluntarios[],9,FALSE))</f>
        <v>Participante</v>
      </c>
      <c r="E61" t="str">
        <f>IF(ISERROR(VLOOKUP(T_ComprobanteIngreso[[#This Row],[RUN]],T_Voluntarios[],10,FALSE)),"No Existe",VLOOKUP(T_ComprobanteIngreso[[#This Row],[RUN]],T_Voluntarios[],10,FALSE))</f>
        <v>Mahuidanche</v>
      </c>
      <c r="F61" t="str">
        <f>IF(ISERROR(VLOOKUP(T_ComprobanteIngreso[[#This Row],[RUN]],T_Voluntarios[],11,FALSE)),"No Existe",VLOOKUP(T_ComprobanteIngreso[[#This Row],[RUN]],T_Voluntarios[],11,FALSE))</f>
        <v>Lobatos</v>
      </c>
      <c r="G61" s="38">
        <f>IF(ISERROR(VLOOKUP(T_ComprobanteIngreso[[#This Row],[RUN]],T_Voluntarios[],37,FALSE)),"No Existe",VLOOKUP(T_ComprobanteIngreso[[#This Row],[RUN]],T_Voluntarios[],37,FALSE))</f>
        <v>50000</v>
      </c>
      <c r="H61" t="str" cm="1">
        <f t="array" ref="H61">PROPER(NUMEROSALETRAS(T_ComprobanteIngreso[[#This Row],[CUOTA]]))&amp;" pesos"</f>
        <v>Cincuenta Mil pesos</v>
      </c>
    </row>
    <row r="62" spans="1:8" x14ac:dyDescent="0.3">
      <c r="A62" t="s">
        <v>1463</v>
      </c>
      <c r="B62" t="str">
        <f>IF(ISERROR(VLOOKUP(T_ComprobanteIngreso[[#This Row],[RUN]],T_Voluntarios[],3,FALSE)),"No Existe",VLOOKUP(T_ComprobanteIngreso[[#This Row],[RUN]],T_Voluntarios[],3,FALSE))</f>
        <v>Alfredo Osvaldo Soto Perez</v>
      </c>
      <c r="C62" s="80" t="s">
        <v>3308</v>
      </c>
      <c r="D62" t="str">
        <f>IF(ISERROR(VLOOKUP(T_ComprobanteIngreso[[#This Row],[RUN]],T_Voluntarios[],9,FALSE)),"No Existe",VLOOKUP(T_ComprobanteIngreso[[#This Row],[RUN]],T_Voluntarios[],9,FALSE))</f>
        <v>Participante</v>
      </c>
      <c r="E62" t="str">
        <f>IF(ISERROR(VLOOKUP(T_ComprobanteIngreso[[#This Row],[RUN]],T_Voluntarios[],10,FALSE)),"No Existe",VLOOKUP(T_ComprobanteIngreso[[#This Row],[RUN]],T_Voluntarios[],10,FALSE))</f>
        <v>Rucapeñihue</v>
      </c>
      <c r="F62" t="str">
        <f>IF(ISERROR(VLOOKUP(T_ComprobanteIngreso[[#This Row],[RUN]],T_Voluntarios[],11,FALSE)),"No Existe",VLOOKUP(T_ComprobanteIngreso[[#This Row],[RUN]],T_Voluntarios[],11,FALSE))</f>
        <v>Scouts</v>
      </c>
      <c r="G62" s="38">
        <f>IF(ISERROR(VLOOKUP(T_ComprobanteIngreso[[#This Row],[RUN]],T_Voluntarios[],37,FALSE)),"No Existe",VLOOKUP(T_ComprobanteIngreso[[#This Row],[RUN]],T_Voluntarios[],37,FALSE))</f>
        <v>36500</v>
      </c>
      <c r="H62" t="str" cm="1">
        <f t="array" ref="H62">PROPER(NUMEROSALETRAS(T_ComprobanteIngreso[[#This Row],[CUOTA]]))&amp;" pesos"</f>
        <v>Treinta Seis Mil Quinientos pesos</v>
      </c>
    </row>
    <row r="63" spans="1:8" x14ac:dyDescent="0.3">
      <c r="A63" t="s">
        <v>1471</v>
      </c>
      <c r="B63" t="str">
        <f>IF(ISERROR(VLOOKUP(T_ComprobanteIngreso[[#This Row],[RUN]],T_Voluntarios[],3,FALSE)),"No Existe",VLOOKUP(T_ComprobanteIngreso[[#This Row],[RUN]],T_Voluntarios[],3,FALSE))</f>
        <v>Alain Sebastian Cereceda Venegas</v>
      </c>
      <c r="C63" s="80" t="s">
        <v>3309</v>
      </c>
      <c r="D63" t="str">
        <f>IF(ISERROR(VLOOKUP(T_ComprobanteIngreso[[#This Row],[RUN]],T_Voluntarios[],9,FALSE)),"No Existe",VLOOKUP(T_ComprobanteIngreso[[#This Row],[RUN]],T_Voluntarios[],9,FALSE))</f>
        <v>Participante</v>
      </c>
      <c r="E63" t="str">
        <f>IF(ISERROR(VLOOKUP(T_ComprobanteIngreso[[#This Row],[RUN]],T_Voluntarios[],10,FALSE)),"No Existe",VLOOKUP(T_ComprobanteIngreso[[#This Row],[RUN]],T_Voluntarios[],10,FALSE))</f>
        <v>San Francisco</v>
      </c>
      <c r="F63" t="str">
        <f>IF(ISERROR(VLOOKUP(T_ComprobanteIngreso[[#This Row],[RUN]],T_Voluntarios[],11,FALSE)),"No Existe",VLOOKUP(T_ComprobanteIngreso[[#This Row],[RUN]],T_Voluntarios[],11,FALSE))</f>
        <v>Golondrinas</v>
      </c>
      <c r="G63" s="38">
        <f>IF(ISERROR(VLOOKUP(T_ComprobanteIngreso[[#This Row],[RUN]],T_Voluntarios[],37,FALSE)),"No Existe",VLOOKUP(T_ComprobanteIngreso[[#This Row],[RUN]],T_Voluntarios[],37,FALSE))</f>
        <v>50000</v>
      </c>
      <c r="H63" t="str" cm="1">
        <f t="array" ref="H63">PROPER(NUMEROSALETRAS(T_ComprobanteIngreso[[#This Row],[CUOTA]]))&amp;" pesos"</f>
        <v>Cincuenta Mil pesos</v>
      </c>
    </row>
    <row r="64" spans="1:8" x14ac:dyDescent="0.3">
      <c r="A64" t="s">
        <v>1482</v>
      </c>
      <c r="B64" t="str">
        <f>IF(ISERROR(VLOOKUP(T_ComprobanteIngreso[[#This Row],[RUN]],T_Voluntarios[],3,FALSE)),"No Existe",VLOOKUP(T_ComprobanteIngreso[[#This Row],[RUN]],T_Voluntarios[],3,FALSE))</f>
        <v>Paula Constanza Antonia Sobrevía Valenzuela</v>
      </c>
      <c r="C64" s="80" t="s">
        <v>3310</v>
      </c>
      <c r="D64" t="str">
        <f>IF(ISERROR(VLOOKUP(T_ComprobanteIngreso[[#This Row],[RUN]],T_Voluntarios[],9,FALSE)),"No Existe",VLOOKUP(T_ComprobanteIngreso[[#This Row],[RUN]],T_Voluntarios[],9,FALSE))</f>
        <v>Participante</v>
      </c>
      <c r="E64" t="str">
        <f>IF(ISERROR(VLOOKUP(T_ComprobanteIngreso[[#This Row],[RUN]],T_Voluntarios[],10,FALSE)),"No Existe",VLOOKUP(T_ComprobanteIngreso[[#This Row],[RUN]],T_Voluntarios[],10,FALSE))</f>
        <v>Salesianos Concepción</v>
      </c>
      <c r="F64" t="str">
        <f>IF(ISERROR(VLOOKUP(T_ComprobanteIngreso[[#This Row],[RUN]],T_Voluntarios[],11,FALSE)),"No Existe",VLOOKUP(T_ComprobanteIngreso[[#This Row],[RUN]],T_Voluntarios[],11,FALSE))</f>
        <v>Pioneros</v>
      </c>
      <c r="G64" s="38">
        <f>IF(ISERROR(VLOOKUP(T_ComprobanteIngreso[[#This Row],[RUN]],T_Voluntarios[],37,FALSE)),"No Existe",VLOOKUP(T_ComprobanteIngreso[[#This Row],[RUN]],T_Voluntarios[],37,FALSE))</f>
        <v>50000</v>
      </c>
      <c r="H64" t="str" cm="1">
        <f t="array" ref="H64">PROPER(NUMEROSALETRAS(T_ComprobanteIngreso[[#This Row],[CUOTA]]))&amp;" pesos"</f>
        <v>Cincuenta Mil pesos</v>
      </c>
    </row>
    <row r="65" spans="1:8" x14ac:dyDescent="0.3">
      <c r="A65" t="s">
        <v>1490</v>
      </c>
      <c r="B65" t="str">
        <f>IF(ISERROR(VLOOKUP(T_ComprobanteIngreso[[#This Row],[RUN]],T_Voluntarios[],3,FALSE)),"No Existe",VLOOKUP(T_ComprobanteIngreso[[#This Row],[RUN]],T_Voluntarios[],3,FALSE))</f>
        <v>Daniela Monserrat Burgos Guzmán</v>
      </c>
      <c r="C65" s="80" t="s">
        <v>3311</v>
      </c>
      <c r="D65" t="str">
        <f>IF(ISERROR(VLOOKUP(T_ComprobanteIngreso[[#This Row],[RUN]],T_Voluntarios[],9,FALSE)),"No Existe",VLOOKUP(T_ComprobanteIngreso[[#This Row],[RUN]],T_Voluntarios[],9,FALSE))</f>
        <v>Participante</v>
      </c>
      <c r="E65" t="str">
        <f>IF(ISERROR(VLOOKUP(T_ComprobanteIngreso[[#This Row],[RUN]],T_Voluntarios[],10,FALSE)),"No Existe",VLOOKUP(T_ComprobanteIngreso[[#This Row],[RUN]],T_Voluntarios[],10,FALSE))</f>
        <v>Santa Cecilia</v>
      </c>
      <c r="F65" t="str">
        <f>IF(ISERROR(VLOOKUP(T_ComprobanteIngreso[[#This Row],[RUN]],T_Voluntarios[],11,FALSE)),"No Existe",VLOOKUP(T_ComprobanteIngreso[[#This Row],[RUN]],T_Voluntarios[],11,FALSE))</f>
        <v>Caminantes</v>
      </c>
      <c r="G65" s="38">
        <f>IF(ISERROR(VLOOKUP(T_ComprobanteIngreso[[#This Row],[RUN]],T_Voluntarios[],37,FALSE)),"No Existe",VLOOKUP(T_ComprobanteIngreso[[#This Row],[RUN]],T_Voluntarios[],37,FALSE))</f>
        <v>50000</v>
      </c>
      <c r="H65" t="str" cm="1">
        <f t="array" ref="H65">PROPER(NUMEROSALETRAS(T_ComprobanteIngreso[[#This Row],[CUOTA]]))&amp;" pesos"</f>
        <v>Cincuenta Mil pesos</v>
      </c>
    </row>
    <row r="66" spans="1:8" x14ac:dyDescent="0.3">
      <c r="A66" t="s">
        <v>1501</v>
      </c>
      <c r="B66" t="str">
        <f>IF(ISERROR(VLOOKUP(T_ComprobanteIngreso[[#This Row],[RUN]],T_Voluntarios[],3,FALSE)),"No Existe",VLOOKUP(T_ComprobanteIngreso[[#This Row],[RUN]],T_Voluntarios[],3,FALSE))</f>
        <v>Thalía Scarlett Fernández Sierra</v>
      </c>
      <c r="C66" s="80" t="s">
        <v>3312</v>
      </c>
      <c r="D66" t="str">
        <f>IF(ISERROR(VLOOKUP(T_ComprobanteIngreso[[#This Row],[RUN]],T_Voluntarios[],9,FALSE)),"No Existe",VLOOKUP(T_ComprobanteIngreso[[#This Row],[RUN]],T_Voluntarios[],9,FALSE))</f>
        <v>Participante</v>
      </c>
      <c r="E66" t="str">
        <f>IF(ISERROR(VLOOKUP(T_ComprobanteIngreso[[#This Row],[RUN]],T_Voluntarios[],10,FALSE)),"No Existe",VLOOKUP(T_ComprobanteIngreso[[#This Row],[RUN]],T_Voluntarios[],10,FALSE))</f>
        <v>Namuncura</v>
      </c>
      <c r="F66" t="str">
        <f>IF(ISERROR(VLOOKUP(T_ComprobanteIngreso[[#This Row],[RUN]],T_Voluntarios[],11,FALSE)),"No Existe",VLOOKUP(T_ComprobanteIngreso[[#This Row],[RUN]],T_Voluntarios[],11,FALSE))</f>
        <v>Lobatos</v>
      </c>
      <c r="G66" s="38">
        <f>IF(ISERROR(VLOOKUP(T_ComprobanteIngreso[[#This Row],[RUN]],T_Voluntarios[],37,FALSE)),"No Existe",VLOOKUP(T_ComprobanteIngreso[[#This Row],[RUN]],T_Voluntarios[],37,FALSE))</f>
        <v>50000</v>
      </c>
      <c r="H66" t="str" cm="1">
        <f t="array" ref="H66">PROPER(NUMEROSALETRAS(T_ComprobanteIngreso[[#This Row],[CUOTA]]))&amp;" pesos"</f>
        <v>Cincuenta Mil pesos</v>
      </c>
    </row>
    <row r="67" spans="1:8" x14ac:dyDescent="0.3">
      <c r="A67" t="s">
        <v>1559</v>
      </c>
      <c r="B67" t="str">
        <f>IF(ISERROR(VLOOKUP(T_ComprobanteIngreso[[#This Row],[RUN]],T_Voluntarios[],3,FALSE)),"No Existe",VLOOKUP(T_ComprobanteIngreso[[#This Row],[RUN]],T_Voluntarios[],3,FALSE))</f>
        <v>Karina Belen Antonella Martinez Navarro</v>
      </c>
      <c r="C67" s="80" t="s">
        <v>3313</v>
      </c>
      <c r="D67" t="str">
        <f>IF(ISERROR(VLOOKUP(T_ComprobanteIngreso[[#This Row],[RUN]],T_Voluntarios[],9,FALSE)),"No Existe",VLOOKUP(T_ComprobanteIngreso[[#This Row],[RUN]],T_Voluntarios[],9,FALSE))</f>
        <v>Participante</v>
      </c>
      <c r="E67" t="str">
        <f>IF(ISERROR(VLOOKUP(T_ComprobanteIngreso[[#This Row],[RUN]],T_Voluntarios[],10,FALSE)),"No Existe",VLOOKUP(T_ComprobanteIngreso[[#This Row],[RUN]],T_Voluntarios[],10,FALSE))</f>
        <v>Sagrada Familia</v>
      </c>
      <c r="F67" t="str">
        <f>IF(ISERROR(VLOOKUP(T_ComprobanteIngreso[[#This Row],[RUN]],T_Voluntarios[],11,FALSE)),"No Existe",VLOOKUP(T_ComprobanteIngreso[[#This Row],[RUN]],T_Voluntarios[],11,FALSE))</f>
        <v>Lobatos</v>
      </c>
      <c r="G67" s="38">
        <f>IF(ISERROR(VLOOKUP(T_ComprobanteIngreso[[#This Row],[RUN]],T_Voluntarios[],37,FALSE)),"No Existe",VLOOKUP(T_ComprobanteIngreso[[#This Row],[RUN]],T_Voluntarios[],37,FALSE))</f>
        <v>50000</v>
      </c>
      <c r="H67" t="str" cm="1">
        <f t="array" ref="H67">PROPER(NUMEROSALETRAS(T_ComprobanteIngreso[[#This Row],[CUOTA]]))&amp;" pesos"</f>
        <v>Cincuenta Mil pesos</v>
      </c>
    </row>
    <row r="68" spans="1:8" x14ac:dyDescent="0.3">
      <c r="A68" t="s">
        <v>1521</v>
      </c>
      <c r="B68" t="str">
        <f>IF(ISERROR(VLOOKUP(T_ComprobanteIngreso[[#This Row],[RUN]],T_Voluntarios[],3,FALSE)),"No Existe",VLOOKUP(T_ComprobanteIngreso[[#This Row],[RUN]],T_Voluntarios[],3,FALSE))</f>
        <v>Jocefina Laura Noemí Loyola Díaz</v>
      </c>
      <c r="C68" s="80" t="s">
        <v>3314</v>
      </c>
      <c r="D68" t="str">
        <f>IF(ISERROR(VLOOKUP(T_ComprobanteIngreso[[#This Row],[RUN]],T_Voluntarios[],9,FALSE)),"No Existe",VLOOKUP(T_ComprobanteIngreso[[#This Row],[RUN]],T_Voluntarios[],9,FALSE))</f>
        <v>Participante</v>
      </c>
      <c r="E68" t="str">
        <f>IF(ISERROR(VLOOKUP(T_ComprobanteIngreso[[#This Row],[RUN]],T_Voluntarios[],10,FALSE)),"No Existe",VLOOKUP(T_ComprobanteIngreso[[#This Row],[RUN]],T_Voluntarios[],10,FALSE))</f>
        <v>Sagrada Familia</v>
      </c>
      <c r="F68" t="str">
        <f>IF(ISERROR(VLOOKUP(T_ComprobanteIngreso[[#This Row],[RUN]],T_Voluntarios[],11,FALSE)),"No Existe",VLOOKUP(T_ComprobanteIngreso[[#This Row],[RUN]],T_Voluntarios[],11,FALSE))</f>
        <v>Golondrinas</v>
      </c>
      <c r="G68" s="38">
        <f>IF(ISERROR(VLOOKUP(T_ComprobanteIngreso[[#This Row],[RUN]],T_Voluntarios[],37,FALSE)),"No Existe",VLOOKUP(T_ComprobanteIngreso[[#This Row],[RUN]],T_Voluntarios[],37,FALSE))</f>
        <v>50000</v>
      </c>
      <c r="H68" t="str" cm="1">
        <f t="array" ref="H68">PROPER(NUMEROSALETRAS(T_ComprobanteIngreso[[#This Row],[CUOTA]]))&amp;" pesos"</f>
        <v>Cincuenta Mil pesos</v>
      </c>
    </row>
    <row r="69" spans="1:8" x14ac:dyDescent="0.3">
      <c r="A69" t="s">
        <v>1542</v>
      </c>
      <c r="B69" t="str">
        <f>IF(ISERROR(VLOOKUP(T_ComprobanteIngreso[[#This Row],[RUN]],T_Voluntarios[],3,FALSE)),"No Existe",VLOOKUP(T_ComprobanteIngreso[[#This Row],[RUN]],T_Voluntarios[],3,FALSE))</f>
        <v>Stephany Alejandra Concha Zapata</v>
      </c>
      <c r="C69" s="80" t="s">
        <v>3315</v>
      </c>
      <c r="D69" t="str">
        <f>IF(ISERROR(VLOOKUP(T_ComprobanteIngreso[[#This Row],[RUN]],T_Voluntarios[],9,FALSE)),"No Existe",VLOOKUP(T_ComprobanteIngreso[[#This Row],[RUN]],T_Voluntarios[],9,FALSE))</f>
        <v>Participante</v>
      </c>
      <c r="E69" t="str">
        <f>IF(ISERROR(VLOOKUP(T_ComprobanteIngreso[[#This Row],[RUN]],T_Voluntarios[],10,FALSE)),"No Existe",VLOOKUP(T_ComprobanteIngreso[[#This Row],[RUN]],T_Voluntarios[],10,FALSE))</f>
        <v>Espíritu Santo</v>
      </c>
      <c r="F69" t="str">
        <f>IF(ISERROR(VLOOKUP(T_ComprobanteIngreso[[#This Row],[RUN]],T_Voluntarios[],11,FALSE)),"No Existe",VLOOKUP(T_ComprobanteIngreso[[#This Row],[RUN]],T_Voluntarios[],11,FALSE))</f>
        <v>Guias</v>
      </c>
      <c r="G69" s="38">
        <f>IF(ISERROR(VLOOKUP(T_ComprobanteIngreso[[#This Row],[RUN]],T_Voluntarios[],37,FALSE)),"No Existe",VLOOKUP(T_ComprobanteIngreso[[#This Row],[RUN]],T_Voluntarios[],37,FALSE))</f>
        <v>36500</v>
      </c>
      <c r="H69" t="str" cm="1">
        <f t="array" ref="H69">PROPER(NUMEROSALETRAS(T_ComprobanteIngreso[[#This Row],[CUOTA]]))&amp;" pesos"</f>
        <v>Treinta Seis Mil Quinientos pesos</v>
      </c>
    </row>
    <row r="70" spans="1:8" x14ac:dyDescent="0.3">
      <c r="A70" t="s">
        <v>1628</v>
      </c>
      <c r="B70" t="str">
        <f>IF(ISERROR(VLOOKUP(T_ComprobanteIngreso[[#This Row],[RUN]],T_Voluntarios[],3,FALSE)),"No Existe",VLOOKUP(T_ComprobanteIngreso[[#This Row],[RUN]],T_Voluntarios[],3,FALSE))</f>
        <v>Pablo Andres Marin Mansilla</v>
      </c>
      <c r="C70" s="80" t="s">
        <v>3316</v>
      </c>
      <c r="D70" t="str">
        <f>IF(ISERROR(VLOOKUP(T_ComprobanteIngreso[[#This Row],[RUN]],T_Voluntarios[],9,FALSE)),"No Existe",VLOOKUP(T_ComprobanteIngreso[[#This Row],[RUN]],T_Voluntarios[],9,FALSE))</f>
        <v>Participante</v>
      </c>
      <c r="E70" t="str">
        <f>IF(ISERROR(VLOOKUP(T_ComprobanteIngreso[[#This Row],[RUN]],T_Voluntarios[],10,FALSE)),"No Existe",VLOOKUP(T_ComprobanteIngreso[[#This Row],[RUN]],T_Voluntarios[],10,FALSE))</f>
        <v>Espíritu Santo</v>
      </c>
      <c r="F70" t="str">
        <f>IF(ISERROR(VLOOKUP(T_ComprobanteIngreso[[#This Row],[RUN]],T_Voluntarios[],11,FALSE)),"No Existe",VLOOKUP(T_ComprobanteIngreso[[#This Row],[RUN]],T_Voluntarios[],11,FALSE))</f>
        <v>Scouts</v>
      </c>
      <c r="G70" s="38">
        <f>IF(ISERROR(VLOOKUP(T_ComprobanteIngreso[[#This Row],[RUN]],T_Voluntarios[],37,FALSE)),"No Existe",VLOOKUP(T_ComprobanteIngreso[[#This Row],[RUN]],T_Voluntarios[],37,FALSE))</f>
        <v>50000</v>
      </c>
      <c r="H70" t="str" cm="1">
        <f t="array" ref="H70">PROPER(NUMEROSALETRAS(T_ComprobanteIngreso[[#This Row],[CUOTA]]))&amp;" pesos"</f>
        <v>Cincuenta Mil pesos</v>
      </c>
    </row>
    <row r="71" spans="1:8" x14ac:dyDescent="0.3">
      <c r="A71" t="s">
        <v>1602</v>
      </c>
      <c r="B71" t="str">
        <f>IF(ISERROR(VLOOKUP(T_ComprobanteIngreso[[#This Row],[RUN]],T_Voluntarios[],3,FALSE)),"No Existe",VLOOKUP(T_ComprobanteIngreso[[#This Row],[RUN]],T_Voluntarios[],3,FALSE))</f>
        <v>Thiare Aylin Aguilera Zapata</v>
      </c>
      <c r="C71" s="80" t="s">
        <v>3317</v>
      </c>
      <c r="D71" t="str">
        <f>IF(ISERROR(VLOOKUP(T_ComprobanteIngreso[[#This Row],[RUN]],T_Voluntarios[],9,FALSE)),"No Existe",VLOOKUP(T_ComprobanteIngreso[[#This Row],[RUN]],T_Voluntarios[],9,FALSE))</f>
        <v>Participante</v>
      </c>
      <c r="E71" t="str">
        <f>IF(ISERROR(VLOOKUP(T_ComprobanteIngreso[[#This Row],[RUN]],T_Voluntarios[],10,FALSE)),"No Existe",VLOOKUP(T_ComprobanteIngreso[[#This Row],[RUN]],T_Voluntarios[],10,FALSE))</f>
        <v>Mahuidanche</v>
      </c>
      <c r="F71" t="str">
        <f>IF(ISERROR(VLOOKUP(T_ComprobanteIngreso[[#This Row],[RUN]],T_Voluntarios[],11,FALSE)),"No Existe",VLOOKUP(T_ComprobanteIngreso[[#This Row],[RUN]],T_Voluntarios[],11,FALSE))</f>
        <v>Caminantes</v>
      </c>
      <c r="G71" s="38">
        <f>IF(ISERROR(VLOOKUP(T_ComprobanteIngreso[[#This Row],[RUN]],T_Voluntarios[],37,FALSE)),"No Existe",VLOOKUP(T_ComprobanteIngreso[[#This Row],[RUN]],T_Voluntarios[],37,FALSE))</f>
        <v>50000</v>
      </c>
      <c r="H71" t="str" cm="1">
        <f t="array" ref="H71">PROPER(NUMEROSALETRAS(T_ComprobanteIngreso[[#This Row],[CUOTA]]))&amp;" pesos"</f>
        <v>Cincuenta Mil pesos</v>
      </c>
    </row>
    <row r="72" spans="1:8" x14ac:dyDescent="0.3">
      <c r="A72" t="s">
        <v>1611</v>
      </c>
      <c r="B72" t="str">
        <f>IF(ISERROR(VLOOKUP(T_ComprobanteIngreso[[#This Row],[RUN]],T_Voluntarios[],3,FALSE)),"No Existe",VLOOKUP(T_ComprobanteIngreso[[#This Row],[RUN]],T_Voluntarios[],3,FALSE))</f>
        <v>Renata Valentina Alarcón Muñoz</v>
      </c>
      <c r="C72" s="80" t="s">
        <v>3318</v>
      </c>
      <c r="D72" t="str">
        <f>IF(ISERROR(VLOOKUP(T_ComprobanteIngreso[[#This Row],[RUN]],T_Voluntarios[],9,FALSE)),"No Existe",VLOOKUP(T_ComprobanteIngreso[[#This Row],[RUN]],T_Voluntarios[],9,FALSE))</f>
        <v>Participante</v>
      </c>
      <c r="E72" t="str">
        <f>IF(ISERROR(VLOOKUP(T_ComprobanteIngreso[[#This Row],[RUN]],T_Voluntarios[],10,FALSE)),"No Existe",VLOOKUP(T_ComprobanteIngreso[[#This Row],[RUN]],T_Voluntarios[],10,FALSE))</f>
        <v>Santa Bárbara</v>
      </c>
      <c r="F72" t="str">
        <f>IF(ISERROR(VLOOKUP(T_ComprobanteIngreso[[#This Row],[RUN]],T_Voluntarios[],11,FALSE)),"No Existe",VLOOKUP(T_ComprobanteIngreso[[#This Row],[RUN]],T_Voluntarios[],11,FALSE))</f>
        <v>Golondrinas</v>
      </c>
      <c r="G72" s="38">
        <f>IF(ISERROR(VLOOKUP(T_ComprobanteIngreso[[#This Row],[RUN]],T_Voluntarios[],37,FALSE)),"No Existe",VLOOKUP(T_ComprobanteIngreso[[#This Row],[RUN]],T_Voluntarios[],37,FALSE))</f>
        <v>50000</v>
      </c>
      <c r="H72" t="str" cm="1">
        <f t="array" ref="H72">PROPER(NUMEROSALETRAS(T_ComprobanteIngreso[[#This Row],[CUOTA]]))&amp;" pesos"</f>
        <v>Cincuenta Mil pesos</v>
      </c>
    </row>
    <row r="73" spans="1:8" x14ac:dyDescent="0.3">
      <c r="A73" t="s">
        <v>1642</v>
      </c>
      <c r="B73" t="str">
        <f>IF(ISERROR(VLOOKUP(T_ComprobanteIngreso[[#This Row],[RUN]],T_Voluntarios[],3,FALSE)),"No Existe",VLOOKUP(T_ComprobanteIngreso[[#This Row],[RUN]],T_Voluntarios[],3,FALSE))</f>
        <v>Sebastián Gilberto Hermosilla Miño</v>
      </c>
      <c r="C73" s="80" t="s">
        <v>3319</v>
      </c>
      <c r="D73" t="str">
        <f>IF(ISERROR(VLOOKUP(T_ComprobanteIngreso[[#This Row],[RUN]],T_Voluntarios[],9,FALSE)),"No Existe",VLOOKUP(T_ComprobanteIngreso[[#This Row],[RUN]],T_Voluntarios[],9,FALSE))</f>
        <v>Participante</v>
      </c>
      <c r="E73" t="str">
        <f>IF(ISERROR(VLOOKUP(T_ComprobanteIngreso[[#This Row],[RUN]],T_Voluntarios[],10,FALSE)),"No Existe",VLOOKUP(T_ComprobanteIngreso[[#This Row],[RUN]],T_Voluntarios[],10,FALSE))</f>
        <v>Inmaculada Concepción de Talcahuano</v>
      </c>
      <c r="F73" t="str">
        <f>IF(ISERROR(VLOOKUP(T_ComprobanteIngreso[[#This Row],[RUN]],T_Voluntarios[],11,FALSE)),"No Existe",VLOOKUP(T_ComprobanteIngreso[[#This Row],[RUN]],T_Voluntarios[],11,FALSE))</f>
        <v>Caminantes</v>
      </c>
      <c r="G73" s="38">
        <f>IF(ISERROR(VLOOKUP(T_ComprobanteIngreso[[#This Row],[RUN]],T_Voluntarios[],37,FALSE)),"No Existe",VLOOKUP(T_ComprobanteIngreso[[#This Row],[RUN]],T_Voluntarios[],37,FALSE))</f>
        <v>50000</v>
      </c>
      <c r="H73" t="str" cm="1">
        <f t="array" ref="H73">PROPER(NUMEROSALETRAS(T_ComprobanteIngreso[[#This Row],[CUOTA]]))&amp;" pesos"</f>
        <v>Cincuenta Mil pesos</v>
      </c>
    </row>
    <row r="74" spans="1:8" x14ac:dyDescent="0.3">
      <c r="A74" t="s">
        <v>1883</v>
      </c>
      <c r="B74" t="str">
        <f>IF(ISERROR(VLOOKUP(T_ComprobanteIngreso[[#This Row],[RUN]],T_Voluntarios[],3,FALSE)),"No Existe",VLOOKUP(T_ComprobanteIngreso[[#This Row],[RUN]],T_Voluntarios[],3,FALSE))</f>
        <v>Treycer Nivor Castillo Rojas</v>
      </c>
      <c r="C74" s="80" t="s">
        <v>3320</v>
      </c>
      <c r="D74" t="str">
        <f>IF(ISERROR(VLOOKUP(T_ComprobanteIngreso[[#This Row],[RUN]],T_Voluntarios[],9,FALSE)),"No Existe",VLOOKUP(T_ComprobanteIngreso[[#This Row],[RUN]],T_Voluntarios[],9,FALSE))</f>
        <v>Participante</v>
      </c>
      <c r="E74" t="str">
        <f>IF(ISERROR(VLOOKUP(T_ComprobanteIngreso[[#This Row],[RUN]],T_Voluntarios[],10,FALSE)),"No Existe",VLOOKUP(T_ComprobanteIngreso[[#This Row],[RUN]],T_Voluntarios[],10,FALSE))</f>
        <v>Huilliche</v>
      </c>
      <c r="F74" t="str">
        <f>IF(ISERROR(VLOOKUP(T_ComprobanteIngreso[[#This Row],[RUN]],T_Voluntarios[],11,FALSE)),"No Existe",VLOOKUP(T_ComprobanteIngreso[[#This Row],[RUN]],T_Voluntarios[],11,FALSE))</f>
        <v>Caminantes</v>
      </c>
      <c r="G74" s="38">
        <f>IF(ISERROR(VLOOKUP(T_ComprobanteIngreso[[#This Row],[RUN]],T_Voluntarios[],37,FALSE)),"No Existe",VLOOKUP(T_ComprobanteIngreso[[#This Row],[RUN]],T_Voluntarios[],37,FALSE))</f>
        <v>50000</v>
      </c>
      <c r="H74" t="str" cm="1">
        <f t="array" ref="H74">PROPER(NUMEROSALETRAS(T_ComprobanteIngreso[[#This Row],[CUOTA]]))&amp;" pesos"</f>
        <v>Cincuenta Mil pesos</v>
      </c>
    </row>
    <row r="75" spans="1:8" x14ac:dyDescent="0.3">
      <c r="A75" t="s">
        <v>1758</v>
      </c>
      <c r="B75" t="str">
        <f>IF(ISERROR(VLOOKUP(T_ComprobanteIngreso[[#This Row],[RUN]],T_Voluntarios[],3,FALSE)),"No Existe",VLOOKUP(T_ComprobanteIngreso[[#This Row],[RUN]],T_Voluntarios[],3,FALSE))</f>
        <v>Luis Alfredo Burgos Contreras</v>
      </c>
      <c r="C75" s="80" t="s">
        <v>3321</v>
      </c>
      <c r="D75" t="str">
        <f>IF(ISERROR(VLOOKUP(T_ComprobanteIngreso[[#This Row],[RUN]],T_Voluntarios[],9,FALSE)),"No Existe",VLOOKUP(T_ComprobanteIngreso[[#This Row],[RUN]],T_Voluntarios[],9,FALSE))</f>
        <v>Participante</v>
      </c>
      <c r="E75" t="str">
        <f>IF(ISERROR(VLOOKUP(T_ComprobanteIngreso[[#This Row],[RUN]],T_Voluntarios[],10,FALSE)),"No Existe",VLOOKUP(T_ComprobanteIngreso[[#This Row],[RUN]],T_Voluntarios[],10,FALSE))</f>
        <v>Helen Keller</v>
      </c>
      <c r="F75" t="str">
        <f>IF(ISERROR(VLOOKUP(T_ComprobanteIngreso[[#This Row],[RUN]],T_Voluntarios[],11,FALSE)),"No Existe",VLOOKUP(T_ComprobanteIngreso[[#This Row],[RUN]],T_Voluntarios[],11,FALSE))</f>
        <v>Scouts</v>
      </c>
      <c r="G75" s="38">
        <f>IF(ISERROR(VLOOKUP(T_ComprobanteIngreso[[#This Row],[RUN]],T_Voluntarios[],37,FALSE)),"No Existe",VLOOKUP(T_ComprobanteIngreso[[#This Row],[RUN]],T_Voluntarios[],37,FALSE))</f>
        <v>50000</v>
      </c>
      <c r="H75" t="str" cm="1">
        <f t="array" ref="H75">PROPER(NUMEROSALETRAS(T_ComprobanteIngreso[[#This Row],[CUOTA]]))&amp;" pesos"</f>
        <v>Cincuenta Mil pesos</v>
      </c>
    </row>
    <row r="76" spans="1:8" x14ac:dyDescent="0.3">
      <c r="A76" t="s">
        <v>1780</v>
      </c>
      <c r="B76" t="str">
        <f>IF(ISERROR(VLOOKUP(T_ComprobanteIngreso[[#This Row],[RUN]],T_Voluntarios[],3,FALSE)),"No Existe",VLOOKUP(T_ComprobanteIngreso[[#This Row],[RUN]],T_Voluntarios[],3,FALSE))</f>
        <v>Antonia Alejandra Brante Peña</v>
      </c>
      <c r="C76" s="80" t="s">
        <v>3322</v>
      </c>
      <c r="D76" t="str">
        <f>IF(ISERROR(VLOOKUP(T_ComprobanteIngreso[[#This Row],[RUN]],T_Voluntarios[],9,FALSE)),"No Existe",VLOOKUP(T_ComprobanteIngreso[[#This Row],[RUN]],T_Voluntarios[],9,FALSE))</f>
        <v>Participante</v>
      </c>
      <c r="E76" t="str">
        <f>IF(ISERROR(VLOOKUP(T_ComprobanteIngreso[[#This Row],[RUN]],T_Voluntarios[],10,FALSE)),"No Existe",VLOOKUP(T_ComprobanteIngreso[[#This Row],[RUN]],T_Voluntarios[],10,FALSE))</f>
        <v>Rañileufu</v>
      </c>
      <c r="F76" t="str">
        <f>IF(ISERROR(VLOOKUP(T_ComprobanteIngreso[[#This Row],[RUN]],T_Voluntarios[],11,FALSE)),"No Existe",VLOOKUP(T_ComprobanteIngreso[[#This Row],[RUN]],T_Voluntarios[],11,FALSE))</f>
        <v>Lobatos</v>
      </c>
      <c r="G76" s="38">
        <f>IF(ISERROR(VLOOKUP(T_ComprobanteIngreso[[#This Row],[RUN]],T_Voluntarios[],37,FALSE)),"No Existe",VLOOKUP(T_ComprobanteIngreso[[#This Row],[RUN]],T_Voluntarios[],37,FALSE))</f>
        <v>36500</v>
      </c>
      <c r="H76" t="str" cm="1">
        <f t="array" ref="H76">PROPER(NUMEROSALETRAS(T_ComprobanteIngreso[[#This Row],[CUOTA]]))&amp;" pesos"</f>
        <v>Treinta Seis Mil Quinientos pesos</v>
      </c>
    </row>
    <row r="77" spans="1:8" x14ac:dyDescent="0.3">
      <c r="A77" t="s">
        <v>1798</v>
      </c>
      <c r="B77" t="str">
        <f>IF(ISERROR(VLOOKUP(T_ComprobanteIngreso[[#This Row],[RUN]],T_Voluntarios[],3,FALSE)),"No Existe",VLOOKUP(T_ComprobanteIngreso[[#This Row],[RUN]],T_Voluntarios[],3,FALSE))</f>
        <v>Solange Andrea Ruiz Rivera</v>
      </c>
      <c r="C77" s="80" t="s">
        <v>3323</v>
      </c>
      <c r="D77" t="str">
        <f>IF(ISERROR(VLOOKUP(T_ComprobanteIngreso[[#This Row],[RUN]],T_Voluntarios[],9,FALSE)),"No Existe",VLOOKUP(T_ComprobanteIngreso[[#This Row],[RUN]],T_Voluntarios[],9,FALSE))</f>
        <v>Participante</v>
      </c>
      <c r="E77" t="str">
        <f>IF(ISERROR(VLOOKUP(T_ComprobanteIngreso[[#This Row],[RUN]],T_Voluntarios[],10,FALSE)),"No Existe",VLOOKUP(T_ComprobanteIngreso[[#This Row],[RUN]],T_Voluntarios[],10,FALSE))</f>
        <v>Buen Pastor</v>
      </c>
      <c r="F77" t="str">
        <f>IF(ISERROR(VLOOKUP(T_ComprobanteIngreso[[#This Row],[RUN]],T_Voluntarios[],11,FALSE)),"No Existe",VLOOKUP(T_ComprobanteIngreso[[#This Row],[RUN]],T_Voluntarios[],11,FALSE))</f>
        <v>Golondrinas</v>
      </c>
      <c r="G77" s="38">
        <f>IF(ISERROR(VLOOKUP(T_ComprobanteIngreso[[#This Row],[RUN]],T_Voluntarios[],37,FALSE)),"No Existe",VLOOKUP(T_ComprobanteIngreso[[#This Row],[RUN]],T_Voluntarios[],37,FALSE))</f>
        <v>50000</v>
      </c>
      <c r="H77" t="str" cm="1">
        <f t="array" ref="H77">PROPER(NUMEROSALETRAS(T_ComprobanteIngreso[[#This Row],[CUOTA]]))&amp;" pesos"</f>
        <v>Cincuenta Mil pesos</v>
      </c>
    </row>
    <row r="78" spans="1:8" x14ac:dyDescent="0.3">
      <c r="A78" t="s">
        <v>1807</v>
      </c>
      <c r="B78" t="str">
        <f>IF(ISERROR(VLOOKUP(T_ComprobanteIngreso[[#This Row],[RUN]],T_Voluntarios[],3,FALSE)),"No Existe",VLOOKUP(T_ComprobanteIngreso[[#This Row],[RUN]],T_Voluntarios[],3,FALSE))</f>
        <v>Francine Anaís Smith Martínez</v>
      </c>
      <c r="C78" s="80" t="s">
        <v>3324</v>
      </c>
      <c r="D78" t="str">
        <f>IF(ISERROR(VLOOKUP(T_ComprobanteIngreso[[#This Row],[RUN]],T_Voluntarios[],9,FALSE)),"No Existe",VLOOKUP(T_ComprobanteIngreso[[#This Row],[RUN]],T_Voluntarios[],9,FALSE))</f>
        <v>Participante</v>
      </c>
      <c r="E78" t="str">
        <f>IF(ISERROR(VLOOKUP(T_ComprobanteIngreso[[#This Row],[RUN]],T_Voluntarios[],10,FALSE)),"No Existe",VLOOKUP(T_ComprobanteIngreso[[#This Row],[RUN]],T_Voluntarios[],10,FALSE))</f>
        <v>San Ignacio de Loyola</v>
      </c>
      <c r="F78" t="str">
        <f>IF(ISERROR(VLOOKUP(T_ComprobanteIngreso[[#This Row],[RUN]],T_Voluntarios[],11,FALSE)),"No Existe",VLOOKUP(T_ComprobanteIngreso[[#This Row],[RUN]],T_Voluntarios[],11,FALSE))</f>
        <v>Scouts</v>
      </c>
      <c r="G78" s="38">
        <f>IF(ISERROR(VLOOKUP(T_ComprobanteIngreso[[#This Row],[RUN]],T_Voluntarios[],37,FALSE)),"No Existe",VLOOKUP(T_ComprobanteIngreso[[#This Row],[RUN]],T_Voluntarios[],37,FALSE))</f>
        <v>50000</v>
      </c>
      <c r="H78" t="str" cm="1">
        <f t="array" ref="H78">PROPER(NUMEROSALETRAS(T_ComprobanteIngreso[[#This Row],[CUOTA]]))&amp;" pesos"</f>
        <v>Cincuenta Mil pesos</v>
      </c>
    </row>
    <row r="79" spans="1:8" x14ac:dyDescent="0.3">
      <c r="A79" t="s">
        <v>1891</v>
      </c>
      <c r="B79" t="str">
        <f>IF(ISERROR(VLOOKUP(T_ComprobanteIngreso[[#This Row],[RUN]],T_Voluntarios[],3,FALSE)),"No Existe",VLOOKUP(T_ComprobanteIngreso[[#This Row],[RUN]],T_Voluntarios[],3,FALSE))</f>
        <v>Benjamin Alejandro Villa Solar</v>
      </c>
      <c r="C79" s="80" t="s">
        <v>3325</v>
      </c>
      <c r="D79" t="str">
        <f>IF(ISERROR(VLOOKUP(T_ComprobanteIngreso[[#This Row],[RUN]],T_Voluntarios[],9,FALSE)),"No Existe",VLOOKUP(T_ComprobanteIngreso[[#This Row],[RUN]],T_Voluntarios[],9,FALSE))</f>
        <v>Participante</v>
      </c>
      <c r="E79" t="str">
        <f>IF(ISERROR(VLOOKUP(T_ComprobanteIngreso[[#This Row],[RUN]],T_Voluntarios[],10,FALSE)),"No Existe",VLOOKUP(T_ComprobanteIngreso[[#This Row],[RUN]],T_Voluntarios[],10,FALSE))</f>
        <v>Santa Cecilia</v>
      </c>
      <c r="F79" t="str">
        <f>IF(ISERROR(VLOOKUP(T_ComprobanteIngreso[[#This Row],[RUN]],T_Voluntarios[],11,FALSE)),"No Existe",VLOOKUP(T_ComprobanteIngreso[[#This Row],[RUN]],T_Voluntarios[],11,FALSE))</f>
        <v>Pioneros</v>
      </c>
      <c r="G79" s="38">
        <f>IF(ISERROR(VLOOKUP(T_ComprobanteIngreso[[#This Row],[RUN]],T_Voluntarios[],37,FALSE)),"No Existe",VLOOKUP(T_ComprobanteIngreso[[#This Row],[RUN]],T_Voluntarios[],37,FALSE))</f>
        <v>50000</v>
      </c>
      <c r="H79" t="str" cm="1">
        <f t="array" ref="H79">PROPER(NUMEROSALETRAS(T_ComprobanteIngreso[[#This Row],[CUOTA]]))&amp;" pesos"</f>
        <v>Cincuenta Mil pesos</v>
      </c>
    </row>
    <row r="80" spans="1:8" x14ac:dyDescent="0.3">
      <c r="A80" t="s">
        <v>1900</v>
      </c>
      <c r="B80" t="str">
        <f>IF(ISERROR(VLOOKUP(T_ComprobanteIngreso[[#This Row],[RUN]],T_Voluntarios[],3,FALSE)),"No Existe",VLOOKUP(T_ComprobanteIngreso[[#This Row],[RUN]],T_Voluntarios[],3,FALSE))</f>
        <v>Alejandra Andrea Luna Gallardo</v>
      </c>
      <c r="C80" s="80" t="s">
        <v>3326</v>
      </c>
      <c r="D80" t="str">
        <f>IF(ISERROR(VLOOKUP(T_ComprobanteIngreso[[#This Row],[RUN]],T_Voluntarios[],9,FALSE)),"No Existe",VLOOKUP(T_ComprobanteIngreso[[#This Row],[RUN]],T_Voluntarios[],9,FALSE))</f>
        <v>Participante</v>
      </c>
      <c r="E80" t="str">
        <f>IF(ISERROR(VLOOKUP(T_ComprobanteIngreso[[#This Row],[RUN]],T_Voluntarios[],10,FALSE)),"No Existe",VLOOKUP(T_ComprobanteIngreso[[#This Row],[RUN]],T_Voluntarios[],10,FALSE))</f>
        <v>Helen Keller</v>
      </c>
      <c r="F80" t="str">
        <f>IF(ISERROR(VLOOKUP(T_ComprobanteIngreso[[#This Row],[RUN]],T_Voluntarios[],11,FALSE)),"No Existe",VLOOKUP(T_ComprobanteIngreso[[#This Row],[RUN]],T_Voluntarios[],11,FALSE))</f>
        <v>Golondrinas</v>
      </c>
      <c r="G80" s="38">
        <f>IF(ISERROR(VLOOKUP(T_ComprobanteIngreso[[#This Row],[RUN]],T_Voluntarios[],37,FALSE)),"No Existe",VLOOKUP(T_ComprobanteIngreso[[#This Row],[RUN]],T_Voluntarios[],37,FALSE))</f>
        <v>50000</v>
      </c>
      <c r="H80" t="str" cm="1">
        <f t="array" ref="H80">PROPER(NUMEROSALETRAS(T_ComprobanteIngreso[[#This Row],[CUOTA]]))&amp;" pesos"</f>
        <v>Cincuenta Mil pesos</v>
      </c>
    </row>
    <row r="81" spans="1:8" x14ac:dyDescent="0.3">
      <c r="A81" t="s">
        <v>1908</v>
      </c>
      <c r="B81" t="str">
        <f>IF(ISERROR(VLOOKUP(T_ComprobanteIngreso[[#This Row],[RUN]],T_Voluntarios[],3,FALSE)),"No Existe",VLOOKUP(T_ComprobanteIngreso[[#This Row],[RUN]],T_Voluntarios[],3,FALSE))</f>
        <v>Camila Alejandra Roca Carvajal</v>
      </c>
      <c r="C81" s="80" t="s">
        <v>3327</v>
      </c>
      <c r="D81" t="str">
        <f>IF(ISERROR(VLOOKUP(T_ComprobanteIngreso[[#This Row],[RUN]],T_Voluntarios[],9,FALSE)),"No Existe",VLOOKUP(T_ComprobanteIngreso[[#This Row],[RUN]],T_Voluntarios[],9,FALSE))</f>
        <v>Participante</v>
      </c>
      <c r="E81" t="str">
        <f>IF(ISERROR(VLOOKUP(T_ComprobanteIngreso[[#This Row],[RUN]],T_Voluntarios[],10,FALSE)),"No Existe",VLOOKUP(T_ComprobanteIngreso[[#This Row],[RUN]],T_Voluntarios[],10,FALSE))</f>
        <v>Pehuen</v>
      </c>
      <c r="F81" t="str">
        <f>IF(ISERROR(VLOOKUP(T_ComprobanteIngreso[[#This Row],[RUN]],T_Voluntarios[],11,FALSE)),"No Existe",VLOOKUP(T_ComprobanteIngreso[[#This Row],[RUN]],T_Voluntarios[],11,FALSE))</f>
        <v>Golondrinas</v>
      </c>
      <c r="G81" s="38">
        <f>IF(ISERROR(VLOOKUP(T_ComprobanteIngreso[[#This Row],[RUN]],T_Voluntarios[],37,FALSE)),"No Existe",VLOOKUP(T_ComprobanteIngreso[[#This Row],[RUN]],T_Voluntarios[],37,FALSE))</f>
        <v>50000</v>
      </c>
      <c r="H81" t="str" cm="1">
        <f t="array" ref="H81">PROPER(NUMEROSALETRAS(T_ComprobanteIngreso[[#This Row],[CUOTA]]))&amp;" pesos"</f>
        <v>Cincuenta Mil pesos</v>
      </c>
    </row>
    <row r="82" spans="1:8" x14ac:dyDescent="0.3">
      <c r="A82" t="s">
        <v>1923</v>
      </c>
      <c r="B82" t="str">
        <f>IF(ISERROR(VLOOKUP(T_ComprobanteIngreso[[#This Row],[RUN]],T_Voluntarios[],3,FALSE)),"No Existe",VLOOKUP(T_ComprobanteIngreso[[#This Row],[RUN]],T_Voluntarios[],3,FALSE))</f>
        <v>Macarena Andrea Rodriguez Vidal</v>
      </c>
      <c r="C82" s="80" t="s">
        <v>3328</v>
      </c>
      <c r="D82" t="str">
        <f>IF(ISERROR(VLOOKUP(T_ComprobanteIngreso[[#This Row],[RUN]],T_Voluntarios[],9,FALSE)),"No Existe",VLOOKUP(T_ComprobanteIngreso[[#This Row],[RUN]],T_Voluntarios[],9,FALSE))</f>
        <v>Participante</v>
      </c>
      <c r="E82" t="str">
        <f>IF(ISERROR(VLOOKUP(T_ComprobanteIngreso[[#This Row],[RUN]],T_Voluntarios[],10,FALSE)),"No Existe",VLOOKUP(T_ComprobanteIngreso[[#This Row],[RUN]],T_Voluntarios[],10,FALSE))</f>
        <v>Manutara</v>
      </c>
      <c r="F82" t="str">
        <f>IF(ISERROR(VLOOKUP(T_ComprobanteIngreso[[#This Row],[RUN]],T_Voluntarios[],11,FALSE)),"No Existe",VLOOKUP(T_ComprobanteIngreso[[#This Row],[RUN]],T_Voluntarios[],11,FALSE))</f>
        <v>Caminantes</v>
      </c>
      <c r="G82" s="38">
        <f>IF(ISERROR(VLOOKUP(T_ComprobanteIngreso[[#This Row],[RUN]],T_Voluntarios[],37,FALSE)),"No Existe",VLOOKUP(T_ComprobanteIngreso[[#This Row],[RUN]],T_Voluntarios[],37,FALSE))</f>
        <v>36500</v>
      </c>
      <c r="H82" t="str" cm="1">
        <f t="array" ref="H82">PROPER(NUMEROSALETRAS(T_ComprobanteIngreso[[#This Row],[CUOTA]]))&amp;" pesos"</f>
        <v>Treinta Seis Mil Quinientos pesos</v>
      </c>
    </row>
    <row r="83" spans="1:8" x14ac:dyDescent="0.3">
      <c r="A83" t="s">
        <v>1942</v>
      </c>
      <c r="B83" t="str">
        <f>IF(ISERROR(VLOOKUP(T_ComprobanteIngreso[[#This Row],[RUN]],T_Voluntarios[],3,FALSE)),"No Existe",VLOOKUP(T_ComprobanteIngreso[[#This Row],[RUN]],T_Voluntarios[],3,FALSE))</f>
        <v>Scarlet Denisse Oyarzun Diaz</v>
      </c>
      <c r="C83" s="80" t="s">
        <v>3329</v>
      </c>
      <c r="D83" t="str">
        <f>IF(ISERROR(VLOOKUP(T_ComprobanteIngreso[[#This Row],[RUN]],T_Voluntarios[],9,FALSE)),"No Existe",VLOOKUP(T_ComprobanteIngreso[[#This Row],[RUN]],T_Voluntarios[],9,FALSE))</f>
        <v>Participante</v>
      </c>
      <c r="E83" t="str">
        <f>IF(ISERROR(VLOOKUP(T_ComprobanteIngreso[[#This Row],[RUN]],T_Voluntarios[],10,FALSE)),"No Existe",VLOOKUP(T_ComprobanteIngreso[[#This Row],[RUN]],T_Voluntarios[],10,FALSE))</f>
        <v>Manutara</v>
      </c>
      <c r="F83" t="str">
        <f>IF(ISERROR(VLOOKUP(T_ComprobanteIngreso[[#This Row],[RUN]],T_Voluntarios[],11,FALSE)),"No Existe",VLOOKUP(T_ComprobanteIngreso[[#This Row],[RUN]],T_Voluntarios[],11,FALSE))</f>
        <v>Golondrinas</v>
      </c>
      <c r="G83" s="38">
        <f>IF(ISERROR(VLOOKUP(T_ComprobanteIngreso[[#This Row],[RUN]],T_Voluntarios[],37,FALSE)),"No Existe",VLOOKUP(T_ComprobanteIngreso[[#This Row],[RUN]],T_Voluntarios[],37,FALSE))</f>
        <v>36500</v>
      </c>
      <c r="H83" t="str" cm="1">
        <f t="array" ref="H83">PROPER(NUMEROSALETRAS(T_ComprobanteIngreso[[#This Row],[CUOTA]]))&amp;" pesos"</f>
        <v>Treinta Seis Mil Quinientos pesos</v>
      </c>
    </row>
    <row r="84" spans="1:8" x14ac:dyDescent="0.3">
      <c r="A84" t="s">
        <v>1953</v>
      </c>
      <c r="B84" t="str">
        <f>IF(ISERROR(VLOOKUP(T_ComprobanteIngreso[[#This Row],[RUN]],T_Voluntarios[],3,FALSE)),"No Existe",VLOOKUP(T_ComprobanteIngreso[[#This Row],[RUN]],T_Voluntarios[],3,FALSE))</f>
        <v>Monserrat Milena Barra Hernández</v>
      </c>
      <c r="C84" s="80" t="s">
        <v>3330</v>
      </c>
      <c r="D84" t="str">
        <f>IF(ISERROR(VLOOKUP(T_ComprobanteIngreso[[#This Row],[RUN]],T_Voluntarios[],9,FALSE)),"No Existe",VLOOKUP(T_ComprobanteIngreso[[#This Row],[RUN]],T_Voluntarios[],9,FALSE))</f>
        <v>Participante</v>
      </c>
      <c r="E84" t="str">
        <f>IF(ISERROR(VLOOKUP(T_ComprobanteIngreso[[#This Row],[RUN]],T_Voluntarios[],10,FALSE)),"No Existe",VLOOKUP(T_ComprobanteIngreso[[#This Row],[RUN]],T_Voluntarios[],10,FALSE))</f>
        <v>San Bartolomé</v>
      </c>
      <c r="F84" t="str">
        <f>IF(ISERROR(VLOOKUP(T_ComprobanteIngreso[[#This Row],[RUN]],T_Voluntarios[],11,FALSE)),"No Existe",VLOOKUP(T_ComprobanteIngreso[[#This Row],[RUN]],T_Voluntarios[],11,FALSE))</f>
        <v>Golondrinas</v>
      </c>
      <c r="G84" s="38">
        <f>IF(ISERROR(VLOOKUP(T_ComprobanteIngreso[[#This Row],[RUN]],T_Voluntarios[],37,FALSE)),"No Existe",VLOOKUP(T_ComprobanteIngreso[[#This Row],[RUN]],T_Voluntarios[],37,FALSE))</f>
        <v>50000</v>
      </c>
      <c r="H84" t="str" cm="1">
        <f t="array" ref="H84">PROPER(NUMEROSALETRAS(T_ComprobanteIngreso[[#This Row],[CUOTA]]))&amp;" pesos"</f>
        <v>Cincuenta Mil pesos</v>
      </c>
    </row>
    <row r="85" spans="1:8" x14ac:dyDescent="0.3">
      <c r="A85" t="s">
        <v>2114</v>
      </c>
      <c r="B85" t="str">
        <f>IF(ISERROR(VLOOKUP(T_ComprobanteIngreso[[#This Row],[RUN]],T_Voluntarios[],3,FALSE)),"No Existe",VLOOKUP(T_ComprobanteIngreso[[#This Row],[RUN]],T_Voluntarios[],3,FALSE))</f>
        <v>Carolina Andrea Vega Contreras</v>
      </c>
      <c r="C85" s="80" t="s">
        <v>3331</v>
      </c>
      <c r="D85" t="str">
        <f>IF(ISERROR(VLOOKUP(T_ComprobanteIngreso[[#This Row],[RUN]],T_Voluntarios[],9,FALSE)),"No Existe",VLOOKUP(T_ComprobanteIngreso[[#This Row],[RUN]],T_Voluntarios[],9,FALSE))</f>
        <v>Participante</v>
      </c>
      <c r="E85" t="str">
        <f>IF(ISERROR(VLOOKUP(T_ComprobanteIngreso[[#This Row],[RUN]],T_Voluntarios[],10,FALSE)),"No Existe",VLOOKUP(T_ComprobanteIngreso[[#This Row],[RUN]],T_Voluntarios[],10,FALSE))</f>
        <v>San Bartolomé</v>
      </c>
      <c r="F85" t="str">
        <f>IF(ISERROR(VLOOKUP(T_ComprobanteIngreso[[#This Row],[RUN]],T_Voluntarios[],11,FALSE)),"No Existe",VLOOKUP(T_ComprobanteIngreso[[#This Row],[RUN]],T_Voluntarios[],11,FALSE))</f>
        <v>Golondrinas</v>
      </c>
      <c r="G85" s="38">
        <f>IF(ISERROR(VLOOKUP(T_ComprobanteIngreso[[#This Row],[RUN]],T_Voluntarios[],37,FALSE)),"No Existe",VLOOKUP(T_ComprobanteIngreso[[#This Row],[RUN]],T_Voluntarios[],37,FALSE))</f>
        <v>50000</v>
      </c>
      <c r="H85" t="str" cm="1">
        <f t="array" ref="H85">PROPER(NUMEROSALETRAS(T_ComprobanteIngreso[[#This Row],[CUOTA]]))&amp;" pesos"</f>
        <v>Cincuenta Mil pesos</v>
      </c>
    </row>
    <row r="86" spans="1:8" x14ac:dyDescent="0.3">
      <c r="A86" t="s">
        <v>2054</v>
      </c>
      <c r="B86" t="str">
        <f>IF(ISERROR(VLOOKUP(T_ComprobanteIngreso[[#This Row],[RUN]],T_Voluntarios[],3,FALSE)),"No Existe",VLOOKUP(T_ComprobanteIngreso[[#This Row],[RUN]],T_Voluntarios[],3,FALSE))</f>
        <v>Andrés Nicolás González Michellod</v>
      </c>
      <c r="C86" s="80" t="s">
        <v>3332</v>
      </c>
      <c r="D86" t="str">
        <f>IF(ISERROR(VLOOKUP(T_ComprobanteIngreso[[#This Row],[RUN]],T_Voluntarios[],9,FALSE)),"No Existe",VLOOKUP(T_ComprobanteIngreso[[#This Row],[RUN]],T_Voluntarios[],9,FALSE))</f>
        <v>Participante</v>
      </c>
      <c r="E86" t="str">
        <f>IF(ISERROR(VLOOKUP(T_ComprobanteIngreso[[#This Row],[RUN]],T_Voluntarios[],10,FALSE)),"No Existe",VLOOKUP(T_ComprobanteIngreso[[#This Row],[RUN]],T_Voluntarios[],10,FALSE))</f>
        <v>La Asunción</v>
      </c>
      <c r="F86" t="str">
        <f>IF(ISERROR(VLOOKUP(T_ComprobanteIngreso[[#This Row],[RUN]],T_Voluntarios[],11,FALSE)),"No Existe",VLOOKUP(T_ComprobanteIngreso[[#This Row],[RUN]],T_Voluntarios[],11,FALSE))</f>
        <v>Caminantes</v>
      </c>
      <c r="G86" s="38">
        <f>IF(ISERROR(VLOOKUP(T_ComprobanteIngreso[[#This Row],[RUN]],T_Voluntarios[],37,FALSE)),"No Existe",VLOOKUP(T_ComprobanteIngreso[[#This Row],[RUN]],T_Voluntarios[],37,FALSE))</f>
        <v>50000</v>
      </c>
      <c r="H86" t="str" cm="1">
        <f t="array" ref="H86">PROPER(NUMEROSALETRAS(T_ComprobanteIngreso[[#This Row],[CUOTA]]))&amp;" pesos"</f>
        <v>Cincuenta Mil pesos</v>
      </c>
    </row>
    <row r="87" spans="1:8" x14ac:dyDescent="0.3">
      <c r="A87" t="s">
        <v>2062</v>
      </c>
      <c r="B87" t="str">
        <f>IF(ISERROR(VLOOKUP(T_ComprobanteIngreso[[#This Row],[RUN]],T_Voluntarios[],3,FALSE)),"No Existe",VLOOKUP(T_ComprobanteIngreso[[#This Row],[RUN]],T_Voluntarios[],3,FALSE))</f>
        <v>Constanza Belén Donoso González</v>
      </c>
      <c r="C87" s="80" t="s">
        <v>3333</v>
      </c>
      <c r="D87" t="str">
        <f>IF(ISERROR(VLOOKUP(T_ComprobanteIngreso[[#This Row],[RUN]],T_Voluntarios[],9,FALSE)),"No Existe",VLOOKUP(T_ComprobanteIngreso[[#This Row],[RUN]],T_Voluntarios[],9,FALSE))</f>
        <v>Participante</v>
      </c>
      <c r="E87" t="str">
        <f>IF(ISERROR(VLOOKUP(T_ComprobanteIngreso[[#This Row],[RUN]],T_Voluntarios[],10,FALSE)),"No Existe",VLOOKUP(T_ComprobanteIngreso[[#This Row],[RUN]],T_Voluntarios[],10,FALSE))</f>
        <v>La Asunción</v>
      </c>
      <c r="F87" t="str">
        <f>IF(ISERROR(VLOOKUP(T_ComprobanteIngreso[[#This Row],[RUN]],T_Voluntarios[],11,FALSE)),"No Existe",VLOOKUP(T_ComprobanteIngreso[[#This Row],[RUN]],T_Voluntarios[],11,FALSE))</f>
        <v>Lobatos</v>
      </c>
      <c r="G87" s="38">
        <f>IF(ISERROR(VLOOKUP(T_ComprobanteIngreso[[#This Row],[RUN]],T_Voluntarios[],37,FALSE)),"No Existe",VLOOKUP(T_ComprobanteIngreso[[#This Row],[RUN]],T_Voluntarios[],37,FALSE))</f>
        <v>50000</v>
      </c>
      <c r="H87" t="str" cm="1">
        <f t="array" ref="H87">PROPER(NUMEROSALETRAS(T_ComprobanteIngreso[[#This Row],[CUOTA]]))&amp;" pesos"</f>
        <v>Cincuenta Mil pesos</v>
      </c>
    </row>
    <row r="88" spans="1:8" x14ac:dyDescent="0.3">
      <c r="A88" t="s">
        <v>2141</v>
      </c>
      <c r="B88" t="str">
        <f>IF(ISERROR(VLOOKUP(T_ComprobanteIngreso[[#This Row],[RUN]],T_Voluntarios[],3,FALSE)),"No Existe",VLOOKUP(T_ComprobanteIngreso[[#This Row],[RUN]],T_Voluntarios[],3,FALSE))</f>
        <v>Viviana Alejandra Rodríguez Vidal</v>
      </c>
      <c r="C88" s="80" t="s">
        <v>3334</v>
      </c>
      <c r="D88" t="str">
        <f>IF(ISERROR(VLOOKUP(T_ComprobanteIngreso[[#This Row],[RUN]],T_Voluntarios[],9,FALSE)),"No Existe",VLOOKUP(T_ComprobanteIngreso[[#This Row],[RUN]],T_Voluntarios[],9,FALSE))</f>
        <v>Participante</v>
      </c>
      <c r="E88" t="str">
        <f>IF(ISERROR(VLOOKUP(T_ComprobanteIngreso[[#This Row],[RUN]],T_Voluntarios[],10,FALSE)),"No Existe",VLOOKUP(T_ComprobanteIngreso[[#This Row],[RUN]],T_Voluntarios[],10,FALSE))</f>
        <v>Manutara</v>
      </c>
      <c r="F88" t="str">
        <f>IF(ISERROR(VLOOKUP(T_ComprobanteIngreso[[#This Row],[RUN]],T_Voluntarios[],11,FALSE)),"No Existe",VLOOKUP(T_ComprobanteIngreso[[#This Row],[RUN]],T_Voluntarios[],11,FALSE))</f>
        <v>Guias</v>
      </c>
      <c r="G88" s="38">
        <f>IF(ISERROR(VLOOKUP(T_ComprobanteIngreso[[#This Row],[RUN]],T_Voluntarios[],37,FALSE)),"No Existe",VLOOKUP(T_ComprobanteIngreso[[#This Row],[RUN]],T_Voluntarios[],37,FALSE))</f>
        <v>36500</v>
      </c>
      <c r="H88" t="str" cm="1">
        <f t="array" ref="H88">PROPER(NUMEROSALETRAS(T_ComprobanteIngreso[[#This Row],[CUOTA]]))&amp;" pesos"</f>
        <v>Treinta Seis Mil Quinientos pesos</v>
      </c>
    </row>
    <row r="89" spans="1:8" x14ac:dyDescent="0.3">
      <c r="A89" t="s">
        <v>2077</v>
      </c>
      <c r="B89" t="str">
        <f>IF(ISERROR(VLOOKUP(T_ComprobanteIngreso[[#This Row],[RUN]],T_Voluntarios[],3,FALSE)),"No Existe",VLOOKUP(T_ComprobanteIngreso[[#This Row],[RUN]],T_Voluntarios[],3,FALSE))</f>
        <v>Patricio Javier Esparza Espinoza</v>
      </c>
      <c r="C89" s="80" t="s">
        <v>3335</v>
      </c>
      <c r="D89" t="str">
        <f>IF(ISERROR(VLOOKUP(T_ComprobanteIngreso[[#This Row],[RUN]],T_Voluntarios[],9,FALSE)),"No Existe",VLOOKUP(T_ComprobanteIngreso[[#This Row],[RUN]],T_Voluntarios[],9,FALSE))</f>
        <v>Participante</v>
      </c>
      <c r="E89" t="str">
        <f>IF(ISERROR(VLOOKUP(T_ComprobanteIngreso[[#This Row],[RUN]],T_Voluntarios[],10,FALSE)),"No Existe",VLOOKUP(T_ComprobanteIngreso[[#This Row],[RUN]],T_Voluntarios[],10,FALSE))</f>
        <v>San Bartolomé</v>
      </c>
      <c r="F89" t="str">
        <f>IF(ISERROR(VLOOKUP(T_ComprobanteIngreso[[#This Row],[RUN]],T_Voluntarios[],11,FALSE)),"No Existe",VLOOKUP(T_ComprobanteIngreso[[#This Row],[RUN]],T_Voluntarios[],11,FALSE))</f>
        <v>Scouts</v>
      </c>
      <c r="G89" s="38">
        <f>IF(ISERROR(VLOOKUP(T_ComprobanteIngreso[[#This Row],[RUN]],T_Voluntarios[],37,FALSE)),"No Existe",VLOOKUP(T_ComprobanteIngreso[[#This Row],[RUN]],T_Voluntarios[],37,FALSE))</f>
        <v>50000</v>
      </c>
      <c r="H89" t="str" cm="1">
        <f t="array" ref="H89">PROPER(NUMEROSALETRAS(T_ComprobanteIngreso[[#This Row],[CUOTA]]))&amp;" pesos"</f>
        <v>Cincuenta Mil pesos</v>
      </c>
    </row>
    <row r="90" spans="1:8" x14ac:dyDescent="0.3">
      <c r="A90" t="s">
        <v>2095</v>
      </c>
      <c r="B90" t="str">
        <f>IF(ISERROR(VLOOKUP(T_ComprobanteIngreso[[#This Row],[RUN]],T_Voluntarios[],3,FALSE)),"No Existe",VLOOKUP(T_ComprobanteIngreso[[#This Row],[RUN]],T_Voluntarios[],3,FALSE))</f>
        <v>Claudia Andrea Silvestre Maldonado</v>
      </c>
      <c r="C90" s="80" t="s">
        <v>3336</v>
      </c>
      <c r="D90" t="str">
        <f>IF(ISERROR(VLOOKUP(T_ComprobanteIngreso[[#This Row],[RUN]],T_Voluntarios[],9,FALSE)),"No Existe",VLOOKUP(T_ComprobanteIngreso[[#This Row],[RUN]],T_Voluntarios[],9,FALSE))</f>
        <v>Participante</v>
      </c>
      <c r="E90" t="str">
        <f>IF(ISERROR(VLOOKUP(T_ComprobanteIngreso[[#This Row],[RUN]],T_Voluntarios[],10,FALSE)),"No Existe",VLOOKUP(T_ComprobanteIngreso[[#This Row],[RUN]],T_Voluntarios[],10,FALSE))</f>
        <v>San Sebastian</v>
      </c>
      <c r="F90" t="str">
        <f>IF(ISERROR(VLOOKUP(T_ComprobanteIngreso[[#This Row],[RUN]],T_Voluntarios[],11,FALSE)),"No Existe",VLOOKUP(T_ComprobanteIngreso[[#This Row],[RUN]],T_Voluntarios[],11,FALSE))</f>
        <v>Guias</v>
      </c>
      <c r="G90" s="38">
        <f>IF(ISERROR(VLOOKUP(T_ComprobanteIngreso[[#This Row],[RUN]],T_Voluntarios[],37,FALSE)),"No Existe",VLOOKUP(T_ComprobanteIngreso[[#This Row],[RUN]],T_Voluntarios[],37,FALSE))</f>
        <v>50000</v>
      </c>
      <c r="H90" t="str" cm="1">
        <f t="array" ref="H90">PROPER(NUMEROSALETRAS(T_ComprobanteIngreso[[#This Row],[CUOTA]]))&amp;" pesos"</f>
        <v>Cincuenta Mil pesos</v>
      </c>
    </row>
    <row r="91" spans="1:8" x14ac:dyDescent="0.3">
      <c r="A91" t="s">
        <v>2106</v>
      </c>
      <c r="B91" t="str">
        <f>IF(ISERROR(VLOOKUP(T_ComprobanteIngreso[[#This Row],[RUN]],T_Voluntarios[],3,FALSE)),"No Existe",VLOOKUP(T_ComprobanteIngreso[[#This Row],[RUN]],T_Voluntarios[],3,FALSE))</f>
        <v>Gabriel Alberto Faúndez Vera</v>
      </c>
      <c r="C91" s="80" t="s">
        <v>3337</v>
      </c>
      <c r="D91" t="str">
        <f>IF(ISERROR(VLOOKUP(T_ComprobanteIngreso[[#This Row],[RUN]],T_Voluntarios[],9,FALSE)),"No Existe",VLOOKUP(T_ComprobanteIngreso[[#This Row],[RUN]],T_Voluntarios[],9,FALSE))</f>
        <v>Participante</v>
      </c>
      <c r="E91" t="str">
        <f>IF(ISERROR(VLOOKUP(T_ComprobanteIngreso[[#This Row],[RUN]],T_Voluntarios[],10,FALSE)),"No Existe",VLOOKUP(T_ComprobanteIngreso[[#This Row],[RUN]],T_Voluntarios[],10,FALSE))</f>
        <v>San Bartolomé</v>
      </c>
      <c r="F91" t="str">
        <f>IF(ISERROR(VLOOKUP(T_ComprobanteIngreso[[#This Row],[RUN]],T_Voluntarios[],11,FALSE)),"No Existe",VLOOKUP(T_ComprobanteIngreso[[#This Row],[RUN]],T_Voluntarios[],11,FALSE))</f>
        <v>Pioneros</v>
      </c>
      <c r="G91" s="38">
        <f>IF(ISERROR(VLOOKUP(T_ComprobanteIngreso[[#This Row],[RUN]],T_Voluntarios[],37,FALSE)),"No Existe",VLOOKUP(T_ComprobanteIngreso[[#This Row],[RUN]],T_Voluntarios[],37,FALSE))</f>
        <v>36500</v>
      </c>
      <c r="H91" t="str" cm="1">
        <f t="array" ref="H91">PROPER(NUMEROSALETRAS(T_ComprobanteIngreso[[#This Row],[CUOTA]]))&amp;" pesos"</f>
        <v>Treinta Seis Mil Quinientos pesos</v>
      </c>
    </row>
    <row r="92" spans="1:8" x14ac:dyDescent="0.3">
      <c r="A92" t="s">
        <v>2127</v>
      </c>
      <c r="B92" t="str">
        <f>IF(ISERROR(VLOOKUP(T_ComprobanteIngreso[[#This Row],[RUN]],T_Voluntarios[],3,FALSE)),"No Existe",VLOOKUP(T_ComprobanteIngreso[[#This Row],[RUN]],T_Voluntarios[],3,FALSE))</f>
        <v>Angela Alejandra Olave Zagal</v>
      </c>
      <c r="C92" s="80" t="s">
        <v>3338</v>
      </c>
      <c r="D92" t="str">
        <f>IF(ISERROR(VLOOKUP(T_ComprobanteIngreso[[#This Row],[RUN]],T_Voluntarios[],9,FALSE)),"No Existe",VLOOKUP(T_ComprobanteIngreso[[#This Row],[RUN]],T_Voluntarios[],9,FALSE))</f>
        <v>Participante</v>
      </c>
      <c r="E92" t="str">
        <f>IF(ISERROR(VLOOKUP(T_ComprobanteIngreso[[#This Row],[RUN]],T_Voluntarios[],10,FALSE)),"No Existe",VLOOKUP(T_ComprobanteIngreso[[#This Row],[RUN]],T_Voluntarios[],10,FALSE))</f>
        <v>Tricolor Chileno</v>
      </c>
      <c r="F92" t="str">
        <f>IF(ISERROR(VLOOKUP(T_ComprobanteIngreso[[#This Row],[RUN]],T_Voluntarios[],11,FALSE)),"No Existe",VLOOKUP(T_ComprobanteIngreso[[#This Row],[RUN]],T_Voluntarios[],11,FALSE))</f>
        <v>Golondrinas</v>
      </c>
      <c r="G92" s="38">
        <f>IF(ISERROR(VLOOKUP(T_ComprobanteIngreso[[#This Row],[RUN]],T_Voluntarios[],37,FALSE)),"No Existe",VLOOKUP(T_ComprobanteIngreso[[#This Row],[RUN]],T_Voluntarios[],37,FALSE))</f>
        <v>50000</v>
      </c>
      <c r="H92" t="str" cm="1">
        <f t="array" ref="H92">PROPER(NUMEROSALETRAS(T_ComprobanteIngreso[[#This Row],[CUOTA]]))&amp;" pesos"</f>
        <v>Cincuenta Mil pesos</v>
      </c>
    </row>
    <row r="93" spans="1:8" x14ac:dyDescent="0.3">
      <c r="A93" t="s">
        <v>2334</v>
      </c>
      <c r="B93" t="str">
        <f>IF(ISERROR(VLOOKUP(T_ComprobanteIngreso[[#This Row],[RUN]],T_Voluntarios[],3,FALSE)),"No Existe",VLOOKUP(T_ComprobanteIngreso[[#This Row],[RUN]],T_Voluntarios[],3,FALSE))</f>
        <v>Josefa Catalina Rebolledo González</v>
      </c>
      <c r="C93" s="80" t="s">
        <v>3339</v>
      </c>
      <c r="D93" t="str">
        <f>IF(ISERROR(VLOOKUP(T_ComprobanteIngreso[[#This Row],[RUN]],T_Voluntarios[],9,FALSE)),"No Existe",VLOOKUP(T_ComprobanteIngreso[[#This Row],[RUN]],T_Voluntarios[],9,FALSE))</f>
        <v>Participante</v>
      </c>
      <c r="E93" t="str">
        <f>IF(ISERROR(VLOOKUP(T_ComprobanteIngreso[[#This Row],[RUN]],T_Voluntarios[],10,FALSE)),"No Existe",VLOOKUP(T_ComprobanteIngreso[[#This Row],[RUN]],T_Voluntarios[],10,FALSE))</f>
        <v>Sagrados Corazones</v>
      </c>
      <c r="F93" t="str">
        <f>IF(ISERROR(VLOOKUP(T_ComprobanteIngreso[[#This Row],[RUN]],T_Voluntarios[],11,FALSE)),"No Existe",VLOOKUP(T_ComprobanteIngreso[[#This Row],[RUN]],T_Voluntarios[],11,FALSE))</f>
        <v>Lobatos</v>
      </c>
      <c r="G93" s="38">
        <f>IF(ISERROR(VLOOKUP(T_ComprobanteIngreso[[#This Row],[RUN]],T_Voluntarios[],37,FALSE)),"No Existe",VLOOKUP(T_ComprobanteIngreso[[#This Row],[RUN]],T_Voluntarios[],37,FALSE))</f>
        <v>50000</v>
      </c>
      <c r="H93" t="str" cm="1">
        <f t="array" ref="H93">PROPER(NUMEROSALETRAS(T_ComprobanteIngreso[[#This Row],[CUOTA]]))&amp;" pesos"</f>
        <v>Cincuenta Mil pesos</v>
      </c>
    </row>
    <row r="94" spans="1:8" x14ac:dyDescent="0.3">
      <c r="A94" t="s">
        <v>2178</v>
      </c>
      <c r="B94" t="str">
        <f>IF(ISERROR(VLOOKUP(T_ComprobanteIngreso[[#This Row],[RUN]],T_Voluntarios[],3,FALSE)),"No Existe",VLOOKUP(T_ComprobanteIngreso[[#This Row],[RUN]],T_Voluntarios[],3,FALSE))</f>
        <v>Bárbara Nicole Rebolledo González</v>
      </c>
      <c r="C94" s="80" t="s">
        <v>3340</v>
      </c>
      <c r="D94" t="str">
        <f>IF(ISERROR(VLOOKUP(T_ComprobanteIngreso[[#This Row],[RUN]],T_Voluntarios[],9,FALSE)),"No Existe",VLOOKUP(T_ComprobanteIngreso[[#This Row],[RUN]],T_Voluntarios[],9,FALSE))</f>
        <v>Participante</v>
      </c>
      <c r="E94" t="str">
        <f>IF(ISERROR(VLOOKUP(T_ComprobanteIngreso[[#This Row],[RUN]],T_Voluntarios[],10,FALSE)),"No Existe",VLOOKUP(T_ComprobanteIngreso[[#This Row],[RUN]],T_Voluntarios[],10,FALSE))</f>
        <v>Sagrados Corazones</v>
      </c>
      <c r="F94" t="str">
        <f>IF(ISERROR(VLOOKUP(T_ComprobanteIngreso[[#This Row],[RUN]],T_Voluntarios[],11,FALSE)),"No Existe",VLOOKUP(T_ComprobanteIngreso[[#This Row],[RUN]],T_Voluntarios[],11,FALSE))</f>
        <v>Golondrinas</v>
      </c>
      <c r="G94" s="38">
        <f>IF(ISERROR(VLOOKUP(T_ComprobanteIngreso[[#This Row],[RUN]],T_Voluntarios[],37,FALSE)),"No Existe",VLOOKUP(T_ComprobanteIngreso[[#This Row],[RUN]],T_Voluntarios[],37,FALSE))</f>
        <v>50000</v>
      </c>
      <c r="H94" t="str" cm="1">
        <f t="array" ref="H94">PROPER(NUMEROSALETRAS(T_ComprobanteIngreso[[#This Row],[CUOTA]]))&amp;" pesos"</f>
        <v>Cincuenta Mil pesos</v>
      </c>
    </row>
    <row r="95" spans="1:8" x14ac:dyDescent="0.3">
      <c r="A95" t="s">
        <v>2189</v>
      </c>
      <c r="B95" t="str">
        <f>IF(ISERROR(VLOOKUP(T_ComprobanteIngreso[[#This Row],[RUN]],T_Voluntarios[],3,FALSE)),"No Existe",VLOOKUP(T_ComprobanteIngreso[[#This Row],[RUN]],T_Voluntarios[],3,FALSE))</f>
        <v>José Antonio Poza Pérez</v>
      </c>
      <c r="C95" s="80" t="s">
        <v>3341</v>
      </c>
      <c r="D95" t="str">
        <f>IF(ISERROR(VLOOKUP(T_ComprobanteIngreso[[#This Row],[RUN]],T_Voluntarios[],9,FALSE)),"No Existe",VLOOKUP(T_ComprobanteIngreso[[#This Row],[RUN]],T_Voluntarios[],9,FALSE))</f>
        <v>Participante</v>
      </c>
      <c r="E95" t="str">
        <f>IF(ISERROR(VLOOKUP(T_ComprobanteIngreso[[#This Row],[RUN]],T_Voluntarios[],10,FALSE)),"No Existe",VLOOKUP(T_ComprobanteIngreso[[#This Row],[RUN]],T_Voluntarios[],10,FALSE))</f>
        <v>Sagrados Corazones</v>
      </c>
      <c r="F95" t="str">
        <f>IF(ISERROR(VLOOKUP(T_ComprobanteIngreso[[#This Row],[RUN]],T_Voluntarios[],11,FALSE)),"No Existe",VLOOKUP(T_ComprobanteIngreso[[#This Row],[RUN]],T_Voluntarios[],11,FALSE))</f>
        <v>Lobatos</v>
      </c>
      <c r="G95" s="38">
        <f>IF(ISERROR(VLOOKUP(T_ComprobanteIngreso[[#This Row],[RUN]],T_Voluntarios[],37,FALSE)),"No Existe",VLOOKUP(T_ComprobanteIngreso[[#This Row],[RUN]],T_Voluntarios[],37,FALSE))</f>
        <v>50000</v>
      </c>
      <c r="H95" t="str" cm="1">
        <f t="array" ref="H95">PROPER(NUMEROSALETRAS(T_ComprobanteIngreso[[#This Row],[CUOTA]]))&amp;" pesos"</f>
        <v>Cincuenta Mil pesos</v>
      </c>
    </row>
    <row r="96" spans="1:8" x14ac:dyDescent="0.3">
      <c r="A96" t="s">
        <v>2197</v>
      </c>
      <c r="B96" t="str">
        <f>IF(ISERROR(VLOOKUP(T_ComprobanteIngreso[[#This Row],[RUN]],T_Voluntarios[],3,FALSE)),"No Existe",VLOOKUP(T_ComprobanteIngreso[[#This Row],[RUN]],T_Voluntarios[],3,FALSE))</f>
        <v>Matías Santiago Mancilla Ríos</v>
      </c>
      <c r="C96" s="80" t="s">
        <v>3342</v>
      </c>
      <c r="D96" t="str">
        <f>IF(ISERROR(VLOOKUP(T_ComprobanteIngreso[[#This Row],[RUN]],T_Voluntarios[],9,FALSE)),"No Existe",VLOOKUP(T_ComprobanteIngreso[[#This Row],[RUN]],T_Voluntarios[],9,FALSE))</f>
        <v>Participante</v>
      </c>
      <c r="E96" t="str">
        <f>IF(ISERROR(VLOOKUP(T_ComprobanteIngreso[[#This Row],[RUN]],T_Voluntarios[],10,FALSE)),"No Existe",VLOOKUP(T_ComprobanteIngreso[[#This Row],[RUN]],T_Voluntarios[],10,FALSE))</f>
        <v>Santa Cecilia</v>
      </c>
      <c r="F96" t="str">
        <f>IF(ISERROR(VLOOKUP(T_ComprobanteIngreso[[#This Row],[RUN]],T_Voluntarios[],11,FALSE)),"No Existe",VLOOKUP(T_ComprobanteIngreso[[#This Row],[RUN]],T_Voluntarios[],11,FALSE))</f>
        <v>Pioneros</v>
      </c>
      <c r="G96" s="38">
        <f>IF(ISERROR(VLOOKUP(T_ComprobanteIngreso[[#This Row],[RUN]],T_Voluntarios[],37,FALSE)),"No Existe",VLOOKUP(T_ComprobanteIngreso[[#This Row],[RUN]],T_Voluntarios[],37,FALSE))</f>
        <v>50000</v>
      </c>
      <c r="H96" t="str" cm="1">
        <f t="array" ref="H96">PROPER(NUMEROSALETRAS(T_ComprobanteIngreso[[#This Row],[CUOTA]]))&amp;" pesos"</f>
        <v>Cincuenta Mil pesos</v>
      </c>
    </row>
    <row r="97" spans="1:8" x14ac:dyDescent="0.3">
      <c r="A97" t="s">
        <v>2237</v>
      </c>
      <c r="B97" t="str">
        <f>IF(ISERROR(VLOOKUP(T_ComprobanteIngreso[[#This Row],[RUN]],T_Voluntarios[],3,FALSE)),"No Existe",VLOOKUP(T_ComprobanteIngreso[[#This Row],[RUN]],T_Voluntarios[],3,FALSE))</f>
        <v>Manuel Alejandro Borquez Maluenda</v>
      </c>
      <c r="C97" s="80" t="s">
        <v>3343</v>
      </c>
      <c r="D97" t="str">
        <f>IF(ISERROR(VLOOKUP(T_ComprobanteIngreso[[#This Row],[RUN]],T_Voluntarios[],9,FALSE)),"No Existe",VLOOKUP(T_ComprobanteIngreso[[#This Row],[RUN]],T_Voluntarios[],9,FALSE))</f>
        <v>Participante</v>
      </c>
      <c r="E97" t="str">
        <f>IF(ISERROR(VLOOKUP(T_ComprobanteIngreso[[#This Row],[RUN]],T_Voluntarios[],10,FALSE)),"No Existe",VLOOKUP(T_ComprobanteIngreso[[#This Row],[RUN]],T_Voluntarios[],10,FALSE))</f>
        <v>Manutara</v>
      </c>
      <c r="F97" t="str">
        <f>IF(ISERROR(VLOOKUP(T_ComprobanteIngreso[[#This Row],[RUN]],T_Voluntarios[],11,FALSE)),"No Existe",VLOOKUP(T_ComprobanteIngreso[[#This Row],[RUN]],T_Voluntarios[],11,FALSE))</f>
        <v>Lobatos</v>
      </c>
      <c r="G97" s="38">
        <f>IF(ISERROR(VLOOKUP(T_ComprobanteIngreso[[#This Row],[RUN]],T_Voluntarios[],37,FALSE)),"No Existe",VLOOKUP(T_ComprobanteIngreso[[#This Row],[RUN]],T_Voluntarios[],37,FALSE))</f>
        <v>50000</v>
      </c>
      <c r="H97" t="str" cm="1">
        <f t="array" ref="H97">PROPER(NUMEROSALETRAS(T_ComprobanteIngreso[[#This Row],[CUOTA]]))&amp;" pesos"</f>
        <v>Cincuenta Mil pesos</v>
      </c>
    </row>
    <row r="98" spans="1:8" x14ac:dyDescent="0.3">
      <c r="A98" t="s">
        <v>2322</v>
      </c>
      <c r="B98" t="str">
        <f>IF(ISERROR(VLOOKUP(T_ComprobanteIngreso[[#This Row],[RUN]],T_Voluntarios[],3,FALSE)),"No Existe",VLOOKUP(T_ComprobanteIngreso[[#This Row],[RUN]],T_Voluntarios[],3,FALSE))</f>
        <v>Trinidad Ferrada González</v>
      </c>
      <c r="C98" s="80" t="s">
        <v>3344</v>
      </c>
      <c r="D98" t="str">
        <f>IF(ISERROR(VLOOKUP(T_ComprobanteIngreso[[#This Row],[RUN]],T_Voluntarios[],9,FALSE)),"No Existe",VLOOKUP(T_ComprobanteIngreso[[#This Row],[RUN]],T_Voluntarios[],9,FALSE))</f>
        <v>Participante</v>
      </c>
      <c r="E98" t="str">
        <f>IF(ISERROR(VLOOKUP(T_ComprobanteIngreso[[#This Row],[RUN]],T_Voluntarios[],10,FALSE)),"No Existe",VLOOKUP(T_ComprobanteIngreso[[#This Row],[RUN]],T_Voluntarios[],10,FALSE))</f>
        <v>San Bartolomé</v>
      </c>
      <c r="F98" t="str">
        <f>IF(ISERROR(VLOOKUP(T_ComprobanteIngreso[[#This Row],[RUN]],T_Voluntarios[],11,FALSE)),"No Existe",VLOOKUP(T_ComprobanteIngreso[[#This Row],[RUN]],T_Voluntarios[],11,FALSE))</f>
        <v>Caminantes</v>
      </c>
      <c r="G98" s="38">
        <f>IF(ISERROR(VLOOKUP(T_ComprobanteIngreso[[#This Row],[RUN]],T_Voluntarios[],37,FALSE)),"No Existe",VLOOKUP(T_ComprobanteIngreso[[#This Row],[RUN]],T_Voluntarios[],37,FALSE))</f>
        <v>50000</v>
      </c>
      <c r="H98" t="str" cm="1">
        <f t="array" ref="H98">PROPER(NUMEROSALETRAS(T_ComprobanteIngreso[[#This Row],[CUOTA]]))&amp;" pesos"</f>
        <v>Cincuenta Mil pesos</v>
      </c>
    </row>
    <row r="99" spans="1:8" x14ac:dyDescent="0.3">
      <c r="A99" t="s">
        <v>2204</v>
      </c>
      <c r="B99" t="str">
        <f>IF(ISERROR(VLOOKUP(T_ComprobanteIngreso[[#This Row],[RUN]],T_Voluntarios[],3,FALSE)),"No Existe",VLOOKUP(T_ComprobanteIngreso[[#This Row],[RUN]],T_Voluntarios[],3,FALSE))</f>
        <v>Fernanda Isidora Salas Perez</v>
      </c>
      <c r="C99" s="80" t="s">
        <v>3345</v>
      </c>
      <c r="D99" t="str">
        <f>IF(ISERROR(VLOOKUP(T_ComprobanteIngreso[[#This Row],[RUN]],T_Voluntarios[],9,FALSE)),"No Existe",VLOOKUP(T_ComprobanteIngreso[[#This Row],[RUN]],T_Voluntarios[],9,FALSE))</f>
        <v>Participante</v>
      </c>
      <c r="E99" t="str">
        <f>IF(ISERROR(VLOOKUP(T_ComprobanteIngreso[[#This Row],[RUN]],T_Voluntarios[],10,FALSE)),"No Existe",VLOOKUP(T_ComprobanteIngreso[[#This Row],[RUN]],T_Voluntarios[],10,FALSE))</f>
        <v>Sagrados Corazones</v>
      </c>
      <c r="F99" t="str">
        <f>IF(ISERROR(VLOOKUP(T_ComprobanteIngreso[[#This Row],[RUN]],T_Voluntarios[],11,FALSE)),"No Existe",VLOOKUP(T_ComprobanteIngreso[[#This Row],[RUN]],T_Voluntarios[],11,FALSE))</f>
        <v>Lobatos</v>
      </c>
      <c r="G99" s="38">
        <f>IF(ISERROR(VLOOKUP(T_ComprobanteIngreso[[#This Row],[RUN]],T_Voluntarios[],37,FALSE)),"No Existe",VLOOKUP(T_ComprobanteIngreso[[#This Row],[RUN]],T_Voluntarios[],37,FALSE))</f>
        <v>50000</v>
      </c>
      <c r="H99" t="str" cm="1">
        <f t="array" ref="H99">PROPER(NUMEROSALETRAS(T_ComprobanteIngreso[[#This Row],[CUOTA]]))&amp;" pesos"</f>
        <v>Cincuenta Mil pesos</v>
      </c>
    </row>
    <row r="100" spans="1:8" x14ac:dyDescent="0.3">
      <c r="A100" t="s">
        <v>2289</v>
      </c>
      <c r="B100" t="str">
        <f>IF(ISERROR(VLOOKUP(T_ComprobanteIngreso[[#This Row],[RUN]],T_Voluntarios[],3,FALSE)),"No Existe",VLOOKUP(T_ComprobanteIngreso[[#This Row],[RUN]],T_Voluntarios[],3,FALSE))</f>
        <v>Gloria Stephanie Olave Zagal</v>
      </c>
      <c r="C100" s="80" t="s">
        <v>3346</v>
      </c>
      <c r="D100" t="str">
        <f>IF(ISERROR(VLOOKUP(T_ComprobanteIngreso[[#This Row],[RUN]],T_Voluntarios[],9,FALSE)),"No Existe",VLOOKUP(T_ComprobanteIngreso[[#This Row],[RUN]],T_Voluntarios[],9,FALSE))</f>
        <v>Participante</v>
      </c>
      <c r="E100" t="str">
        <f>IF(ISERROR(VLOOKUP(T_ComprobanteIngreso[[#This Row],[RUN]],T_Voluntarios[],10,FALSE)),"No Existe",VLOOKUP(T_ComprobanteIngreso[[#This Row],[RUN]],T_Voluntarios[],10,FALSE))</f>
        <v>Tricolor Chileno</v>
      </c>
      <c r="F100" t="str">
        <f>IF(ISERROR(VLOOKUP(T_ComprobanteIngreso[[#This Row],[RUN]],T_Voluntarios[],11,FALSE)),"No Existe",VLOOKUP(T_ComprobanteIngreso[[#This Row],[RUN]],T_Voluntarios[],11,FALSE))</f>
        <v>Golondrinas</v>
      </c>
      <c r="G100" s="38">
        <f>IF(ISERROR(VLOOKUP(T_ComprobanteIngreso[[#This Row],[RUN]],T_Voluntarios[],37,FALSE)),"No Existe",VLOOKUP(T_ComprobanteIngreso[[#This Row],[RUN]],T_Voluntarios[],37,FALSE))</f>
        <v>50000</v>
      </c>
      <c r="H100" t="str" cm="1">
        <f t="array" ref="H100">PROPER(NUMEROSALETRAS(T_ComprobanteIngreso[[#This Row],[CUOTA]]))&amp;" pesos"</f>
        <v>Cincuenta Mil pesos</v>
      </c>
    </row>
    <row r="101" spans="1:8" x14ac:dyDescent="0.3">
      <c r="A101" t="s">
        <v>2211</v>
      </c>
      <c r="B101" t="str">
        <f>IF(ISERROR(VLOOKUP(T_ComprobanteIngreso[[#This Row],[RUN]],T_Voluntarios[],3,FALSE)),"No Existe",VLOOKUP(T_ComprobanteIngreso[[#This Row],[RUN]],T_Voluntarios[],3,FALSE))</f>
        <v>Tamara Patricia Ponss Riffo</v>
      </c>
      <c r="C101" s="80" t="s">
        <v>3347</v>
      </c>
      <c r="D101" t="str">
        <f>IF(ISERROR(VLOOKUP(T_ComprobanteIngreso[[#This Row],[RUN]],T_Voluntarios[],9,FALSE)),"No Existe",VLOOKUP(T_ComprobanteIngreso[[#This Row],[RUN]],T_Voluntarios[],9,FALSE))</f>
        <v>Participante</v>
      </c>
      <c r="E101" t="str">
        <f>IF(ISERROR(VLOOKUP(T_ComprobanteIngreso[[#This Row],[RUN]],T_Voluntarios[],10,FALSE)),"No Existe",VLOOKUP(T_ComprobanteIngreso[[#This Row],[RUN]],T_Voluntarios[],10,FALSE))</f>
        <v>Santa Cecilia</v>
      </c>
      <c r="F101" t="str">
        <f>IF(ISERROR(VLOOKUP(T_ComprobanteIngreso[[#This Row],[RUN]],T_Voluntarios[],11,FALSE)),"No Existe",VLOOKUP(T_ComprobanteIngreso[[#This Row],[RUN]],T_Voluntarios[],11,FALSE))</f>
        <v>Golondrinas</v>
      </c>
      <c r="G101" s="38">
        <f>IF(ISERROR(VLOOKUP(T_ComprobanteIngreso[[#This Row],[RUN]],T_Voluntarios[],37,FALSE)),"No Existe",VLOOKUP(T_ComprobanteIngreso[[#This Row],[RUN]],T_Voluntarios[],37,FALSE))</f>
        <v>50000</v>
      </c>
      <c r="H101" t="str" cm="1">
        <f t="array" ref="H101">PROPER(NUMEROSALETRAS(T_ComprobanteIngreso[[#This Row],[CUOTA]]))&amp;" pesos"</f>
        <v>Cincuenta Mil pesos</v>
      </c>
    </row>
    <row r="102" spans="1:8" x14ac:dyDescent="0.3">
      <c r="A102" t="s">
        <v>2935</v>
      </c>
      <c r="B102" t="str">
        <f>IF(ISERROR(VLOOKUP(T_ComprobanteIngreso[[#This Row],[RUN]],T_Voluntarios[],3,FALSE)),"No Existe",VLOOKUP(T_ComprobanteIngreso[[#This Row],[RUN]],T_Voluntarios[],3,FALSE))</f>
        <v>Nadia Sofía Varela Meza</v>
      </c>
      <c r="C102" s="80" t="s">
        <v>3348</v>
      </c>
      <c r="D102" t="str">
        <f>IF(ISERROR(VLOOKUP(T_ComprobanteIngreso[[#This Row],[RUN]],T_Voluntarios[],9,FALSE)),"No Existe",VLOOKUP(T_ComprobanteIngreso[[#This Row],[RUN]],T_Voluntarios[],9,FALSE))</f>
        <v>Participante</v>
      </c>
      <c r="E102" t="str">
        <f>IF(ISERROR(VLOOKUP(T_ComprobanteIngreso[[#This Row],[RUN]],T_Voluntarios[],10,FALSE)),"No Existe",VLOOKUP(T_ComprobanteIngreso[[#This Row],[RUN]],T_Voluntarios[],10,FALSE))</f>
        <v>Tricolor Chileno</v>
      </c>
      <c r="F102" t="str">
        <f>IF(ISERROR(VLOOKUP(T_ComprobanteIngreso[[#This Row],[RUN]],T_Voluntarios[],11,FALSE)),"No Existe",VLOOKUP(T_ComprobanteIngreso[[#This Row],[RUN]],T_Voluntarios[],11,FALSE))</f>
        <v>Guias</v>
      </c>
      <c r="G102" s="38">
        <f>IF(ISERROR(VLOOKUP(T_ComprobanteIngreso[[#This Row],[RUN]],T_Voluntarios[],37,FALSE)),"No Existe",VLOOKUP(T_ComprobanteIngreso[[#This Row],[RUN]],T_Voluntarios[],37,FALSE))</f>
        <v>50000</v>
      </c>
      <c r="H102" t="str" cm="1">
        <f t="array" ref="H102">PROPER(NUMEROSALETRAS(T_ComprobanteIngreso[[#This Row],[CUOTA]]))&amp;" pesos"</f>
        <v>Cincuenta Mil pesos</v>
      </c>
    </row>
    <row r="103" spans="1:8" x14ac:dyDescent="0.3">
      <c r="A103" t="s">
        <v>2219</v>
      </c>
      <c r="B103" t="str">
        <f>IF(ISERROR(VLOOKUP(T_ComprobanteIngreso[[#This Row],[RUN]],T_Voluntarios[],3,FALSE)),"No Existe",VLOOKUP(T_ComprobanteIngreso[[#This Row],[RUN]],T_Voluntarios[],3,FALSE))</f>
        <v>Ignacio Andrés Olivares Hernández</v>
      </c>
      <c r="C103" s="80" t="s">
        <v>3349</v>
      </c>
      <c r="D103" t="str">
        <f>IF(ISERROR(VLOOKUP(T_ComprobanteIngreso[[#This Row],[RUN]],T_Voluntarios[],9,FALSE)),"No Existe",VLOOKUP(T_ComprobanteIngreso[[#This Row],[RUN]],T_Voluntarios[],9,FALSE))</f>
        <v>Participante</v>
      </c>
      <c r="E103" t="str">
        <f>IF(ISERROR(VLOOKUP(T_ComprobanteIngreso[[#This Row],[RUN]],T_Voluntarios[],10,FALSE)),"No Existe",VLOOKUP(T_ComprobanteIngreso[[#This Row],[RUN]],T_Voluntarios[],10,FALSE))</f>
        <v>Peulla</v>
      </c>
      <c r="F103" t="str">
        <f>IF(ISERROR(VLOOKUP(T_ComprobanteIngreso[[#This Row],[RUN]],T_Voluntarios[],11,FALSE)),"No Existe",VLOOKUP(T_ComprobanteIngreso[[#This Row],[RUN]],T_Voluntarios[],11,FALSE))</f>
        <v>Pioneros</v>
      </c>
      <c r="G103" s="38">
        <f>IF(ISERROR(VLOOKUP(T_ComprobanteIngreso[[#This Row],[RUN]],T_Voluntarios[],37,FALSE)),"No Existe",VLOOKUP(T_ComprobanteIngreso[[#This Row],[RUN]],T_Voluntarios[],37,FALSE))</f>
        <v>50000</v>
      </c>
      <c r="H103" t="str" cm="1">
        <f t="array" ref="H103">PROPER(NUMEROSALETRAS(T_ComprobanteIngreso[[#This Row],[CUOTA]]))&amp;" pesos"</f>
        <v>Cincuenta Mil pesos</v>
      </c>
    </row>
    <row r="104" spans="1:8" x14ac:dyDescent="0.3">
      <c r="A104" t="s">
        <v>2355</v>
      </c>
      <c r="B104" t="str">
        <f>IF(ISERROR(VLOOKUP(T_ComprobanteIngreso[[#This Row],[RUN]],T_Voluntarios[],3,FALSE)),"No Existe",VLOOKUP(T_ComprobanteIngreso[[#This Row],[RUN]],T_Voluntarios[],3,FALSE))</f>
        <v>Jari Lorena Leiva Mardones</v>
      </c>
      <c r="C104" s="80" t="s">
        <v>3350</v>
      </c>
      <c r="D104" t="str">
        <f>IF(ISERROR(VLOOKUP(T_ComprobanteIngreso[[#This Row],[RUN]],T_Voluntarios[],9,FALSE)),"No Existe",VLOOKUP(T_ComprobanteIngreso[[#This Row],[RUN]],T_Voluntarios[],9,FALSE))</f>
        <v>Participante</v>
      </c>
      <c r="E104" t="str">
        <f>IF(ISERROR(VLOOKUP(T_ComprobanteIngreso[[#This Row],[RUN]],T_Voluntarios[],10,FALSE)),"No Existe",VLOOKUP(T_ComprobanteIngreso[[#This Row],[RUN]],T_Voluntarios[],10,FALSE))</f>
        <v>Mahuidanche</v>
      </c>
      <c r="F104" t="str">
        <f>IF(ISERROR(VLOOKUP(T_ComprobanteIngreso[[#This Row],[RUN]],T_Voluntarios[],11,FALSE)),"No Existe",VLOOKUP(T_ComprobanteIngreso[[#This Row],[RUN]],T_Voluntarios[],11,FALSE))</f>
        <v>Pioneros</v>
      </c>
      <c r="G104" s="38">
        <f>IF(ISERROR(VLOOKUP(T_ComprobanteIngreso[[#This Row],[RUN]],T_Voluntarios[],37,FALSE)),"No Existe",VLOOKUP(T_ComprobanteIngreso[[#This Row],[RUN]],T_Voluntarios[],37,FALSE))</f>
        <v>50000</v>
      </c>
      <c r="H104" t="str" cm="1">
        <f t="array" ref="H104">PROPER(NUMEROSALETRAS(T_ComprobanteIngreso[[#This Row],[CUOTA]]))&amp;" pesos"</f>
        <v>Cincuenta Mil pesos</v>
      </c>
    </row>
    <row r="105" spans="1:8" x14ac:dyDescent="0.3">
      <c r="A105" t="s">
        <v>2307</v>
      </c>
      <c r="B105" t="str">
        <f>IF(ISERROR(VLOOKUP(T_ComprobanteIngreso[[#This Row],[RUN]],T_Voluntarios[],3,FALSE)),"No Existe",VLOOKUP(T_ComprobanteIngreso[[#This Row],[RUN]],T_Voluntarios[],3,FALSE))</f>
        <v>Daniel Elias Troncoso Riquelme</v>
      </c>
      <c r="C105" s="80" t="s">
        <v>3351</v>
      </c>
      <c r="D105" t="str">
        <f>IF(ISERROR(VLOOKUP(T_ComprobanteIngreso[[#This Row],[RUN]],T_Voluntarios[],9,FALSE)),"No Existe",VLOOKUP(T_ComprobanteIngreso[[#This Row],[RUN]],T_Voluntarios[],9,FALSE))</f>
        <v>Participante</v>
      </c>
      <c r="E105" t="str">
        <f>IF(ISERROR(VLOOKUP(T_ComprobanteIngreso[[#This Row],[RUN]],T_Voluntarios[],10,FALSE)),"No Existe",VLOOKUP(T_ComprobanteIngreso[[#This Row],[RUN]],T_Voluntarios[],10,FALSE))</f>
        <v>Mahuidanche</v>
      </c>
      <c r="F105" t="str">
        <f>IF(ISERROR(VLOOKUP(T_ComprobanteIngreso[[#This Row],[RUN]],T_Voluntarios[],11,FALSE)),"No Existe",VLOOKUP(T_ComprobanteIngreso[[#This Row],[RUN]],T_Voluntarios[],11,FALSE))</f>
        <v>Scouts</v>
      </c>
      <c r="G105" s="38">
        <f>IF(ISERROR(VLOOKUP(T_ComprobanteIngreso[[#This Row],[RUN]],T_Voluntarios[],37,FALSE)),"No Existe",VLOOKUP(T_ComprobanteIngreso[[#This Row],[RUN]],T_Voluntarios[],37,FALSE))</f>
        <v>50000</v>
      </c>
      <c r="H105" t="str" cm="1">
        <f t="array" ref="H105">PROPER(NUMEROSALETRAS(T_ComprobanteIngreso[[#This Row],[CUOTA]]))&amp;" pesos"</f>
        <v>Cincuenta Mil pesos</v>
      </c>
    </row>
    <row r="106" spans="1:8" x14ac:dyDescent="0.3">
      <c r="A106" t="s">
        <v>2369</v>
      </c>
      <c r="B106" t="str">
        <f>IF(ISERROR(VLOOKUP(T_ComprobanteIngreso[[#This Row],[RUN]],T_Voluntarios[],3,FALSE)),"No Existe",VLOOKUP(T_ComprobanteIngreso[[#This Row],[RUN]],T_Voluntarios[],3,FALSE))</f>
        <v>Estephanie Ninette Salamanca Gutiérrez</v>
      </c>
      <c r="C106" s="80" t="s">
        <v>3352</v>
      </c>
      <c r="D106" t="str">
        <f>IF(ISERROR(VLOOKUP(T_ComprobanteIngreso[[#This Row],[RUN]],T_Voluntarios[],9,FALSE)),"No Existe",VLOOKUP(T_ComprobanteIngreso[[#This Row],[RUN]],T_Voluntarios[],9,FALSE))</f>
        <v>Participante</v>
      </c>
      <c r="E106" t="str">
        <f>IF(ISERROR(VLOOKUP(T_ComprobanteIngreso[[#This Row],[RUN]],T_Voluntarios[],10,FALSE)),"No Existe",VLOOKUP(T_ComprobanteIngreso[[#This Row],[RUN]],T_Voluntarios[],10,FALSE))</f>
        <v>Mahuidanche</v>
      </c>
      <c r="F106" t="str">
        <f>IF(ISERROR(VLOOKUP(T_ComprobanteIngreso[[#This Row],[RUN]],T_Voluntarios[],11,FALSE)),"No Existe",VLOOKUP(T_ComprobanteIngreso[[#This Row],[RUN]],T_Voluntarios[],11,FALSE))</f>
        <v>Caminantes</v>
      </c>
      <c r="G106" s="38">
        <f>IF(ISERROR(VLOOKUP(T_ComprobanteIngreso[[#This Row],[RUN]],T_Voluntarios[],37,FALSE)),"No Existe",VLOOKUP(T_ComprobanteIngreso[[#This Row],[RUN]],T_Voluntarios[],37,FALSE))</f>
        <v>50000</v>
      </c>
      <c r="H106" t="str" cm="1">
        <f t="array" ref="H106">PROPER(NUMEROSALETRAS(T_ComprobanteIngreso[[#This Row],[CUOTA]]))&amp;" pesos"</f>
        <v>Cincuenta Mil pesos</v>
      </c>
    </row>
    <row r="107" spans="1:8" x14ac:dyDescent="0.3">
      <c r="A107" t="s">
        <v>2258</v>
      </c>
      <c r="B107" t="str">
        <f>IF(ISERROR(VLOOKUP(T_ComprobanteIngreso[[#This Row],[RUN]],T_Voluntarios[],3,FALSE)),"No Existe",VLOOKUP(T_ComprobanteIngreso[[#This Row],[RUN]],T_Voluntarios[],3,FALSE))</f>
        <v>Daniel Alonso Sandoval Villanueva</v>
      </c>
      <c r="C107" s="80" t="s">
        <v>3353</v>
      </c>
      <c r="D107" t="str">
        <f>IF(ISERROR(VLOOKUP(T_ComprobanteIngreso[[#This Row],[RUN]],T_Voluntarios[],9,FALSE)),"No Existe",VLOOKUP(T_ComprobanteIngreso[[#This Row],[RUN]],T_Voluntarios[],9,FALSE))</f>
        <v>Participante</v>
      </c>
      <c r="E107" t="str">
        <f>IF(ISERROR(VLOOKUP(T_ComprobanteIngreso[[#This Row],[RUN]],T_Voluntarios[],10,FALSE)),"No Existe",VLOOKUP(T_ComprobanteIngreso[[#This Row],[RUN]],T_Voluntarios[],10,FALSE))</f>
        <v>Mahuidanche</v>
      </c>
      <c r="F107" t="str">
        <f>IF(ISERROR(VLOOKUP(T_ComprobanteIngreso[[#This Row],[RUN]],T_Voluntarios[],11,FALSE)),"No Existe",VLOOKUP(T_ComprobanteIngreso[[#This Row],[RUN]],T_Voluntarios[],11,FALSE))</f>
        <v>Scouts</v>
      </c>
      <c r="G107" s="38">
        <f>IF(ISERROR(VLOOKUP(T_ComprobanteIngreso[[#This Row],[RUN]],T_Voluntarios[],37,FALSE)),"No Existe",VLOOKUP(T_ComprobanteIngreso[[#This Row],[RUN]],T_Voluntarios[],37,FALSE))</f>
        <v>50000</v>
      </c>
      <c r="H107" t="str" cm="1">
        <f t="array" ref="H107">PROPER(NUMEROSALETRAS(T_ComprobanteIngreso[[#This Row],[CUOTA]]))&amp;" pesos"</f>
        <v>Cincuenta Mil pesos</v>
      </c>
    </row>
    <row r="108" spans="1:8" x14ac:dyDescent="0.3">
      <c r="A108" t="s">
        <v>2280</v>
      </c>
      <c r="B108" t="str">
        <f>IF(ISERROR(VLOOKUP(T_ComprobanteIngreso[[#This Row],[RUN]],T_Voluntarios[],3,FALSE)),"No Existe",VLOOKUP(T_ComprobanteIngreso[[#This Row],[RUN]],T_Voluntarios[],3,FALSE))</f>
        <v>Jaime Antonio Sanhueza Orostica</v>
      </c>
      <c r="C108" s="80" t="s">
        <v>3354</v>
      </c>
      <c r="D108" t="str">
        <f>IF(ISERROR(VLOOKUP(T_ComprobanteIngreso[[#This Row],[RUN]],T_Voluntarios[],9,FALSE)),"No Existe",VLOOKUP(T_ComprobanteIngreso[[#This Row],[RUN]],T_Voluntarios[],9,FALSE))</f>
        <v>Participante</v>
      </c>
      <c r="E108" t="str">
        <f>IF(ISERROR(VLOOKUP(T_ComprobanteIngreso[[#This Row],[RUN]],T_Voluntarios[],10,FALSE)),"No Existe",VLOOKUP(T_ComprobanteIngreso[[#This Row],[RUN]],T_Voluntarios[],10,FALSE))</f>
        <v>Mahuidanche</v>
      </c>
      <c r="F108" t="str">
        <f>IF(ISERROR(VLOOKUP(T_ComprobanteIngreso[[#This Row],[RUN]],T_Voluntarios[],11,FALSE)),"No Existe",VLOOKUP(T_ComprobanteIngreso[[#This Row],[RUN]],T_Voluntarios[],11,FALSE))</f>
        <v>Scouts</v>
      </c>
      <c r="G108" s="38">
        <f>IF(ISERROR(VLOOKUP(T_ComprobanteIngreso[[#This Row],[RUN]],T_Voluntarios[],37,FALSE)),"No Existe",VLOOKUP(T_ComprobanteIngreso[[#This Row],[RUN]],T_Voluntarios[],37,FALSE))</f>
        <v>50000</v>
      </c>
      <c r="H108" t="str" cm="1">
        <f t="array" ref="H108">PROPER(NUMEROSALETRAS(T_ComprobanteIngreso[[#This Row],[CUOTA]]))&amp;" pesos"</f>
        <v>Cincuenta Mil pesos</v>
      </c>
    </row>
    <row r="109" spans="1:8" x14ac:dyDescent="0.3">
      <c r="A109" t="s">
        <v>2267</v>
      </c>
      <c r="B109" t="str">
        <f>IF(ISERROR(VLOOKUP(T_ComprobanteIngreso[[#This Row],[RUN]],T_Voluntarios[],3,FALSE)),"No Existe",VLOOKUP(T_ComprobanteIngreso[[#This Row],[RUN]],T_Voluntarios[],3,FALSE))</f>
        <v>Constanza Javiera Muñoz Bello</v>
      </c>
      <c r="C109" s="80" t="s">
        <v>3355</v>
      </c>
      <c r="D109" t="str">
        <f>IF(ISERROR(VLOOKUP(T_ComprobanteIngreso[[#This Row],[RUN]],T_Voluntarios[],9,FALSE)),"No Existe",VLOOKUP(T_ComprobanteIngreso[[#This Row],[RUN]],T_Voluntarios[],9,FALSE))</f>
        <v>Participante</v>
      </c>
      <c r="E109" t="str">
        <f>IF(ISERROR(VLOOKUP(T_ComprobanteIngreso[[#This Row],[RUN]],T_Voluntarios[],10,FALSE)),"No Existe",VLOOKUP(T_ComprobanteIngreso[[#This Row],[RUN]],T_Voluntarios[],10,FALSE))</f>
        <v>Sagrados Corazones</v>
      </c>
      <c r="F109" t="str">
        <f>IF(ISERROR(VLOOKUP(T_ComprobanteIngreso[[#This Row],[RUN]],T_Voluntarios[],11,FALSE)),"No Existe",VLOOKUP(T_ComprobanteIngreso[[#This Row],[RUN]],T_Voluntarios[],11,FALSE))</f>
        <v>Scouts</v>
      </c>
      <c r="G109" s="38">
        <f>IF(ISERROR(VLOOKUP(T_ComprobanteIngreso[[#This Row],[RUN]],T_Voluntarios[],37,FALSE)),"No Existe",VLOOKUP(T_ComprobanteIngreso[[#This Row],[RUN]],T_Voluntarios[],37,FALSE))</f>
        <v>50000</v>
      </c>
      <c r="H109" t="str" cm="1">
        <f t="array" ref="H109">PROPER(NUMEROSALETRAS(T_ComprobanteIngreso[[#This Row],[CUOTA]]))&amp;" pesos"</f>
        <v>Cincuenta Mil pesos</v>
      </c>
    </row>
    <row r="110" spans="1:8" x14ac:dyDescent="0.3">
      <c r="A110" t="s">
        <v>2380</v>
      </c>
      <c r="B110" t="str">
        <f>IF(ISERROR(VLOOKUP(T_ComprobanteIngreso[[#This Row],[RUN]],T_Voluntarios[],3,FALSE)),"No Existe",VLOOKUP(T_ComprobanteIngreso[[#This Row],[RUN]],T_Voluntarios[],3,FALSE))</f>
        <v>Ayannís Mara Venegas Vargas</v>
      </c>
      <c r="C110" s="80" t="s">
        <v>3356</v>
      </c>
      <c r="D110" t="str">
        <f>IF(ISERROR(VLOOKUP(T_ComprobanteIngreso[[#This Row],[RUN]],T_Voluntarios[],9,FALSE)),"No Existe",VLOOKUP(T_ComprobanteIngreso[[#This Row],[RUN]],T_Voluntarios[],9,FALSE))</f>
        <v>Participante</v>
      </c>
      <c r="E110" t="str">
        <f>IF(ISERROR(VLOOKUP(T_ComprobanteIngreso[[#This Row],[RUN]],T_Voluntarios[],10,FALSE)),"No Existe",VLOOKUP(T_ComprobanteIngreso[[#This Row],[RUN]],T_Voluntarios[],10,FALSE))</f>
        <v>PADRE ISMAEL CRUZ</v>
      </c>
      <c r="F110" t="str">
        <f>IF(ISERROR(VLOOKUP(T_ComprobanteIngreso[[#This Row],[RUN]],T_Voluntarios[],11,FALSE)),"No Existe",VLOOKUP(T_ComprobanteIngreso[[#This Row],[RUN]],T_Voluntarios[],11,FALSE))</f>
        <v>Pioneros</v>
      </c>
      <c r="G110" s="38">
        <f>IF(ISERROR(VLOOKUP(T_ComprobanteIngreso[[#This Row],[RUN]],T_Voluntarios[],37,FALSE)),"No Existe",VLOOKUP(T_ComprobanteIngreso[[#This Row],[RUN]],T_Voluntarios[],37,FALSE))</f>
        <v>50000</v>
      </c>
      <c r="H110" t="str" cm="1">
        <f t="array" ref="H110">PROPER(NUMEROSALETRAS(T_ComprobanteIngreso[[#This Row],[CUOTA]]))&amp;" pesos"</f>
        <v>Cincuenta Mil pesos</v>
      </c>
    </row>
    <row r="111" spans="1:8" x14ac:dyDescent="0.3">
      <c r="A111" t="s">
        <v>2397</v>
      </c>
      <c r="B111" t="str">
        <f>IF(ISERROR(VLOOKUP(T_ComprobanteIngreso[[#This Row],[RUN]],T_Voluntarios[],3,FALSE)),"No Existe",VLOOKUP(T_ComprobanteIngreso[[#This Row],[RUN]],T_Voluntarios[],3,FALSE))</f>
        <v>Matías Alejandro Castro Essmann</v>
      </c>
      <c r="C111" s="80" t="s">
        <v>3357</v>
      </c>
      <c r="D111" t="str">
        <f>IF(ISERROR(VLOOKUP(T_ComprobanteIngreso[[#This Row],[RUN]],T_Voluntarios[],9,FALSE)),"No Existe",VLOOKUP(T_ComprobanteIngreso[[#This Row],[RUN]],T_Voluntarios[],9,FALSE))</f>
        <v>Participante</v>
      </c>
      <c r="E111" t="str">
        <f>IF(ISERROR(VLOOKUP(T_ComprobanteIngreso[[#This Row],[RUN]],T_Voluntarios[],10,FALSE)),"No Existe",VLOOKUP(T_ComprobanteIngreso[[#This Row],[RUN]],T_Voluntarios[],10,FALSE))</f>
        <v>Sagrados Corazones</v>
      </c>
      <c r="F111" t="str">
        <f>IF(ISERROR(VLOOKUP(T_ComprobanteIngreso[[#This Row],[RUN]],T_Voluntarios[],11,FALSE)),"No Existe",VLOOKUP(T_ComprobanteIngreso[[#This Row],[RUN]],T_Voluntarios[],11,FALSE))</f>
        <v>Scouts</v>
      </c>
      <c r="G111" s="38">
        <f>IF(ISERROR(VLOOKUP(T_ComprobanteIngreso[[#This Row],[RUN]],T_Voluntarios[],37,FALSE)),"No Existe",VLOOKUP(T_ComprobanteIngreso[[#This Row],[RUN]],T_Voluntarios[],37,FALSE))</f>
        <v>50000</v>
      </c>
      <c r="H111" t="str" cm="1">
        <f t="array" ref="H111">PROPER(NUMEROSALETRAS(T_ComprobanteIngreso[[#This Row],[CUOTA]]))&amp;" pesos"</f>
        <v>Cincuenta Mil pesos</v>
      </c>
    </row>
    <row r="112" spans="1:8" x14ac:dyDescent="0.3">
      <c r="A112" t="s">
        <v>2605</v>
      </c>
      <c r="B112" t="str">
        <f>IF(ISERROR(VLOOKUP(T_ComprobanteIngreso[[#This Row],[RUN]],T_Voluntarios[],3,FALSE)),"No Existe",VLOOKUP(T_ComprobanteIngreso[[#This Row],[RUN]],T_Voluntarios[],3,FALSE))</f>
        <v>Lorenzo Rodrigo Bizama Muñoz</v>
      </c>
      <c r="C112" s="80" t="s">
        <v>3358</v>
      </c>
      <c r="D112" t="str">
        <f>IF(ISERROR(VLOOKUP(T_ComprobanteIngreso[[#This Row],[RUN]],T_Voluntarios[],9,FALSE)),"No Existe",VLOOKUP(T_ComprobanteIngreso[[#This Row],[RUN]],T_Voluntarios[],9,FALSE))</f>
        <v>Participante</v>
      </c>
      <c r="E112" t="str">
        <f>IF(ISERROR(VLOOKUP(T_ComprobanteIngreso[[#This Row],[RUN]],T_Voluntarios[],10,FALSE)),"No Existe",VLOOKUP(T_ComprobanteIngreso[[#This Row],[RUN]],T_Voluntarios[],10,FALSE))</f>
        <v>Tricolor Chileno</v>
      </c>
      <c r="F112" t="str">
        <f>IF(ISERROR(VLOOKUP(T_ComprobanteIngreso[[#This Row],[RUN]],T_Voluntarios[],11,FALSE)),"No Existe",VLOOKUP(T_ComprobanteIngreso[[#This Row],[RUN]],T_Voluntarios[],11,FALSE))</f>
        <v>Lobatos</v>
      </c>
      <c r="G112" s="38">
        <f>IF(ISERROR(VLOOKUP(T_ComprobanteIngreso[[#This Row],[RUN]],T_Voluntarios[],37,FALSE)),"No Existe",VLOOKUP(T_ComprobanteIngreso[[#This Row],[RUN]],T_Voluntarios[],37,FALSE))</f>
        <v>50000</v>
      </c>
      <c r="H112" t="str" cm="1">
        <f t="array" ref="H112">PROPER(NUMEROSALETRAS(T_ComprobanteIngreso[[#This Row],[CUOTA]]))&amp;" pesos"</f>
        <v>Cincuenta Mil pesos</v>
      </c>
    </row>
    <row r="113" spans="1:8" x14ac:dyDescent="0.3">
      <c r="A113" t="s">
        <v>2430</v>
      </c>
      <c r="B113" t="str">
        <f>IF(ISERROR(VLOOKUP(T_ComprobanteIngreso[[#This Row],[RUN]],T_Voluntarios[],3,FALSE)),"No Existe",VLOOKUP(T_ComprobanteIngreso[[#This Row],[RUN]],T_Voluntarios[],3,FALSE))</f>
        <v>Vicente Matias Fuentes Torres</v>
      </c>
      <c r="C113" s="80" t="s">
        <v>3359</v>
      </c>
      <c r="D113" t="str">
        <f>IF(ISERROR(VLOOKUP(T_ComprobanteIngreso[[#This Row],[RUN]],T_Voluntarios[],9,FALSE)),"No Existe",VLOOKUP(T_ComprobanteIngreso[[#This Row],[RUN]],T_Voluntarios[],9,FALSE))</f>
        <v>Participante</v>
      </c>
      <c r="E113" t="str">
        <f>IF(ISERROR(VLOOKUP(T_ComprobanteIngreso[[#This Row],[RUN]],T_Voluntarios[],10,FALSE)),"No Existe",VLOOKUP(T_ComprobanteIngreso[[#This Row],[RUN]],T_Voluntarios[],10,FALSE))</f>
        <v>Tricolor Chileno</v>
      </c>
      <c r="F113" t="str">
        <f>IF(ISERROR(VLOOKUP(T_ComprobanteIngreso[[#This Row],[RUN]],T_Voluntarios[],11,FALSE)),"No Existe",VLOOKUP(T_ComprobanteIngreso[[#This Row],[RUN]],T_Voluntarios[],11,FALSE))</f>
        <v>Scouts</v>
      </c>
      <c r="G113" s="38">
        <f>IF(ISERROR(VLOOKUP(T_ComprobanteIngreso[[#This Row],[RUN]],T_Voluntarios[],37,FALSE)),"No Existe",VLOOKUP(T_ComprobanteIngreso[[#This Row],[RUN]],T_Voluntarios[],37,FALSE))</f>
        <v>50000</v>
      </c>
      <c r="H113" t="str" cm="1">
        <f t="array" ref="H113">PROPER(NUMEROSALETRAS(T_ComprobanteIngreso[[#This Row],[CUOTA]]))&amp;" pesos"</f>
        <v>Cincuenta Mil pesos</v>
      </c>
    </row>
    <row r="114" spans="1:8" x14ac:dyDescent="0.3">
      <c r="A114" t="s">
        <v>2439</v>
      </c>
      <c r="B114" t="str">
        <f>IF(ISERROR(VLOOKUP(T_ComprobanteIngreso[[#This Row],[RUN]],T_Voluntarios[],3,FALSE)),"No Existe",VLOOKUP(T_ComprobanteIngreso[[#This Row],[RUN]],T_Voluntarios[],3,FALSE))</f>
        <v>Javier Andres Dauros Hormazabal</v>
      </c>
      <c r="C114" s="80" t="s">
        <v>3360</v>
      </c>
      <c r="D114" t="str">
        <f>IF(ISERROR(VLOOKUP(T_ComprobanteIngreso[[#This Row],[RUN]],T_Voluntarios[],9,FALSE)),"No Existe",VLOOKUP(T_ComprobanteIngreso[[#This Row],[RUN]],T_Voluntarios[],9,FALSE))</f>
        <v>Participante</v>
      </c>
      <c r="E114" t="str">
        <f>IF(ISERROR(VLOOKUP(T_ComprobanteIngreso[[#This Row],[RUN]],T_Voluntarios[],10,FALSE)),"No Existe",VLOOKUP(T_ComprobanteIngreso[[#This Row],[RUN]],T_Voluntarios[],10,FALSE))</f>
        <v>La Asunción</v>
      </c>
      <c r="F114" t="str">
        <f>IF(ISERROR(VLOOKUP(T_ComprobanteIngreso[[#This Row],[RUN]],T_Voluntarios[],11,FALSE)),"No Existe",VLOOKUP(T_ComprobanteIngreso[[#This Row],[RUN]],T_Voluntarios[],11,FALSE))</f>
        <v>Caminantes</v>
      </c>
      <c r="G114" s="38">
        <f>IF(ISERROR(VLOOKUP(T_ComprobanteIngreso[[#This Row],[RUN]],T_Voluntarios[],37,FALSE)),"No Existe",VLOOKUP(T_ComprobanteIngreso[[#This Row],[RUN]],T_Voluntarios[],37,FALSE))</f>
        <v>50000</v>
      </c>
      <c r="H114" t="str" cm="1">
        <f t="array" ref="H114">PROPER(NUMEROSALETRAS(T_ComprobanteIngreso[[#This Row],[CUOTA]]))&amp;" pesos"</f>
        <v>Cincuenta Mil pesos</v>
      </c>
    </row>
    <row r="115" spans="1:8" x14ac:dyDescent="0.3">
      <c r="A115" t="s">
        <v>2452</v>
      </c>
      <c r="B115" t="str">
        <f>IF(ISERROR(VLOOKUP(T_ComprobanteIngreso[[#This Row],[RUN]],T_Voluntarios[],3,FALSE)),"No Existe",VLOOKUP(T_ComprobanteIngreso[[#This Row],[RUN]],T_Voluntarios[],3,FALSE))</f>
        <v>Catalina Ignacia Pérez Ramos</v>
      </c>
      <c r="C115" s="80" t="s">
        <v>3361</v>
      </c>
      <c r="D115" t="str">
        <f>IF(ISERROR(VLOOKUP(T_ComprobanteIngreso[[#This Row],[RUN]],T_Voluntarios[],9,FALSE)),"No Existe",VLOOKUP(T_ComprobanteIngreso[[#This Row],[RUN]],T_Voluntarios[],9,FALSE))</f>
        <v>Participante</v>
      </c>
      <c r="E115" t="str">
        <f>IF(ISERROR(VLOOKUP(T_ComprobanteIngreso[[#This Row],[RUN]],T_Voluntarios[],10,FALSE)),"No Existe",VLOOKUP(T_ComprobanteIngreso[[#This Row],[RUN]],T_Voluntarios[],10,FALSE))</f>
        <v>La Asunción</v>
      </c>
      <c r="F115" t="str">
        <f>IF(ISERROR(VLOOKUP(T_ComprobanteIngreso[[#This Row],[RUN]],T_Voluntarios[],11,FALSE)),"No Existe",VLOOKUP(T_ComprobanteIngreso[[#This Row],[RUN]],T_Voluntarios[],11,FALSE))</f>
        <v>Lobatos</v>
      </c>
      <c r="G115" s="38">
        <f>IF(ISERROR(VLOOKUP(T_ComprobanteIngreso[[#This Row],[RUN]],T_Voluntarios[],37,FALSE)),"No Existe",VLOOKUP(T_ComprobanteIngreso[[#This Row],[RUN]],T_Voluntarios[],37,FALSE))</f>
        <v>50000</v>
      </c>
      <c r="H115" t="str" cm="1">
        <f t="array" ref="H115">PROPER(NUMEROSALETRAS(T_ComprobanteIngreso[[#This Row],[CUOTA]]))&amp;" pesos"</f>
        <v>Cincuenta Mil pesos</v>
      </c>
    </row>
    <row r="116" spans="1:8" x14ac:dyDescent="0.3">
      <c r="A116" t="s">
        <v>2465</v>
      </c>
      <c r="B116" t="str">
        <f>IF(ISERROR(VLOOKUP(T_ComprobanteIngreso[[#This Row],[RUN]],T_Voluntarios[],3,FALSE)),"No Existe",VLOOKUP(T_ComprobanteIngreso[[#This Row],[RUN]],T_Voluntarios[],3,FALSE))</f>
        <v>Ignacio Andrés Lozano Urra</v>
      </c>
      <c r="C116" s="80" t="s">
        <v>3362</v>
      </c>
      <c r="D116" t="str">
        <f>IF(ISERROR(VLOOKUP(T_ComprobanteIngreso[[#This Row],[RUN]],T_Voluntarios[],9,FALSE)),"No Existe",VLOOKUP(T_ComprobanteIngreso[[#This Row],[RUN]],T_Voluntarios[],9,FALSE))</f>
        <v>Participante</v>
      </c>
      <c r="E116" t="str">
        <f>IF(ISERROR(VLOOKUP(T_ComprobanteIngreso[[#This Row],[RUN]],T_Voluntarios[],10,FALSE)),"No Existe",VLOOKUP(T_ComprobanteIngreso[[#This Row],[RUN]],T_Voluntarios[],10,FALSE))</f>
        <v>La Asunción</v>
      </c>
      <c r="F116" t="str">
        <f>IF(ISERROR(VLOOKUP(T_ComprobanteIngreso[[#This Row],[RUN]],T_Voluntarios[],11,FALSE)),"No Existe",VLOOKUP(T_ComprobanteIngreso[[#This Row],[RUN]],T_Voluntarios[],11,FALSE))</f>
        <v>Golondrinas</v>
      </c>
      <c r="G116" s="38">
        <f>IF(ISERROR(VLOOKUP(T_ComprobanteIngreso[[#This Row],[RUN]],T_Voluntarios[],37,FALSE)),"No Existe",VLOOKUP(T_ComprobanteIngreso[[#This Row],[RUN]],T_Voluntarios[],37,FALSE))</f>
        <v>50000</v>
      </c>
      <c r="H116" t="str" cm="1">
        <f t="array" ref="H116">PROPER(NUMEROSALETRAS(T_ComprobanteIngreso[[#This Row],[CUOTA]]))&amp;" pesos"</f>
        <v>Cincuenta Mil pesos</v>
      </c>
    </row>
    <row r="117" spans="1:8" x14ac:dyDescent="0.3">
      <c r="A117" t="s">
        <v>2473</v>
      </c>
      <c r="B117" t="str">
        <f>IF(ISERROR(VLOOKUP(T_ComprobanteIngreso[[#This Row],[RUN]],T_Voluntarios[],3,FALSE)),"No Existe",VLOOKUP(T_ComprobanteIngreso[[#This Row],[RUN]],T_Voluntarios[],3,FALSE))</f>
        <v>Liz Fernanda Bolomey Reske</v>
      </c>
      <c r="C117" s="80" t="s">
        <v>3363</v>
      </c>
      <c r="D117" t="str">
        <f>IF(ISERROR(VLOOKUP(T_ComprobanteIngreso[[#This Row],[RUN]],T_Voluntarios[],9,FALSE)),"No Existe",VLOOKUP(T_ComprobanteIngreso[[#This Row],[RUN]],T_Voluntarios[],9,FALSE))</f>
        <v>Participante</v>
      </c>
      <c r="E117" t="str">
        <f>IF(ISERROR(VLOOKUP(T_ComprobanteIngreso[[#This Row],[RUN]],T_Voluntarios[],10,FALSE)),"No Existe",VLOOKUP(T_ComprobanteIngreso[[#This Row],[RUN]],T_Voluntarios[],10,FALSE))</f>
        <v>Santa Cecilia</v>
      </c>
      <c r="F117" t="str">
        <f>IF(ISERROR(VLOOKUP(T_ComprobanteIngreso[[#This Row],[RUN]],T_Voluntarios[],11,FALSE)),"No Existe",VLOOKUP(T_ComprobanteIngreso[[#This Row],[RUN]],T_Voluntarios[],11,FALSE))</f>
        <v>Caminantes</v>
      </c>
      <c r="G117" s="38">
        <f>IF(ISERROR(VLOOKUP(T_ComprobanteIngreso[[#This Row],[RUN]],T_Voluntarios[],37,FALSE)),"No Existe",VLOOKUP(T_ComprobanteIngreso[[#This Row],[RUN]],T_Voluntarios[],37,FALSE))</f>
        <v>50000</v>
      </c>
      <c r="H117" t="str" cm="1">
        <f t="array" ref="H117">PROPER(NUMEROSALETRAS(T_ComprobanteIngreso[[#This Row],[CUOTA]]))&amp;" pesos"</f>
        <v>Cincuenta Mil pesos</v>
      </c>
    </row>
    <row r="118" spans="1:8" x14ac:dyDescent="0.3">
      <c r="A118" t="s">
        <v>2483</v>
      </c>
      <c r="B118" t="str">
        <f>IF(ISERROR(VLOOKUP(T_ComprobanteIngreso[[#This Row],[RUN]],T_Voluntarios[],3,FALSE)),"No Existe",VLOOKUP(T_ComprobanteIngreso[[#This Row],[RUN]],T_Voluntarios[],3,FALSE))</f>
        <v>Felipe Adrian Inostroza Loaiza</v>
      </c>
      <c r="C118" s="80" t="s">
        <v>3364</v>
      </c>
      <c r="D118" t="str">
        <f>IF(ISERROR(VLOOKUP(T_ComprobanteIngreso[[#This Row],[RUN]],T_Voluntarios[],9,FALSE)),"No Existe",VLOOKUP(T_ComprobanteIngreso[[#This Row],[RUN]],T_Voluntarios[],9,FALSE))</f>
        <v>Participante</v>
      </c>
      <c r="E118" t="str">
        <f>IF(ISERROR(VLOOKUP(T_ComprobanteIngreso[[#This Row],[RUN]],T_Voluntarios[],10,FALSE)),"No Existe",VLOOKUP(T_ComprobanteIngreso[[#This Row],[RUN]],T_Voluntarios[],10,FALSE))</f>
        <v>San Vicente</v>
      </c>
      <c r="F118" t="str">
        <f>IF(ISERROR(VLOOKUP(T_ComprobanteIngreso[[#This Row],[RUN]],T_Voluntarios[],11,FALSE)),"No Existe",VLOOKUP(T_ComprobanteIngreso[[#This Row],[RUN]],T_Voluntarios[],11,FALSE))</f>
        <v>Lobatos</v>
      </c>
      <c r="G118" s="38">
        <f>IF(ISERROR(VLOOKUP(T_ComprobanteIngreso[[#This Row],[RUN]],T_Voluntarios[],37,FALSE)),"No Existe",VLOOKUP(T_ComprobanteIngreso[[#This Row],[RUN]],T_Voluntarios[],37,FALSE))</f>
        <v>50000</v>
      </c>
      <c r="H118" t="str" cm="1">
        <f t="array" ref="H118">PROPER(NUMEROSALETRAS(T_ComprobanteIngreso[[#This Row],[CUOTA]]))&amp;" pesos"</f>
        <v>Cincuenta Mil pesos</v>
      </c>
    </row>
    <row r="119" spans="1:8" x14ac:dyDescent="0.3">
      <c r="A119" t="s">
        <v>2504</v>
      </c>
      <c r="B119" t="str">
        <f>IF(ISERROR(VLOOKUP(T_ComprobanteIngreso[[#This Row],[RUN]],T_Voluntarios[],3,FALSE)),"No Existe",VLOOKUP(T_ComprobanteIngreso[[#This Row],[RUN]],T_Voluntarios[],3,FALSE))</f>
        <v>Miguel Alfonso Gutierrez Davinson</v>
      </c>
      <c r="C119" s="80" t="s">
        <v>3365</v>
      </c>
      <c r="D119" t="str">
        <f>IF(ISERROR(VLOOKUP(T_ComprobanteIngreso[[#This Row],[RUN]],T_Voluntarios[],9,FALSE)),"No Existe",VLOOKUP(T_ComprobanteIngreso[[#This Row],[RUN]],T_Voluntarios[],9,FALSE))</f>
        <v>Participante</v>
      </c>
      <c r="E119" t="str">
        <f>IF(ISERROR(VLOOKUP(T_ComprobanteIngreso[[#This Row],[RUN]],T_Voluntarios[],10,FALSE)),"No Existe",VLOOKUP(T_ComprobanteIngreso[[#This Row],[RUN]],T_Voluntarios[],10,FALSE))</f>
        <v>Monte Kenya</v>
      </c>
      <c r="F119" t="str">
        <f>IF(ISERROR(VLOOKUP(T_ComprobanteIngreso[[#This Row],[RUN]],T_Voluntarios[],11,FALSE)),"No Existe",VLOOKUP(T_ComprobanteIngreso[[#This Row],[RUN]],T_Voluntarios[],11,FALSE))</f>
        <v>Pioneros</v>
      </c>
      <c r="G119" s="38">
        <f>IF(ISERROR(VLOOKUP(T_ComprobanteIngreso[[#This Row],[RUN]],T_Voluntarios[],37,FALSE)),"No Existe",VLOOKUP(T_ComprobanteIngreso[[#This Row],[RUN]],T_Voluntarios[],37,FALSE))</f>
        <v>50000</v>
      </c>
      <c r="H119" t="str" cm="1">
        <f t="array" ref="H119">PROPER(NUMEROSALETRAS(T_ComprobanteIngreso[[#This Row],[CUOTA]]))&amp;" pesos"</f>
        <v>Cincuenta Mil pesos</v>
      </c>
    </row>
    <row r="120" spans="1:8" x14ac:dyDescent="0.3">
      <c r="A120" t="s">
        <v>2513</v>
      </c>
      <c r="B120" t="str">
        <f>IF(ISERROR(VLOOKUP(T_ComprobanteIngreso[[#This Row],[RUN]],T_Voluntarios[],3,FALSE)),"No Existe",VLOOKUP(T_ComprobanteIngreso[[#This Row],[RUN]],T_Voluntarios[],3,FALSE))</f>
        <v>Francisca Ivelice Alvear Aguilar</v>
      </c>
      <c r="C120" s="80" t="s">
        <v>3366</v>
      </c>
      <c r="D120" t="str">
        <f>IF(ISERROR(VLOOKUP(T_ComprobanteIngreso[[#This Row],[RUN]],T_Voluntarios[],9,FALSE)),"No Existe",VLOOKUP(T_ComprobanteIngreso[[#This Row],[RUN]],T_Voluntarios[],9,FALSE))</f>
        <v>Participante</v>
      </c>
      <c r="E120" t="str">
        <f>IF(ISERROR(VLOOKUP(T_ComprobanteIngreso[[#This Row],[RUN]],T_Voluntarios[],10,FALSE)),"No Existe",VLOOKUP(T_ComprobanteIngreso[[#This Row],[RUN]],T_Voluntarios[],10,FALSE))</f>
        <v>Sagrados Corazones</v>
      </c>
      <c r="F120" t="str">
        <f>IF(ISERROR(VLOOKUP(T_ComprobanteIngreso[[#This Row],[RUN]],T_Voluntarios[],11,FALSE)),"No Existe",VLOOKUP(T_ComprobanteIngreso[[#This Row],[RUN]],T_Voluntarios[],11,FALSE))</f>
        <v>Scouts</v>
      </c>
      <c r="G120" s="38">
        <f>IF(ISERROR(VLOOKUP(T_ComprobanteIngreso[[#This Row],[RUN]],T_Voluntarios[],37,FALSE)),"No Existe",VLOOKUP(T_ComprobanteIngreso[[#This Row],[RUN]],T_Voluntarios[],37,FALSE))</f>
        <v>50000</v>
      </c>
      <c r="H120" t="str" cm="1">
        <f t="array" ref="H120">PROPER(NUMEROSALETRAS(T_ComprobanteIngreso[[#This Row],[CUOTA]]))&amp;" pesos"</f>
        <v>Cincuenta Mil pesos</v>
      </c>
    </row>
    <row r="121" spans="1:8" x14ac:dyDescent="0.3">
      <c r="A121" t="s">
        <v>2522</v>
      </c>
      <c r="B121" t="str">
        <f>IF(ISERROR(VLOOKUP(T_ComprobanteIngreso[[#This Row],[RUN]],T_Voluntarios[],3,FALSE)),"No Existe",VLOOKUP(T_ComprobanteIngreso[[#This Row],[RUN]],T_Voluntarios[],3,FALSE))</f>
        <v>Ignacio Vicente Iñaki Ibarra Herrera</v>
      </c>
      <c r="C121" s="80" t="s">
        <v>3367</v>
      </c>
      <c r="D121" t="str">
        <f>IF(ISERROR(VLOOKUP(T_ComprobanteIngreso[[#This Row],[RUN]],T_Voluntarios[],9,FALSE)),"No Existe",VLOOKUP(T_ComprobanteIngreso[[#This Row],[RUN]],T_Voluntarios[],9,FALSE))</f>
        <v>Participante</v>
      </c>
      <c r="E121" t="str">
        <f>IF(ISERROR(VLOOKUP(T_ComprobanteIngreso[[#This Row],[RUN]],T_Voluntarios[],10,FALSE)),"No Existe",VLOOKUP(T_ComprobanteIngreso[[#This Row],[RUN]],T_Voluntarios[],10,FALSE))</f>
        <v>La Asunción</v>
      </c>
      <c r="F121" t="str">
        <f>IF(ISERROR(VLOOKUP(T_ComprobanteIngreso[[#This Row],[RUN]],T_Voluntarios[],11,FALSE)),"No Existe",VLOOKUP(T_ComprobanteIngreso[[#This Row],[RUN]],T_Voluntarios[],11,FALSE))</f>
        <v>Guias</v>
      </c>
      <c r="G121" s="38">
        <f>IF(ISERROR(VLOOKUP(T_ComprobanteIngreso[[#This Row],[RUN]],T_Voluntarios[],37,FALSE)),"No Existe",VLOOKUP(T_ComprobanteIngreso[[#This Row],[RUN]],T_Voluntarios[],37,FALSE))</f>
        <v>50000</v>
      </c>
      <c r="H121" t="str" cm="1">
        <f t="array" ref="H121">PROPER(NUMEROSALETRAS(T_ComprobanteIngreso[[#This Row],[CUOTA]]))&amp;" pesos"</f>
        <v>Cincuenta Mil pesos</v>
      </c>
    </row>
    <row r="122" spans="1:8" x14ac:dyDescent="0.3">
      <c r="A122" t="s">
        <v>2720</v>
      </c>
      <c r="B122" t="str">
        <f>IF(ISERROR(VLOOKUP(T_ComprobanteIngreso[[#This Row],[RUN]],T_Voluntarios[],3,FALSE)),"No Existe",VLOOKUP(T_ComprobanteIngreso[[#This Row],[RUN]],T_Voluntarios[],3,FALSE))</f>
        <v>Fernanda Valeria Moraga Escobar</v>
      </c>
      <c r="C122" s="80" t="s">
        <v>3368</v>
      </c>
      <c r="D122" t="str">
        <f>IF(ISERROR(VLOOKUP(T_ComprobanteIngreso[[#This Row],[RUN]],T_Voluntarios[],9,FALSE)),"No Existe",VLOOKUP(T_ComprobanteIngreso[[#This Row],[RUN]],T_Voluntarios[],9,FALSE))</f>
        <v>Participante</v>
      </c>
      <c r="E122" t="str">
        <f>IF(ISERROR(VLOOKUP(T_ComprobanteIngreso[[#This Row],[RUN]],T_Voluntarios[],10,FALSE)),"No Existe",VLOOKUP(T_ComprobanteIngreso[[#This Row],[RUN]],T_Voluntarios[],10,FALSE))</f>
        <v>Sagrados Corazones</v>
      </c>
      <c r="F122" t="str">
        <f>IF(ISERROR(VLOOKUP(T_ComprobanteIngreso[[#This Row],[RUN]],T_Voluntarios[],11,FALSE)),"No Existe",VLOOKUP(T_ComprobanteIngreso[[#This Row],[RUN]],T_Voluntarios[],11,FALSE))</f>
        <v>Pioneros</v>
      </c>
      <c r="G122" s="38">
        <f>IF(ISERROR(VLOOKUP(T_ComprobanteIngreso[[#This Row],[RUN]],T_Voluntarios[],37,FALSE)),"No Existe",VLOOKUP(T_ComprobanteIngreso[[#This Row],[RUN]],T_Voluntarios[],37,FALSE))</f>
        <v>50000</v>
      </c>
      <c r="H122" t="str" cm="1">
        <f t="array" ref="H122">PROPER(NUMEROSALETRAS(T_ComprobanteIngreso[[#This Row],[CUOTA]]))&amp;" pesos"</f>
        <v>Cincuenta Mil pesos</v>
      </c>
    </row>
    <row r="123" spans="1:8" x14ac:dyDescent="0.3">
      <c r="A123" t="s">
        <v>2540</v>
      </c>
      <c r="B123" t="str">
        <f>IF(ISERROR(VLOOKUP(T_ComprobanteIngreso[[#This Row],[RUN]],T_Voluntarios[],3,FALSE)),"No Existe",VLOOKUP(T_ComprobanteIngreso[[#This Row],[RUN]],T_Voluntarios[],3,FALSE))</f>
        <v>Daniel Octavio Tobar Henríquez</v>
      </c>
      <c r="C123" s="80" t="s">
        <v>3369</v>
      </c>
      <c r="D123" t="str">
        <f>IF(ISERROR(VLOOKUP(T_ComprobanteIngreso[[#This Row],[RUN]],T_Voluntarios[],9,FALSE)),"No Existe",VLOOKUP(T_ComprobanteIngreso[[#This Row],[RUN]],T_Voluntarios[],9,FALSE))</f>
        <v>Participante</v>
      </c>
      <c r="E123" t="str">
        <f>IF(ISERROR(VLOOKUP(T_ComprobanteIngreso[[#This Row],[RUN]],T_Voluntarios[],10,FALSE)),"No Existe",VLOOKUP(T_ComprobanteIngreso[[#This Row],[RUN]],T_Voluntarios[],10,FALSE))</f>
        <v>Sagrados Corazones</v>
      </c>
      <c r="F123" t="str">
        <f>IF(ISERROR(VLOOKUP(T_ComprobanteIngreso[[#This Row],[RUN]],T_Voluntarios[],11,FALSE)),"No Existe",VLOOKUP(T_ComprobanteIngreso[[#This Row],[RUN]],T_Voluntarios[],11,FALSE))</f>
        <v>Golondrinas</v>
      </c>
      <c r="G123" s="38">
        <f>IF(ISERROR(VLOOKUP(T_ComprobanteIngreso[[#This Row],[RUN]],T_Voluntarios[],37,FALSE)),"No Existe",VLOOKUP(T_ComprobanteIngreso[[#This Row],[RUN]],T_Voluntarios[],37,FALSE))</f>
        <v>50000</v>
      </c>
      <c r="H123" t="str" cm="1">
        <f t="array" ref="H123">PROPER(NUMEROSALETRAS(T_ComprobanteIngreso[[#This Row],[CUOTA]]))&amp;" pesos"</f>
        <v>Cincuenta Mil pesos</v>
      </c>
    </row>
    <row r="124" spans="1:8" x14ac:dyDescent="0.3">
      <c r="A124" t="s">
        <v>2618</v>
      </c>
      <c r="B124" t="str">
        <f>IF(ISERROR(VLOOKUP(T_ComprobanteIngreso[[#This Row],[RUN]],T_Voluntarios[],3,FALSE)),"No Existe",VLOOKUP(T_ComprobanteIngreso[[#This Row],[RUN]],T_Voluntarios[],3,FALSE))</f>
        <v>Francisca Antonia Aguilera Maldonado</v>
      </c>
      <c r="C124" s="80" t="s">
        <v>3370</v>
      </c>
      <c r="D124" t="str">
        <f>IF(ISERROR(VLOOKUP(T_ComprobanteIngreso[[#This Row],[RUN]],T_Voluntarios[],9,FALSE)),"No Existe",VLOOKUP(T_ComprobanteIngreso[[#This Row],[RUN]],T_Voluntarios[],9,FALSE))</f>
        <v>Participante</v>
      </c>
      <c r="E124" t="str">
        <f>IF(ISERROR(VLOOKUP(T_ComprobanteIngreso[[#This Row],[RUN]],T_Voluntarios[],10,FALSE)),"No Existe",VLOOKUP(T_ComprobanteIngreso[[#This Row],[RUN]],T_Voluntarios[],10,FALSE))</f>
        <v>Sagrados Corazones</v>
      </c>
      <c r="F124" t="str">
        <f>IF(ISERROR(VLOOKUP(T_ComprobanteIngreso[[#This Row],[RUN]],T_Voluntarios[],11,FALSE)),"No Existe",VLOOKUP(T_ComprobanteIngreso[[#This Row],[RUN]],T_Voluntarios[],11,FALSE))</f>
        <v>Pioneros</v>
      </c>
      <c r="G124" s="38">
        <f>IF(ISERROR(VLOOKUP(T_ComprobanteIngreso[[#This Row],[RUN]],T_Voluntarios[],37,FALSE)),"No Existe",VLOOKUP(T_ComprobanteIngreso[[#This Row],[RUN]],T_Voluntarios[],37,FALSE))</f>
        <v>50000</v>
      </c>
      <c r="H124" t="str" cm="1">
        <f t="array" ref="H124">PROPER(NUMEROSALETRAS(T_ComprobanteIngreso[[#This Row],[CUOTA]]))&amp;" pesos"</f>
        <v>Cincuenta Mil pesos</v>
      </c>
    </row>
    <row r="125" spans="1:8" x14ac:dyDescent="0.3">
      <c r="A125" t="s">
        <v>2591</v>
      </c>
      <c r="B125" t="str">
        <f>IF(ISERROR(VLOOKUP(T_ComprobanteIngreso[[#This Row],[RUN]],T_Voluntarios[],3,FALSE)),"No Existe",VLOOKUP(T_ComprobanteIngreso[[#This Row],[RUN]],T_Voluntarios[],3,FALSE))</f>
        <v>Macarena Vanessa Lavanderos Alarcon</v>
      </c>
      <c r="C125" s="80" t="s">
        <v>3371</v>
      </c>
      <c r="D125" t="str">
        <f>IF(ISERROR(VLOOKUP(T_ComprobanteIngreso[[#This Row],[RUN]],T_Voluntarios[],9,FALSE)),"No Existe",VLOOKUP(T_ComprobanteIngreso[[#This Row],[RUN]],T_Voluntarios[],9,FALSE))</f>
        <v>Participante</v>
      </c>
      <c r="E125" t="str">
        <f>IF(ISERROR(VLOOKUP(T_ComprobanteIngreso[[#This Row],[RUN]],T_Voluntarios[],10,FALSE)),"No Existe",VLOOKUP(T_ComprobanteIngreso[[#This Row],[RUN]],T_Voluntarios[],10,FALSE))</f>
        <v>Espíritu Santo</v>
      </c>
      <c r="F125" t="str">
        <f>IF(ISERROR(VLOOKUP(T_ComprobanteIngreso[[#This Row],[RUN]],T_Voluntarios[],11,FALSE)),"No Existe",VLOOKUP(T_ComprobanteIngreso[[#This Row],[RUN]],T_Voluntarios[],11,FALSE))</f>
        <v>Golondrinas</v>
      </c>
      <c r="G125" s="38">
        <f>IF(ISERROR(VLOOKUP(T_ComprobanteIngreso[[#This Row],[RUN]],T_Voluntarios[],37,FALSE)),"No Existe",VLOOKUP(T_ComprobanteIngreso[[#This Row],[RUN]],T_Voluntarios[],37,FALSE))</f>
        <v>50000</v>
      </c>
      <c r="H125" t="str" cm="1">
        <f t="array" ref="H125">PROPER(NUMEROSALETRAS(T_ComprobanteIngreso[[#This Row],[CUOTA]]))&amp;" pesos"</f>
        <v>Cincuenta Mil pesos</v>
      </c>
    </row>
    <row r="126" spans="1:8" x14ac:dyDescent="0.3">
      <c r="A126" t="s">
        <v>2707</v>
      </c>
      <c r="B126" t="str">
        <f>IF(ISERROR(VLOOKUP(T_ComprobanteIngreso[[#This Row],[RUN]],T_Voluntarios[],3,FALSE)),"No Existe",VLOOKUP(T_ComprobanteIngreso[[#This Row],[RUN]],T_Voluntarios[],3,FALSE))</f>
        <v>Francisca Nicole Reyes Gómez</v>
      </c>
      <c r="C126" s="80" t="s">
        <v>3372</v>
      </c>
      <c r="D126" t="str">
        <f>IF(ISERROR(VLOOKUP(T_ComprobanteIngreso[[#This Row],[RUN]],T_Voluntarios[],9,FALSE)),"No Existe",VLOOKUP(T_ComprobanteIngreso[[#This Row],[RUN]],T_Voluntarios[],9,FALSE))</f>
        <v>Participante</v>
      </c>
      <c r="E126" t="str">
        <f>IF(ISERROR(VLOOKUP(T_ComprobanteIngreso[[#This Row],[RUN]],T_Voluntarios[],10,FALSE)),"No Existe",VLOOKUP(T_ComprobanteIngreso[[#This Row],[RUN]],T_Voluntarios[],10,FALSE))</f>
        <v>Terranova</v>
      </c>
      <c r="F126" t="str">
        <f>IF(ISERROR(VLOOKUP(T_ComprobanteIngreso[[#This Row],[RUN]],T_Voluntarios[],11,FALSE)),"No Existe",VLOOKUP(T_ComprobanteIngreso[[#This Row],[RUN]],T_Voluntarios[],11,FALSE))</f>
        <v>Guias</v>
      </c>
      <c r="G126" s="38">
        <f>IF(ISERROR(VLOOKUP(T_ComprobanteIngreso[[#This Row],[RUN]],T_Voluntarios[],37,FALSE)),"No Existe",VLOOKUP(T_ComprobanteIngreso[[#This Row],[RUN]],T_Voluntarios[],37,FALSE))</f>
        <v>50000</v>
      </c>
      <c r="H126" t="str" cm="1">
        <f t="array" ref="H126">PROPER(NUMEROSALETRAS(T_ComprobanteIngreso[[#This Row],[CUOTA]]))&amp;" pesos"</f>
        <v>Cincuenta Mil pesos</v>
      </c>
    </row>
    <row r="127" spans="1:8" x14ac:dyDescent="0.3">
      <c r="A127" t="s">
        <v>2627</v>
      </c>
      <c r="B127" t="str">
        <f>IF(ISERROR(VLOOKUP(T_ComprobanteIngreso[[#This Row],[RUN]],T_Voluntarios[],3,FALSE)),"No Existe",VLOOKUP(T_ComprobanteIngreso[[#This Row],[RUN]],T_Voluntarios[],3,FALSE))</f>
        <v>Raul Andrés Benavides Videla</v>
      </c>
      <c r="C127" s="80" t="s">
        <v>3373</v>
      </c>
      <c r="D127" t="str">
        <f>IF(ISERROR(VLOOKUP(T_ComprobanteIngreso[[#This Row],[RUN]],T_Voluntarios[],9,FALSE)),"No Existe",VLOOKUP(T_ComprobanteIngreso[[#This Row],[RUN]],T_Voluntarios[],9,FALSE))</f>
        <v>Participante</v>
      </c>
      <c r="E127" t="str">
        <f>IF(ISERROR(VLOOKUP(T_ComprobanteIngreso[[#This Row],[RUN]],T_Voluntarios[],10,FALSE)),"No Existe",VLOOKUP(T_ComprobanteIngreso[[#This Row],[RUN]],T_Voluntarios[],10,FALSE))</f>
        <v>Buen Pastor</v>
      </c>
      <c r="F127" t="str">
        <f>IF(ISERROR(VLOOKUP(T_ComprobanteIngreso[[#This Row],[RUN]],T_Voluntarios[],11,FALSE)),"No Existe",VLOOKUP(T_ComprobanteIngreso[[#This Row],[RUN]],T_Voluntarios[],11,FALSE))</f>
        <v>Caminantes</v>
      </c>
      <c r="G127" s="38">
        <f>IF(ISERROR(VLOOKUP(T_ComprobanteIngreso[[#This Row],[RUN]],T_Voluntarios[],37,FALSE)),"No Existe",VLOOKUP(T_ComprobanteIngreso[[#This Row],[RUN]],T_Voluntarios[],37,FALSE))</f>
        <v>50000</v>
      </c>
      <c r="H127" t="str" cm="1">
        <f t="array" ref="H127">PROPER(NUMEROSALETRAS(T_ComprobanteIngreso[[#This Row],[CUOTA]]))&amp;" pesos"</f>
        <v>Cincuenta Mil pesos</v>
      </c>
    </row>
    <row r="128" spans="1:8" x14ac:dyDescent="0.3">
      <c r="A128" t="s">
        <v>2561</v>
      </c>
      <c r="B128" t="str">
        <f>IF(ISERROR(VLOOKUP(T_ComprobanteIngreso[[#This Row],[RUN]],T_Voluntarios[],3,FALSE)),"No Existe",VLOOKUP(T_ComprobanteIngreso[[#This Row],[RUN]],T_Voluntarios[],3,FALSE))</f>
        <v>Valentina Andrea Arredondo Gutierrez</v>
      </c>
      <c r="C128" s="80" t="s">
        <v>3374</v>
      </c>
      <c r="D128" t="str">
        <f>IF(ISERROR(VLOOKUP(T_ComprobanteIngreso[[#This Row],[RUN]],T_Voluntarios[],9,FALSE)),"No Existe",VLOOKUP(T_ComprobanteIngreso[[#This Row],[RUN]],T_Voluntarios[],9,FALSE))</f>
        <v>Participante</v>
      </c>
      <c r="E128" t="str">
        <f>IF(ISERROR(VLOOKUP(T_ComprobanteIngreso[[#This Row],[RUN]],T_Voluntarios[],10,FALSE)),"No Existe",VLOOKUP(T_ComprobanteIngreso[[#This Row],[RUN]],T_Voluntarios[],10,FALSE))</f>
        <v>San Bartolomé</v>
      </c>
      <c r="F128" t="str">
        <f>IF(ISERROR(VLOOKUP(T_ComprobanteIngreso[[#This Row],[RUN]],T_Voluntarios[],11,FALSE)),"No Existe",VLOOKUP(T_ComprobanteIngreso[[#This Row],[RUN]],T_Voluntarios[],11,FALSE))</f>
        <v>Pioneros</v>
      </c>
      <c r="G128" s="38">
        <f>IF(ISERROR(VLOOKUP(T_ComprobanteIngreso[[#This Row],[RUN]],T_Voluntarios[],37,FALSE)),"No Existe",VLOOKUP(T_ComprobanteIngreso[[#This Row],[RUN]],T_Voluntarios[],37,FALSE))</f>
        <v>50000</v>
      </c>
      <c r="H128" t="str" cm="1">
        <f t="array" ref="H128">PROPER(NUMEROSALETRAS(T_ComprobanteIngreso[[#This Row],[CUOTA]]))&amp;" pesos"</f>
        <v>Cincuenta Mil pesos</v>
      </c>
    </row>
    <row r="129" spans="1:8" x14ac:dyDescent="0.3">
      <c r="A129" t="s">
        <v>2569</v>
      </c>
      <c r="B129" t="str">
        <f>IF(ISERROR(VLOOKUP(T_ComprobanteIngreso[[#This Row],[RUN]],T_Voluntarios[],3,FALSE)),"No Existe",VLOOKUP(T_ComprobanteIngreso[[#This Row],[RUN]],T_Voluntarios[],3,FALSE))</f>
        <v>Bruno Isaac Medel Parra</v>
      </c>
      <c r="C129" s="80" t="s">
        <v>3375</v>
      </c>
      <c r="D129" t="str">
        <f>IF(ISERROR(VLOOKUP(T_ComprobanteIngreso[[#This Row],[RUN]],T_Voluntarios[],9,FALSE)),"No Existe",VLOOKUP(T_ComprobanteIngreso[[#This Row],[RUN]],T_Voluntarios[],9,FALSE))</f>
        <v>Participante</v>
      </c>
      <c r="E129" t="str">
        <f>IF(ISERROR(VLOOKUP(T_ComprobanteIngreso[[#This Row],[RUN]],T_Voluntarios[],10,FALSE)),"No Existe",VLOOKUP(T_ComprobanteIngreso[[#This Row],[RUN]],T_Voluntarios[],10,FALSE))</f>
        <v>Santa Cecilia</v>
      </c>
      <c r="F129" t="str">
        <f>IF(ISERROR(VLOOKUP(T_ComprobanteIngreso[[#This Row],[RUN]],T_Voluntarios[],11,FALSE)),"No Existe",VLOOKUP(T_ComprobanteIngreso[[#This Row],[RUN]],T_Voluntarios[],11,FALSE))</f>
        <v>Scouts</v>
      </c>
      <c r="G129" s="38">
        <f>IF(ISERROR(VLOOKUP(T_ComprobanteIngreso[[#This Row],[RUN]],T_Voluntarios[],37,FALSE)),"No Existe",VLOOKUP(T_ComprobanteIngreso[[#This Row],[RUN]],T_Voluntarios[],37,FALSE))</f>
        <v>50000</v>
      </c>
      <c r="H129" t="str" cm="1">
        <f t="array" ref="H129">PROPER(NUMEROSALETRAS(T_ComprobanteIngreso[[#This Row],[CUOTA]]))&amp;" pesos"</f>
        <v>Cincuenta Mil pesos</v>
      </c>
    </row>
    <row r="130" spans="1:8" x14ac:dyDescent="0.3">
      <c r="A130" t="s">
        <v>2578</v>
      </c>
      <c r="B130" t="str">
        <f>IF(ISERROR(VLOOKUP(T_ComprobanteIngreso[[#This Row],[RUN]],T_Voluntarios[],3,FALSE)),"No Existe",VLOOKUP(T_ComprobanteIngreso[[#This Row],[RUN]],T_Voluntarios[],3,FALSE))</f>
        <v>Álvaro Antonio Peñailillo Castillo</v>
      </c>
      <c r="C130" s="80" t="s">
        <v>3376</v>
      </c>
      <c r="D130" t="str">
        <f>IF(ISERROR(VLOOKUP(T_ComprobanteIngreso[[#This Row],[RUN]],T_Voluntarios[],9,FALSE)),"No Existe",VLOOKUP(T_ComprobanteIngreso[[#This Row],[RUN]],T_Voluntarios[],9,FALSE))</f>
        <v>Participante</v>
      </c>
      <c r="E130" t="str">
        <f>IF(ISERROR(VLOOKUP(T_ComprobanteIngreso[[#This Row],[RUN]],T_Voluntarios[],10,FALSE)),"No Existe",VLOOKUP(T_ComprobanteIngreso[[#This Row],[RUN]],T_Voluntarios[],10,FALSE))</f>
        <v>Santa Cecilia</v>
      </c>
      <c r="F130" t="str">
        <f>IF(ISERROR(VLOOKUP(T_ComprobanteIngreso[[#This Row],[RUN]],T_Voluntarios[],11,FALSE)),"No Existe",VLOOKUP(T_ComprobanteIngreso[[#This Row],[RUN]],T_Voluntarios[],11,FALSE))</f>
        <v>Pioneros</v>
      </c>
      <c r="G130" s="38">
        <f>IF(ISERROR(VLOOKUP(T_ComprobanteIngreso[[#This Row],[RUN]],T_Voluntarios[],37,FALSE)),"No Existe",VLOOKUP(T_ComprobanteIngreso[[#This Row],[RUN]],T_Voluntarios[],37,FALSE))</f>
        <v>50000</v>
      </c>
      <c r="H130" t="str" cm="1">
        <f t="array" ref="H130">PROPER(NUMEROSALETRAS(T_ComprobanteIngreso[[#This Row],[CUOTA]]))&amp;" pesos"</f>
        <v>Cincuenta Mil pesos</v>
      </c>
    </row>
    <row r="131" spans="1:8" x14ac:dyDescent="0.3">
      <c r="A131" t="s">
        <v>2730</v>
      </c>
      <c r="B131" t="str">
        <f>IF(ISERROR(VLOOKUP(T_ComprobanteIngreso[[#This Row],[RUN]],T_Voluntarios[],3,FALSE)),"No Existe",VLOOKUP(T_ComprobanteIngreso[[#This Row],[RUN]],T_Voluntarios[],3,FALSE))</f>
        <v>Paula Andrea Castillo Torres</v>
      </c>
      <c r="C131" s="80" t="s">
        <v>3377</v>
      </c>
      <c r="D131" t="str">
        <f>IF(ISERROR(VLOOKUP(T_ComprobanteIngreso[[#This Row],[RUN]],T_Voluntarios[],9,FALSE)),"No Existe",VLOOKUP(T_ComprobanteIngreso[[#This Row],[RUN]],T_Voluntarios[],9,FALSE))</f>
        <v>Participante</v>
      </c>
      <c r="E131" t="str">
        <f>IF(ISERROR(VLOOKUP(T_ComprobanteIngreso[[#This Row],[RUN]],T_Voluntarios[],10,FALSE)),"No Existe",VLOOKUP(T_ComprobanteIngreso[[#This Row],[RUN]],T_Voluntarios[],10,FALSE))</f>
        <v>San Vicente</v>
      </c>
      <c r="F131" t="str">
        <f>IF(ISERROR(VLOOKUP(T_ComprobanteIngreso[[#This Row],[RUN]],T_Voluntarios[],11,FALSE)),"No Existe",VLOOKUP(T_ComprobanteIngreso[[#This Row],[RUN]],T_Voluntarios[],11,FALSE))</f>
        <v>Caminantes</v>
      </c>
      <c r="G131" s="38">
        <f>IF(ISERROR(VLOOKUP(T_ComprobanteIngreso[[#This Row],[RUN]],T_Voluntarios[],37,FALSE)),"No Existe",VLOOKUP(T_ComprobanteIngreso[[#This Row],[RUN]],T_Voluntarios[],37,FALSE))</f>
        <v>50000</v>
      </c>
      <c r="H131" t="str" cm="1">
        <f t="array" ref="H131">PROPER(NUMEROSALETRAS(T_ComprobanteIngreso[[#This Row],[CUOTA]]))&amp;" pesos"</f>
        <v>Cincuenta Mil pesos</v>
      </c>
    </row>
    <row r="132" spans="1:8" x14ac:dyDescent="0.3">
      <c r="A132" t="s">
        <v>2740</v>
      </c>
      <c r="B132" t="str">
        <f>IF(ISERROR(VLOOKUP(T_ComprobanteIngreso[[#This Row],[RUN]],T_Voluntarios[],3,FALSE)),"No Existe",VLOOKUP(T_ComprobanteIngreso[[#This Row],[RUN]],T_Voluntarios[],3,FALSE))</f>
        <v>Constanza Elizabeth Beltran Fuentes</v>
      </c>
      <c r="C132" s="80" t="s">
        <v>3378</v>
      </c>
      <c r="D132" t="str">
        <f>IF(ISERROR(VLOOKUP(T_ComprobanteIngreso[[#This Row],[RUN]],T_Voluntarios[],9,FALSE)),"No Existe",VLOOKUP(T_ComprobanteIngreso[[#This Row],[RUN]],T_Voluntarios[],9,FALSE))</f>
        <v>Participante</v>
      </c>
      <c r="E132" t="str">
        <f>IF(ISERROR(VLOOKUP(T_ComprobanteIngreso[[#This Row],[RUN]],T_Voluntarios[],10,FALSE)),"No Existe",VLOOKUP(T_ComprobanteIngreso[[#This Row],[RUN]],T_Voluntarios[],10,FALSE))</f>
        <v>Buen Pastor</v>
      </c>
      <c r="F132" t="str">
        <f>IF(ISERROR(VLOOKUP(T_ComprobanteIngreso[[#This Row],[RUN]],T_Voluntarios[],11,FALSE)),"No Existe",VLOOKUP(T_ComprobanteIngreso[[#This Row],[RUN]],T_Voluntarios[],11,FALSE))</f>
        <v>Pioneros</v>
      </c>
      <c r="G132" s="38">
        <f>IF(ISERROR(VLOOKUP(T_ComprobanteIngreso[[#This Row],[RUN]],T_Voluntarios[],37,FALSE)),"No Existe",VLOOKUP(T_ComprobanteIngreso[[#This Row],[RUN]],T_Voluntarios[],37,FALSE))</f>
        <v>36500</v>
      </c>
      <c r="H132" t="str" cm="1">
        <f t="array" ref="H132">PROPER(NUMEROSALETRAS(T_ComprobanteIngreso[[#This Row],[CUOTA]]))&amp;" pesos"</f>
        <v>Treinta Seis Mil Quinientos pesos</v>
      </c>
    </row>
    <row r="133" spans="1:8" x14ac:dyDescent="0.3">
      <c r="A133" t="s">
        <v>2808</v>
      </c>
      <c r="B133" t="str">
        <f>IF(ISERROR(VLOOKUP(T_ComprobanteIngreso[[#This Row],[RUN]],T_Voluntarios[],3,FALSE)),"No Existe",VLOOKUP(T_ComprobanteIngreso[[#This Row],[RUN]],T_Voluntarios[],3,FALSE))</f>
        <v>Cristóbal Celso Riffo Puentes</v>
      </c>
      <c r="C133" s="80" t="s">
        <v>3379</v>
      </c>
      <c r="D133" t="str">
        <f>IF(ISERROR(VLOOKUP(T_ComprobanteIngreso[[#This Row],[RUN]],T_Voluntarios[],9,FALSE)),"No Existe",VLOOKUP(T_ComprobanteIngreso[[#This Row],[RUN]],T_Voluntarios[],9,FALSE))</f>
        <v>Participante</v>
      </c>
      <c r="E133" t="str">
        <f>IF(ISERROR(VLOOKUP(T_ComprobanteIngreso[[#This Row],[RUN]],T_Voluntarios[],10,FALSE)),"No Existe",VLOOKUP(T_ComprobanteIngreso[[#This Row],[RUN]],T_Voluntarios[],10,FALSE))</f>
        <v>San Francisco</v>
      </c>
      <c r="F133" t="str">
        <f>IF(ISERROR(VLOOKUP(T_ComprobanteIngreso[[#This Row],[RUN]],T_Voluntarios[],11,FALSE)),"No Existe",VLOOKUP(T_ComprobanteIngreso[[#This Row],[RUN]],T_Voluntarios[],11,FALSE))</f>
        <v>Pioneros</v>
      </c>
      <c r="G133" s="38">
        <f>IF(ISERROR(VLOOKUP(T_ComprobanteIngreso[[#This Row],[RUN]],T_Voluntarios[],37,FALSE)),"No Existe",VLOOKUP(T_ComprobanteIngreso[[#This Row],[RUN]],T_Voluntarios[],37,FALSE))</f>
        <v>50000</v>
      </c>
      <c r="H133" t="str" cm="1">
        <f t="array" ref="H133">PROPER(NUMEROSALETRAS(T_ComprobanteIngreso[[#This Row],[CUOTA]]))&amp;" pesos"</f>
        <v>Cincuenta Mil pesos</v>
      </c>
    </row>
    <row r="134" spans="1:8" x14ac:dyDescent="0.3">
      <c r="A134" t="s">
        <v>2828</v>
      </c>
      <c r="B134" t="str">
        <f>IF(ISERROR(VLOOKUP(T_ComprobanteIngreso[[#This Row],[RUN]],T_Voluntarios[],3,FALSE)),"No Existe",VLOOKUP(T_ComprobanteIngreso[[#This Row],[RUN]],T_Voluntarios[],3,FALSE))</f>
        <v>Sebastián Ignacio Romero Coo</v>
      </c>
      <c r="C134" s="80" t="s">
        <v>3380</v>
      </c>
      <c r="D134" t="str">
        <f>IF(ISERROR(VLOOKUP(T_ComprobanteIngreso[[#This Row],[RUN]],T_Voluntarios[],9,FALSE)),"No Existe",VLOOKUP(T_ComprobanteIngreso[[#This Row],[RUN]],T_Voluntarios[],9,FALSE))</f>
        <v>Participante</v>
      </c>
      <c r="E134" t="str">
        <f>IF(ISERROR(VLOOKUP(T_ComprobanteIngreso[[#This Row],[RUN]],T_Voluntarios[],10,FALSE)),"No Existe",VLOOKUP(T_ComprobanteIngreso[[#This Row],[RUN]],T_Voluntarios[],10,FALSE))</f>
        <v>Rucapeñihue</v>
      </c>
      <c r="F134" t="str">
        <f>IF(ISERROR(VLOOKUP(T_ComprobanteIngreso[[#This Row],[RUN]],T_Voluntarios[],11,FALSE)),"No Existe",VLOOKUP(T_ComprobanteIngreso[[#This Row],[RUN]],T_Voluntarios[],11,FALSE))</f>
        <v>Guias</v>
      </c>
      <c r="G134" s="38">
        <f>IF(ISERROR(VLOOKUP(T_ComprobanteIngreso[[#This Row],[RUN]],T_Voluntarios[],37,FALSE)),"No Existe",VLOOKUP(T_ComprobanteIngreso[[#This Row],[RUN]],T_Voluntarios[],37,FALSE))</f>
        <v>36500</v>
      </c>
      <c r="H134" t="str" cm="1">
        <f t="array" ref="H134">PROPER(NUMEROSALETRAS(T_ComprobanteIngreso[[#This Row],[CUOTA]]))&amp;" pesos"</f>
        <v>Treinta Seis Mil Quinientos pesos</v>
      </c>
    </row>
    <row r="135" spans="1:8" x14ac:dyDescent="0.3">
      <c r="A135" t="s">
        <v>2837</v>
      </c>
      <c r="B135" t="str">
        <f>IF(ISERROR(VLOOKUP(T_ComprobanteIngreso[[#This Row],[RUN]],T_Voluntarios[],3,FALSE)),"No Existe",VLOOKUP(T_ComprobanteIngreso[[#This Row],[RUN]],T_Voluntarios[],3,FALSE))</f>
        <v>Claudia Fernanda Deride Alegría</v>
      </c>
      <c r="C135" s="80" t="s">
        <v>3381</v>
      </c>
      <c r="D135" t="str">
        <f>IF(ISERROR(VLOOKUP(T_ComprobanteIngreso[[#This Row],[RUN]],T_Voluntarios[],9,FALSE)),"No Existe",VLOOKUP(T_ComprobanteIngreso[[#This Row],[RUN]],T_Voluntarios[],9,FALSE))</f>
        <v>Participante</v>
      </c>
      <c r="E135" t="str">
        <f>IF(ISERROR(VLOOKUP(T_ComprobanteIngreso[[#This Row],[RUN]],T_Voluntarios[],10,FALSE)),"No Existe",VLOOKUP(T_ComprobanteIngreso[[#This Row],[RUN]],T_Voluntarios[],10,FALSE))</f>
        <v>Rañileufu</v>
      </c>
      <c r="F135" t="str">
        <f>IF(ISERROR(VLOOKUP(T_ComprobanteIngreso[[#This Row],[RUN]],T_Voluntarios[],11,FALSE)),"No Existe",VLOOKUP(T_ComprobanteIngreso[[#This Row],[RUN]],T_Voluntarios[],11,FALSE))</f>
        <v>Lobatos</v>
      </c>
      <c r="G135" s="38">
        <f>IF(ISERROR(VLOOKUP(T_ComprobanteIngreso[[#This Row],[RUN]],T_Voluntarios[],37,FALSE)),"No Existe",VLOOKUP(T_ComprobanteIngreso[[#This Row],[RUN]],T_Voluntarios[],37,FALSE))</f>
        <v>36500</v>
      </c>
      <c r="H135" t="str" cm="1">
        <f t="array" ref="H135">PROPER(NUMEROSALETRAS(T_ComprobanteIngreso[[#This Row],[CUOTA]]))&amp;" pesos"</f>
        <v>Treinta Seis Mil Quinientos pesos</v>
      </c>
    </row>
    <row r="136" spans="1:8" x14ac:dyDescent="0.3">
      <c r="A136" t="s">
        <v>2862</v>
      </c>
      <c r="B136" t="str">
        <f>IF(ISERROR(VLOOKUP(T_ComprobanteIngreso[[#This Row],[RUN]],T_Voluntarios[],3,FALSE)),"No Existe",VLOOKUP(T_ComprobanteIngreso[[#This Row],[RUN]],T_Voluntarios[],3,FALSE))</f>
        <v>Fabián Alejandro Sepúlveda Aguilera</v>
      </c>
      <c r="C136" s="80" t="s">
        <v>3382</v>
      </c>
      <c r="D136" t="str">
        <f>IF(ISERROR(VLOOKUP(T_ComprobanteIngreso[[#This Row],[RUN]],T_Voluntarios[],9,FALSE)),"No Existe",VLOOKUP(T_ComprobanteIngreso[[#This Row],[RUN]],T_Voluntarios[],9,FALSE))</f>
        <v>Participante</v>
      </c>
      <c r="E136" t="str">
        <f>IF(ISERROR(VLOOKUP(T_ComprobanteIngreso[[#This Row],[RUN]],T_Voluntarios[],10,FALSE)),"No Existe",VLOOKUP(T_ComprobanteIngreso[[#This Row],[RUN]],T_Voluntarios[],10,FALSE))</f>
        <v>Terranova</v>
      </c>
      <c r="F136" t="str">
        <f>IF(ISERROR(VLOOKUP(T_ComprobanteIngreso[[#This Row],[RUN]],T_Voluntarios[],11,FALSE)),"No Existe",VLOOKUP(T_ComprobanteIngreso[[#This Row],[RUN]],T_Voluntarios[],11,FALSE))</f>
        <v>Scouts</v>
      </c>
      <c r="G136" s="38">
        <f>IF(ISERROR(VLOOKUP(T_ComprobanteIngreso[[#This Row],[RUN]],T_Voluntarios[],37,FALSE)),"No Existe",VLOOKUP(T_ComprobanteIngreso[[#This Row],[RUN]],T_Voluntarios[],37,FALSE))</f>
        <v>50000</v>
      </c>
      <c r="H136" t="str" cm="1">
        <f t="array" ref="H136">PROPER(NUMEROSALETRAS(T_ComprobanteIngreso[[#This Row],[CUOTA]]))&amp;" pesos"</f>
        <v>Cincuenta Mil pesos</v>
      </c>
    </row>
    <row r="137" spans="1:8" x14ac:dyDescent="0.3">
      <c r="A137" t="s">
        <v>2936</v>
      </c>
      <c r="B137" t="str">
        <f>IF(ISERROR(VLOOKUP(T_ComprobanteIngreso[[#This Row],[RUN]],T_Voluntarios[],3,FALSE)),"No Existe",VLOOKUP(T_ComprobanteIngreso[[#This Row],[RUN]],T_Voluntarios[],3,FALSE))</f>
        <v>Antonio Felipe Sagner Puschmann</v>
      </c>
      <c r="C137" s="80" t="s">
        <v>3383</v>
      </c>
      <c r="D137" t="str">
        <f>IF(ISERROR(VLOOKUP(T_ComprobanteIngreso[[#This Row],[RUN]],T_Voluntarios[],9,FALSE)),"No Existe",VLOOKUP(T_ComprobanteIngreso[[#This Row],[RUN]],T_Voluntarios[],9,FALSE))</f>
        <v>Participante</v>
      </c>
      <c r="E137" t="str">
        <f>IF(ISERROR(VLOOKUP(T_ComprobanteIngreso[[#This Row],[RUN]],T_Voluntarios[],10,FALSE)),"No Existe",VLOOKUP(T_ComprobanteIngreso[[#This Row],[RUN]],T_Voluntarios[],10,FALSE))</f>
        <v>Rucapeñihue</v>
      </c>
      <c r="F137" t="str">
        <f>IF(ISERROR(VLOOKUP(T_ComprobanteIngreso[[#This Row],[RUN]],T_Voluntarios[],11,FALSE)),"No Existe",VLOOKUP(T_ComprobanteIngreso[[#This Row],[RUN]],T_Voluntarios[],11,FALSE))</f>
        <v>Golondrinas</v>
      </c>
      <c r="G137" s="38">
        <f>IF(ISERROR(VLOOKUP(T_ComprobanteIngreso[[#This Row],[RUN]],T_Voluntarios[],37,FALSE)),"No Existe",VLOOKUP(T_ComprobanteIngreso[[#This Row],[RUN]],T_Voluntarios[],37,FALSE))</f>
        <v>36500</v>
      </c>
      <c r="H137" t="str" cm="1">
        <f t="array" ref="H137">PROPER(NUMEROSALETRAS(T_ComprobanteIngreso[[#This Row],[CUOTA]]))&amp;" pesos"</f>
        <v>Treinta Seis Mil Quinientos pesos</v>
      </c>
    </row>
    <row r="138" spans="1:8" x14ac:dyDescent="0.3">
      <c r="A138" t="s">
        <v>2991</v>
      </c>
      <c r="B138" t="str">
        <f>IF(ISERROR(VLOOKUP(T_ComprobanteIngreso[[#This Row],[RUN]],T_Voluntarios[],3,FALSE)),"No Existe",VLOOKUP(T_ComprobanteIngreso[[#This Row],[RUN]],T_Voluntarios[],3,FALSE))</f>
        <v>Vicente Ignacio Lara Gutiérrez</v>
      </c>
      <c r="C138" s="80" t="s">
        <v>3384</v>
      </c>
      <c r="D138" t="str">
        <f>IF(ISERROR(VLOOKUP(T_ComprobanteIngreso[[#This Row],[RUN]],T_Voluntarios[],9,FALSE)),"No Existe",VLOOKUP(T_ComprobanteIngreso[[#This Row],[RUN]],T_Voluntarios[],9,FALSE))</f>
        <v>Participante</v>
      </c>
      <c r="E138" t="str">
        <f>IF(ISERROR(VLOOKUP(T_ComprobanteIngreso[[#This Row],[RUN]],T_Voluntarios[],10,FALSE)),"No Existe",VLOOKUP(T_ComprobanteIngreso[[#This Row],[RUN]],T_Voluntarios[],10,FALSE))</f>
        <v>Espíritu Santo</v>
      </c>
      <c r="F138" t="str">
        <f>IF(ISERROR(VLOOKUP(T_ComprobanteIngreso[[#This Row],[RUN]],T_Voluntarios[],11,FALSE)),"No Existe",VLOOKUP(T_ComprobanteIngreso[[#This Row],[RUN]],T_Voluntarios[],11,FALSE))</f>
        <v>Caminantes</v>
      </c>
      <c r="G138" s="38">
        <f>IF(ISERROR(VLOOKUP(T_ComprobanteIngreso[[#This Row],[RUN]],T_Voluntarios[],37,FALSE)),"No Existe",VLOOKUP(T_ComprobanteIngreso[[#This Row],[RUN]],T_Voluntarios[],37,FALSE))</f>
        <v>50000</v>
      </c>
      <c r="H138" t="str" cm="1">
        <f t="array" ref="H138">PROPER(NUMEROSALETRAS(T_ComprobanteIngreso[[#This Row],[CUOTA]]))&amp;" pesos"</f>
        <v>Cincuenta Mil pesos</v>
      </c>
    </row>
    <row r="139" spans="1:8" x14ac:dyDescent="0.3">
      <c r="A139" t="s">
        <v>3005</v>
      </c>
      <c r="B139" t="str">
        <f>IF(ISERROR(VLOOKUP(T_ComprobanteIngreso[[#This Row],[RUN]],T_Voluntarios[],3,FALSE)),"No Existe",VLOOKUP(T_ComprobanteIngreso[[#This Row],[RUN]],T_Voluntarios[],3,FALSE))</f>
        <v>Lucila Del Carmen Aqueveque Jara</v>
      </c>
      <c r="C139" s="80" t="s">
        <v>3385</v>
      </c>
      <c r="D139" t="str">
        <f>IF(ISERROR(VLOOKUP(T_ComprobanteIngreso[[#This Row],[RUN]],T_Voluntarios[],9,FALSE)),"No Existe",VLOOKUP(T_ComprobanteIngreso[[#This Row],[RUN]],T_Voluntarios[],9,FALSE))</f>
        <v>Participante</v>
      </c>
      <c r="E139" t="str">
        <f>IF(ISERROR(VLOOKUP(T_ComprobanteIngreso[[#This Row],[RUN]],T_Voluntarios[],10,FALSE)),"No Existe",VLOOKUP(T_ComprobanteIngreso[[#This Row],[RUN]],T_Voluntarios[],10,FALSE))</f>
        <v>Espíritu Santo</v>
      </c>
      <c r="F139" t="str">
        <f>IF(ISERROR(VLOOKUP(T_ComprobanteIngreso[[#This Row],[RUN]],T_Voluntarios[],11,FALSE)),"No Existe",VLOOKUP(T_ComprobanteIngreso[[#This Row],[RUN]],T_Voluntarios[],11,FALSE))</f>
        <v>Pioneros</v>
      </c>
      <c r="G139" s="38">
        <f>IF(ISERROR(VLOOKUP(T_ComprobanteIngreso[[#This Row],[RUN]],T_Voluntarios[],37,FALSE)),"No Existe",VLOOKUP(T_ComprobanteIngreso[[#This Row],[RUN]],T_Voluntarios[],37,FALSE))</f>
        <v>50000</v>
      </c>
      <c r="H139" t="str" cm="1">
        <f t="array" ref="H139">PROPER(NUMEROSALETRAS(T_ComprobanteIngreso[[#This Row],[CUOTA]]))&amp;" pesos"</f>
        <v>Cincuenta Mil pesos</v>
      </c>
    </row>
    <row r="140" spans="1:8" x14ac:dyDescent="0.3">
      <c r="A140" t="s">
        <v>3018</v>
      </c>
      <c r="B140" t="str">
        <f>IF(ISERROR(VLOOKUP(T_ComprobanteIngreso[[#This Row],[RUN]],T_Voluntarios[],3,FALSE)),"No Existe",VLOOKUP(T_ComprobanteIngreso[[#This Row],[RUN]],T_Voluntarios[],3,FALSE))</f>
        <v>Ámbar Camila Sanhueza Sanhueza</v>
      </c>
      <c r="C140" s="80" t="s">
        <v>3386</v>
      </c>
      <c r="D140" t="str">
        <f>IF(ISERROR(VLOOKUP(T_ComprobanteIngreso[[#This Row],[RUN]],T_Voluntarios[],9,FALSE)),"No Existe",VLOOKUP(T_ComprobanteIngreso[[#This Row],[RUN]],T_Voluntarios[],9,FALSE))</f>
        <v>Participante</v>
      </c>
      <c r="E140" t="str">
        <f>IF(ISERROR(VLOOKUP(T_ComprobanteIngreso[[#This Row],[RUN]],T_Voluntarios[],10,FALSE)),"No Existe",VLOOKUP(T_ComprobanteIngreso[[#This Row],[RUN]],T_Voluntarios[],10,FALSE))</f>
        <v>Buena Aventura</v>
      </c>
      <c r="F140" t="str">
        <f>IF(ISERROR(VLOOKUP(T_ComprobanteIngreso[[#This Row],[RUN]],T_Voluntarios[],11,FALSE)),"No Existe",VLOOKUP(T_ComprobanteIngreso[[#This Row],[RUN]],T_Voluntarios[],11,FALSE))</f>
        <v>Guias</v>
      </c>
      <c r="G140" s="38">
        <f>IF(ISERROR(VLOOKUP(T_ComprobanteIngreso[[#This Row],[RUN]],T_Voluntarios[],37,FALSE)),"No Existe",VLOOKUP(T_ComprobanteIngreso[[#This Row],[RUN]],T_Voluntarios[],37,FALSE))</f>
        <v>50000</v>
      </c>
      <c r="H140" t="str" cm="1">
        <f t="array" ref="H140">PROPER(NUMEROSALETRAS(T_ComprobanteIngreso[[#This Row],[CUOTA]]))&amp;" pesos"</f>
        <v>Cincuenta Mil pesos</v>
      </c>
    </row>
    <row r="141" spans="1:8" x14ac:dyDescent="0.3">
      <c r="A141" t="s">
        <v>3043</v>
      </c>
      <c r="B141" t="str">
        <f>IF(ISERROR(VLOOKUP(T_ComprobanteIngreso[[#This Row],[RUN]],T_Voluntarios[],3,FALSE)),"No Existe",VLOOKUP(T_ComprobanteIngreso[[#This Row],[RUN]],T_Voluntarios[],3,FALSE))</f>
        <v>Ignacio Andres Lopez Bustos</v>
      </c>
      <c r="C141" s="80" t="s">
        <v>3387</v>
      </c>
      <c r="D141" t="str">
        <f>IF(ISERROR(VLOOKUP(T_ComprobanteIngreso[[#This Row],[RUN]],T_Voluntarios[],9,FALSE)),"No Existe",VLOOKUP(T_ComprobanteIngreso[[#This Row],[RUN]],T_Voluntarios[],9,FALSE))</f>
        <v>Participante</v>
      </c>
      <c r="E141" t="str">
        <f>IF(ISERROR(VLOOKUP(T_ComprobanteIngreso[[#This Row],[RUN]],T_Voluntarios[],10,FALSE)),"No Existe",VLOOKUP(T_ComprobanteIngreso[[#This Row],[RUN]],T_Voluntarios[],10,FALSE))</f>
        <v>Alcatipay</v>
      </c>
      <c r="F141" t="str">
        <f>IF(ISERROR(VLOOKUP(T_ComprobanteIngreso[[#This Row],[RUN]],T_Voluntarios[],11,FALSE)),"No Existe",VLOOKUP(T_ComprobanteIngreso[[#This Row],[RUN]],T_Voluntarios[],11,FALSE))</f>
        <v>Pioneros</v>
      </c>
      <c r="G141" s="38">
        <f>IF(ISERROR(VLOOKUP(T_ComprobanteIngreso[[#This Row],[RUN]],T_Voluntarios[],37,FALSE)),"No Existe",VLOOKUP(T_ComprobanteIngreso[[#This Row],[RUN]],T_Voluntarios[],37,FALSE))</f>
        <v>50000</v>
      </c>
      <c r="H141" t="str" cm="1">
        <f t="array" ref="H141">PROPER(NUMEROSALETRAS(T_ComprobanteIngreso[[#This Row],[CUOTA]]))&amp;" pesos"</f>
        <v>Cincuenta Mil pesos</v>
      </c>
    </row>
    <row r="142" spans="1:8" x14ac:dyDescent="0.3">
      <c r="A142" t="s">
        <v>3232</v>
      </c>
      <c r="B142" t="str">
        <f>IF(ISERROR(VLOOKUP(T_ComprobanteIngreso[[#This Row],[RUN]],T_Voluntarios[],3,FALSE)),"No Existe",VLOOKUP(T_ComprobanteIngreso[[#This Row],[RUN]],T_Voluntarios[],3,FALSE))</f>
        <v>Gonsalo Fabriciano Junior Rivas Betancour</v>
      </c>
      <c r="C142" s="80" t="s">
        <v>3388</v>
      </c>
      <c r="D142" t="str">
        <f>IF(ISERROR(VLOOKUP(T_ComprobanteIngreso[[#This Row],[RUN]],T_Voluntarios[],9,FALSE)),"No Existe",VLOOKUP(T_ComprobanteIngreso[[#This Row],[RUN]],T_Voluntarios[],9,FALSE))</f>
        <v>Participante</v>
      </c>
      <c r="E142" t="str">
        <f>IF(ISERROR(VLOOKUP(T_ComprobanteIngreso[[#This Row],[RUN]],T_Voluntarios[],10,FALSE)),"No Existe",VLOOKUP(T_ComprobanteIngreso[[#This Row],[RUN]],T_Voluntarios[],10,FALSE))</f>
        <v>Pehuen</v>
      </c>
      <c r="F142" t="str">
        <f>IF(ISERROR(VLOOKUP(T_ComprobanteIngreso[[#This Row],[RUN]],T_Voluntarios[],11,FALSE)),"No Existe",VLOOKUP(T_ComprobanteIngreso[[#This Row],[RUN]],T_Voluntarios[],11,FALSE))</f>
        <v>Scouts</v>
      </c>
      <c r="G142" s="38">
        <f>IF(ISERROR(VLOOKUP(T_ComprobanteIngreso[[#This Row],[RUN]],T_Voluntarios[],37,FALSE)),"No Existe",VLOOKUP(T_ComprobanteIngreso[[#This Row],[RUN]],T_Voluntarios[],37,FALSE))</f>
        <v>50000</v>
      </c>
      <c r="H142" t="str" cm="1">
        <f t="array" ref="H142">PROPER(NUMEROSALETRAS(T_ComprobanteIngreso[[#This Row],[CUOTA]]))&amp;" pesos"</f>
        <v>Cincuenta Mil pesos</v>
      </c>
    </row>
    <row r="143" spans="1:8" x14ac:dyDescent="0.3">
      <c r="A143" t="s">
        <v>3242</v>
      </c>
      <c r="B143" t="str">
        <f>IF(ISERROR(VLOOKUP(T_ComprobanteIngreso[[#This Row],[RUN]],T_Voluntarios[],3,FALSE)),"No Existe",VLOOKUP(T_ComprobanteIngreso[[#This Row],[RUN]],T_Voluntarios[],3,FALSE))</f>
        <v>Marcela Molina Agurto</v>
      </c>
      <c r="C143" s="80" t="s">
        <v>3389</v>
      </c>
      <c r="D143" t="str">
        <f>IF(ISERROR(VLOOKUP(T_ComprobanteIngreso[[#This Row],[RUN]],T_Voluntarios[],9,FALSE)),"No Existe",VLOOKUP(T_ComprobanteIngreso[[#This Row],[RUN]],T_Voluntarios[],9,FALSE))</f>
        <v>Participante</v>
      </c>
      <c r="E143" t="str">
        <f>IF(ISERROR(VLOOKUP(T_ComprobanteIngreso[[#This Row],[RUN]],T_Voluntarios[],10,FALSE)),"No Existe",VLOOKUP(T_ComprobanteIngreso[[#This Row],[RUN]],T_Voluntarios[],10,FALSE))</f>
        <v>Rucapeñihue</v>
      </c>
      <c r="F143" t="str">
        <f>IF(ISERROR(VLOOKUP(T_ComprobanteIngreso[[#This Row],[RUN]],T_Voluntarios[],11,FALSE)),"No Existe",VLOOKUP(T_ComprobanteIngreso[[#This Row],[RUN]],T_Voluntarios[],11,FALSE))</f>
        <v>Scouts</v>
      </c>
      <c r="G143" s="38">
        <f>IF(ISERROR(VLOOKUP(T_ComprobanteIngreso[[#This Row],[RUN]],T_Voluntarios[],37,FALSE)),"No Existe",VLOOKUP(T_ComprobanteIngreso[[#This Row],[RUN]],T_Voluntarios[],37,FALSE))</f>
        <v>36500</v>
      </c>
      <c r="H143" t="str" cm="1">
        <f t="array" ref="H143">PROPER(NUMEROSALETRAS(T_ComprobanteIngreso[[#This Row],[CUOTA]]))&amp;" pesos"</f>
        <v>Treinta Seis Mil Quinientos pesos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035C4-3C17-4530-843B-00A0E95230B9}">
  <dimension ref="A1:I7"/>
  <sheetViews>
    <sheetView workbookViewId="0">
      <selection activeCell="D4" sqref="D4"/>
    </sheetView>
  </sheetViews>
  <sheetFormatPr baseColWidth="10" defaultRowHeight="14.4" x14ac:dyDescent="0.3"/>
  <cols>
    <col min="2" max="2" width="40.88671875" bestFit="1" customWidth="1"/>
    <col min="6" max="6" width="11.5546875" style="38"/>
    <col min="7" max="7" width="28" bestFit="1" customWidth="1"/>
    <col min="8" max="8" width="30.5546875" customWidth="1"/>
  </cols>
  <sheetData>
    <row r="1" spans="1:9" x14ac:dyDescent="0.3">
      <c r="A1" t="s">
        <v>37</v>
      </c>
      <c r="B1" t="s">
        <v>39</v>
      </c>
      <c r="C1" t="s">
        <v>3246</v>
      </c>
      <c r="D1" t="s">
        <v>45</v>
      </c>
      <c r="E1" t="s">
        <v>87</v>
      </c>
      <c r="F1" s="38" t="s">
        <v>476</v>
      </c>
      <c r="G1" t="s">
        <v>3247</v>
      </c>
      <c r="H1" t="s">
        <v>3390</v>
      </c>
      <c r="I1" t="s">
        <v>460</v>
      </c>
    </row>
    <row r="2" spans="1:9" x14ac:dyDescent="0.3">
      <c r="A2" t="s">
        <v>221</v>
      </c>
      <c r="B2" t="str">
        <f>IF(ISERROR(VLOOKUP(T_ComprobanteEgreso[[#This Row],[RUN]],T_Voluntarios[],3,FALSE)),"No Existe",VLOOKUP(T_ComprobanteEgreso[[#This Row],[RUN]],T_Voluntarios[],3,FALSE))</f>
        <v>Aldo Felipe Arévalo Rodríguez</v>
      </c>
      <c r="C2" s="80" t="s">
        <v>3248</v>
      </c>
      <c r="D2" t="str">
        <f>IF(ISERROR(VLOOKUP(T_ComprobanteEgreso[[#This Row],[RUN]],T_Voluntarios[],9,FALSE)),"No Existe",VLOOKUP(T_ComprobanteEgreso[[#This Row],[RUN]],T_Voluntarios[],9,FALSE))</f>
        <v>Formador(a)</v>
      </c>
      <c r="E2" t="str">
        <f>IF(ISERROR(VLOOKUP(T_ComprobanteEgreso[[#This Row],[RUN]],T_Voluntarios[],11,FALSE)),"No Existe",VLOOKUP(T_ComprobanteEgreso[[#This Row],[RUN]],T_Voluntarios[],11,FALSE))</f>
        <v>Lobatos</v>
      </c>
      <c r="F2" s="38">
        <v>10000</v>
      </c>
      <c r="G2" t="str" cm="1">
        <f t="array" ref="G2">PROPER(NUMEROSALETRAS(T_ComprobanteEgreso[[#This Row],[CUOTA]]))&amp;" pesos"</f>
        <v>Diez Mil pesos</v>
      </c>
      <c r="H2" t="s">
        <v>3391</v>
      </c>
      <c r="I2" s="7">
        <v>45829</v>
      </c>
    </row>
    <row r="3" spans="1:9" x14ac:dyDescent="0.3">
      <c r="A3" t="s">
        <v>303</v>
      </c>
      <c r="B3" t="str">
        <f>IF(ISERROR(VLOOKUP(T_ComprobanteEgreso[[#This Row],[RUN]],T_Voluntarios[],3,FALSE)),"No Existe",VLOOKUP(T_ComprobanteEgreso[[#This Row],[RUN]],T_Voluntarios[],3,FALSE))</f>
        <v>Ana Carolina Madrid  Canivilo</v>
      </c>
      <c r="C3" s="80" t="s">
        <v>3249</v>
      </c>
      <c r="D3" t="str">
        <f>IF(ISERROR(VLOOKUP(T_ComprobanteEgreso[[#This Row],[RUN]],T_Voluntarios[],9,FALSE)),"No Existe",VLOOKUP(T_ComprobanteEgreso[[#This Row],[RUN]],T_Voluntarios[],9,FALSE))</f>
        <v>Formador(a)</v>
      </c>
      <c r="E3" t="str">
        <f>IF(ISERROR(VLOOKUP(T_ComprobanteEgreso[[#This Row],[RUN]],T_Voluntarios[],11,FALSE)),"No Existe",VLOOKUP(T_ComprobanteEgreso[[#This Row],[RUN]],T_Voluntarios[],11,FALSE))</f>
        <v>Golondrinas</v>
      </c>
      <c r="F3" s="38">
        <v>20000</v>
      </c>
      <c r="G3" t="str" cm="1">
        <f t="array" ref="G3">PROPER(NUMEROSALETRAS(T_ComprobanteEgreso[[#This Row],[CUOTA]]))&amp;" pesos"</f>
        <v>Veinte Mil pesos</v>
      </c>
      <c r="H3" t="s">
        <v>3391</v>
      </c>
      <c r="I3" s="7">
        <v>45829</v>
      </c>
    </row>
    <row r="4" spans="1:9" x14ac:dyDescent="0.3">
      <c r="A4" t="s">
        <v>228</v>
      </c>
      <c r="B4" t="str">
        <f>IF(ISERROR(VLOOKUP(T_ComprobanteEgreso[[#This Row],[RUN]],T_Voluntarios[],3,FALSE)),"No Existe",VLOOKUP(T_ComprobanteEgreso[[#This Row],[RUN]],T_Voluntarios[],3,FALSE))</f>
        <v>Silvia Karina Carrasco Avilés</v>
      </c>
      <c r="C4" s="80" t="s">
        <v>3250</v>
      </c>
      <c r="D4" t="str">
        <f>IF(ISERROR(VLOOKUP(T_ComprobanteEgreso[[#This Row],[RUN]],T_Voluntarios[],9,FALSE)),"No Existe",VLOOKUP(T_ComprobanteEgreso[[#This Row],[RUN]],T_Voluntarios[],9,FALSE))</f>
        <v>Formador(a)</v>
      </c>
      <c r="E4" t="str">
        <f>IF(ISERROR(VLOOKUP(T_ComprobanteEgreso[[#This Row],[RUN]],T_Voluntarios[],11,FALSE)),"No Existe",VLOOKUP(T_ComprobanteEgreso[[#This Row],[RUN]],T_Voluntarios[],11,FALSE))</f>
        <v>Guias</v>
      </c>
      <c r="F4" s="38">
        <v>20000</v>
      </c>
      <c r="G4" t="str" cm="1">
        <f t="array" ref="G4">PROPER(NUMEROSALETRAS(T_ComprobanteEgreso[[#This Row],[CUOTA]]))&amp;" pesos"</f>
        <v>Veinte Mil pesos</v>
      </c>
      <c r="H4" t="s">
        <v>3391</v>
      </c>
      <c r="I4" s="7">
        <v>45829</v>
      </c>
    </row>
    <row r="5" spans="1:9" x14ac:dyDescent="0.3">
      <c r="A5" t="s">
        <v>203</v>
      </c>
      <c r="B5" t="str">
        <f>IF(ISERROR(VLOOKUP(T_ComprobanteEgreso[[#This Row],[RUN]],T_Voluntarios[],3,FALSE)),"No Existe",VLOOKUP(T_ComprobanteEgreso[[#This Row],[RUN]],T_Voluntarios[],3,FALSE))</f>
        <v>Carlos Gerardo Hormazábal Saez</v>
      </c>
      <c r="C5" s="80" t="s">
        <v>3251</v>
      </c>
      <c r="D5" t="str">
        <f>IF(ISERROR(VLOOKUP(T_ComprobanteEgreso[[#This Row],[RUN]],T_Voluntarios[],9,FALSE)),"No Existe",VLOOKUP(T_ComprobanteEgreso[[#This Row],[RUN]],T_Voluntarios[],9,FALSE))</f>
        <v>Formador(a)</v>
      </c>
      <c r="E5" t="str">
        <f>IF(ISERROR(VLOOKUP(T_ComprobanteEgreso[[#This Row],[RUN]],T_Voluntarios[],11,FALSE)),"No Existe",VLOOKUP(T_ComprobanteEgreso[[#This Row],[RUN]],T_Voluntarios[],11,FALSE))</f>
        <v>Scouts</v>
      </c>
      <c r="F5" s="38">
        <v>10000</v>
      </c>
      <c r="G5" t="str" cm="1">
        <f t="array" ref="G5">PROPER(NUMEROSALETRAS(T_ComprobanteEgreso[[#This Row],[CUOTA]]))&amp;" pesos"</f>
        <v>Diez Mil pesos</v>
      </c>
      <c r="H5" t="s">
        <v>3391</v>
      </c>
      <c r="I5" s="7">
        <v>45829</v>
      </c>
    </row>
    <row r="6" spans="1:9" x14ac:dyDescent="0.3">
      <c r="A6" t="s">
        <v>282</v>
      </c>
      <c r="B6" t="str">
        <f>IF(ISERROR(VLOOKUP(T_ComprobanteEgreso[[#This Row],[RUN]],T_Voluntarios[],3,FALSE)),"No Existe",VLOOKUP(T_ComprobanteEgreso[[#This Row],[RUN]],T_Voluntarios[],3,FALSE))</f>
        <v>Sebastián Hormazábal Madrid</v>
      </c>
      <c r="C6" s="80" t="s">
        <v>3252</v>
      </c>
      <c r="D6" t="str">
        <f>IF(ISERROR(VLOOKUP(T_ComprobanteEgreso[[#This Row],[RUN]],T_Voluntarios[],9,FALSE)),"No Existe",VLOOKUP(T_ComprobanteEgreso[[#This Row],[RUN]],T_Voluntarios[],9,FALSE))</f>
        <v>Formador(a)</v>
      </c>
      <c r="E6" t="str">
        <f>IF(ISERROR(VLOOKUP(T_ComprobanteEgreso[[#This Row],[RUN]],T_Voluntarios[],11,FALSE)),"No Existe",VLOOKUP(T_ComprobanteEgreso[[#This Row],[RUN]],T_Voluntarios[],11,FALSE))</f>
        <v>Pioneros</v>
      </c>
      <c r="F6" s="38">
        <v>20000</v>
      </c>
      <c r="G6" t="str" cm="1">
        <f t="array" ref="G6">PROPER(NUMEROSALETRAS(T_ComprobanteEgreso[[#This Row],[CUOTA]]))&amp;" pesos"</f>
        <v>Veinte Mil pesos</v>
      </c>
      <c r="H6" t="s">
        <v>3391</v>
      </c>
      <c r="I6" s="7">
        <v>45829</v>
      </c>
    </row>
    <row r="7" spans="1:9" x14ac:dyDescent="0.3">
      <c r="A7" t="s">
        <v>2845</v>
      </c>
      <c r="B7" t="str">
        <f>IF(ISERROR(VLOOKUP(T_ComprobanteEgreso[[#This Row],[RUN]],T_Voluntarios[],3,FALSE)),"No Existe",VLOOKUP(T_ComprobanteEgreso[[#This Row],[RUN]],T_Voluntarios[],3,FALSE))</f>
        <v>Miguel Angel Villanueva Cuevas</v>
      </c>
      <c r="C7" s="80" t="s">
        <v>3253</v>
      </c>
      <c r="D7" t="str">
        <f>IF(ISERROR(VLOOKUP(T_ComprobanteEgreso[[#This Row],[RUN]],T_Voluntarios[],9,FALSE)),"No Existe",VLOOKUP(T_ComprobanteEgreso[[#This Row],[RUN]],T_Voluntarios[],9,FALSE))</f>
        <v>Formador(a)</v>
      </c>
      <c r="E7" t="str">
        <f>IF(ISERROR(VLOOKUP(T_ComprobanteEgreso[[#This Row],[RUN]],T_Voluntarios[],11,FALSE)),"No Existe",VLOOKUP(T_ComprobanteEgreso[[#This Row],[RUN]],T_Voluntarios[],11,FALSE))</f>
        <v>Caminantes</v>
      </c>
      <c r="F7" s="38">
        <v>20000</v>
      </c>
      <c r="G7" t="str" cm="1">
        <f t="array" ref="G7">PROPER(NUMEROSALETRAS(T_ComprobanteEgreso[[#This Row],[CUOTA]]))&amp;" pesos"</f>
        <v>Veinte Mil pesos</v>
      </c>
      <c r="H7" t="s">
        <v>3391</v>
      </c>
      <c r="I7" s="7">
        <v>45829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E85D2-1468-49C5-A047-8D2D050CD8D0}">
  <sheetPr codeName="Hoja20">
    <tabColor rgb="FFFF0000"/>
  </sheetPr>
  <dimension ref="A1:K30"/>
  <sheetViews>
    <sheetView zoomScale="75" zoomScaleNormal="75" workbookViewId="0">
      <selection activeCell="O6" sqref="O6"/>
    </sheetView>
  </sheetViews>
  <sheetFormatPr baseColWidth="10" defaultRowHeight="14.4" x14ac:dyDescent="0.3"/>
  <cols>
    <col min="1" max="1" width="5" bestFit="1" customWidth="1"/>
    <col min="2" max="2" width="52.109375" bestFit="1" customWidth="1"/>
    <col min="3" max="3" width="10.33203125" bestFit="1" customWidth="1"/>
    <col min="4" max="4" width="15.77734375" bestFit="1" customWidth="1"/>
    <col min="5" max="5" width="11.88671875" bestFit="1" customWidth="1"/>
    <col min="6" max="6" width="10.33203125" bestFit="1" customWidth="1"/>
    <col min="8" max="8" width="8.5546875" style="82" bestFit="1" customWidth="1"/>
    <col min="9" max="9" width="13.6640625" style="83" customWidth="1"/>
    <col min="10" max="10" width="11.88671875" style="83" bestFit="1" customWidth="1"/>
    <col min="11" max="11" width="21.5546875" bestFit="1" customWidth="1"/>
  </cols>
  <sheetData>
    <row r="1" spans="1:11" ht="18" x14ac:dyDescent="0.3">
      <c r="A1" s="111" t="s">
        <v>2774</v>
      </c>
      <c r="B1" s="111"/>
      <c r="C1" s="74">
        <f>COUNTIFS(T_Voluntarios[ROL],"Participante",T_Voluntarios[ESTADO],"Vigente")</f>
        <v>142</v>
      </c>
      <c r="D1" s="109" t="s">
        <v>2803</v>
      </c>
      <c r="E1" s="109"/>
      <c r="F1" s="109"/>
      <c r="H1" s="112" t="s">
        <v>3400</v>
      </c>
      <c r="I1" s="112"/>
      <c r="J1" s="112"/>
      <c r="K1" s="112"/>
    </row>
    <row r="2" spans="1:11" ht="18" x14ac:dyDescent="0.3">
      <c r="A2" s="111" t="s">
        <v>2775</v>
      </c>
      <c r="B2" s="111"/>
      <c r="C2" s="74">
        <f>COUNTIFS(T_Voluntarios[ROL],"Formador(a)",T_Voluntarios[ESTADO],"Vigente") + COUNTIFS(T_Voluntarios[ROL],"Apoyo a Formadores",T_Voluntarios[ESTADO],"Vigente")</f>
        <v>30</v>
      </c>
      <c r="D2" s="109" t="s">
        <v>2804</v>
      </c>
      <c r="E2" s="109"/>
      <c r="F2" s="109"/>
      <c r="H2" s="119" t="s">
        <v>3398</v>
      </c>
      <c r="I2" s="119"/>
      <c r="J2" s="115">
        <f>SUM(T_ComprobanteIngreso[CUOTA])</f>
        <v>6641000</v>
      </c>
      <c r="K2" s="115"/>
    </row>
    <row r="3" spans="1:11" ht="18" x14ac:dyDescent="0.3">
      <c r="A3" s="111" t="s">
        <v>3051</v>
      </c>
      <c r="B3" s="111"/>
      <c r="C3" s="74">
        <v>37</v>
      </c>
      <c r="D3" s="110" t="s">
        <v>2793</v>
      </c>
      <c r="E3" s="110"/>
      <c r="F3" s="110"/>
      <c r="H3" s="119"/>
      <c r="I3" s="119"/>
      <c r="J3" s="115"/>
      <c r="K3" s="115"/>
    </row>
    <row r="4" spans="1:11" ht="18" x14ac:dyDescent="0.3">
      <c r="A4" s="73"/>
      <c r="B4" s="73" t="s">
        <v>730</v>
      </c>
      <c r="C4" s="74">
        <f>COUNTIFS(T_Voluntarios[ESTADO],"Vigente",T_Voluntarios[ALIMENTACION],"Sin Almuerzo")</f>
        <v>34</v>
      </c>
      <c r="D4" s="109" t="s">
        <v>2803</v>
      </c>
      <c r="E4" s="109"/>
      <c r="F4" s="109"/>
      <c r="H4" s="118" t="s">
        <v>3397</v>
      </c>
      <c r="I4" s="118"/>
      <c r="J4" s="113">
        <f>SUM(J8:J28)</f>
        <v>4707000</v>
      </c>
      <c r="K4" s="113"/>
    </row>
    <row r="5" spans="1:11" ht="23.4" x14ac:dyDescent="0.3">
      <c r="A5" s="73"/>
      <c r="B5" s="73" t="s">
        <v>2799</v>
      </c>
      <c r="C5" s="74">
        <f>COUNTIFS(T_Voluntarios[ESTADO],"Vigente",T_Voluntarios[NECESITA_CAMA],"SI")</f>
        <v>101</v>
      </c>
      <c r="D5" s="109" t="s">
        <v>2805</v>
      </c>
      <c r="E5" s="109"/>
      <c r="F5" s="109"/>
      <c r="H5" s="120" t="s">
        <v>3399</v>
      </c>
      <c r="I5" s="120"/>
      <c r="J5" s="114">
        <f>J2-J4</f>
        <v>1934000</v>
      </c>
      <c r="K5" s="114"/>
    </row>
    <row r="6" spans="1:11" ht="18" x14ac:dyDescent="0.3">
      <c r="H6" s="86"/>
      <c r="I6" s="87"/>
      <c r="J6" s="87"/>
    </row>
    <row r="7" spans="1:11" ht="28.8" x14ac:dyDescent="0.3">
      <c r="A7" s="61" t="s">
        <v>2773</v>
      </c>
      <c r="B7" s="61" t="s">
        <v>2794</v>
      </c>
      <c r="C7" s="62" t="s">
        <v>2795</v>
      </c>
      <c r="D7" s="63" t="s">
        <v>2796</v>
      </c>
      <c r="E7" s="64" t="s">
        <v>2797</v>
      </c>
      <c r="F7" s="65" t="s">
        <v>2798</v>
      </c>
      <c r="H7" s="81" t="s">
        <v>3074</v>
      </c>
      <c r="I7" s="81" t="s">
        <v>3393</v>
      </c>
      <c r="J7" s="81" t="s">
        <v>101</v>
      </c>
      <c r="K7" s="81" t="s">
        <v>448</v>
      </c>
    </row>
    <row r="8" spans="1:11" x14ac:dyDescent="0.3">
      <c r="A8" s="72">
        <v>1</v>
      </c>
      <c r="B8" s="66" t="s">
        <v>2776</v>
      </c>
      <c r="C8" s="67">
        <f>Pasajes_Formador!K1</f>
        <v>323500</v>
      </c>
      <c r="D8" s="68">
        <v>1</v>
      </c>
      <c r="E8" s="67">
        <f>C8*D8</f>
        <v>323500</v>
      </c>
      <c r="F8" s="67">
        <f>E8/$C$1</f>
        <v>2278.1690140845071</v>
      </c>
      <c r="H8" s="84">
        <v>1</v>
      </c>
      <c r="I8" s="85">
        <v>355000</v>
      </c>
      <c r="J8" s="85">
        <f>I8*H8</f>
        <v>355000</v>
      </c>
      <c r="K8" s="66"/>
    </row>
    <row r="9" spans="1:11" x14ac:dyDescent="0.3">
      <c r="A9" s="72">
        <f>A8+1</f>
        <v>2</v>
      </c>
      <c r="B9" s="66" t="s">
        <v>2806</v>
      </c>
      <c r="C9" s="67">
        <v>1500</v>
      </c>
      <c r="D9" s="68">
        <f>C3</f>
        <v>37</v>
      </c>
      <c r="E9" s="67">
        <f>C9*D9</f>
        <v>55500</v>
      </c>
      <c r="F9" s="67">
        <f>E9/$C$1</f>
        <v>390.84507042253523</v>
      </c>
      <c r="H9" s="84">
        <v>0</v>
      </c>
      <c r="I9" s="85">
        <v>0</v>
      </c>
      <c r="J9" s="85">
        <f t="shared" ref="J9:J28" si="0">I9*H9</f>
        <v>0</v>
      </c>
      <c r="K9" s="66"/>
    </row>
    <row r="10" spans="1:11" x14ac:dyDescent="0.3">
      <c r="A10" s="72">
        <f t="shared" ref="A10:A28" si="1">A9+1</f>
        <v>3</v>
      </c>
      <c r="B10" s="66" t="s">
        <v>2777</v>
      </c>
      <c r="C10" s="67">
        <v>120</v>
      </c>
      <c r="D10" s="68">
        <f>SUM($C$1:$C$3)</f>
        <v>209</v>
      </c>
      <c r="E10" s="67">
        <f>C10*D10</f>
        <v>25080</v>
      </c>
      <c r="F10" s="67">
        <f t="shared" ref="F10:F28" si="2">E10/$C$1</f>
        <v>176.61971830985917</v>
      </c>
      <c r="H10" s="84">
        <v>120</v>
      </c>
      <c r="I10" s="85">
        <v>250</v>
      </c>
      <c r="J10" s="85">
        <f t="shared" si="0"/>
        <v>30000</v>
      </c>
      <c r="K10" s="66"/>
    </row>
    <row r="11" spans="1:11" x14ac:dyDescent="0.3">
      <c r="A11" s="72">
        <f t="shared" si="1"/>
        <v>4</v>
      </c>
      <c r="B11" s="66" t="s">
        <v>2778</v>
      </c>
      <c r="C11" s="67">
        <v>25000</v>
      </c>
      <c r="D11" s="68">
        <v>1</v>
      </c>
      <c r="E11" s="67">
        <f>C11*D11</f>
        <v>25000</v>
      </c>
      <c r="F11" s="67">
        <f t="shared" si="2"/>
        <v>176.05633802816902</v>
      </c>
      <c r="H11" s="84">
        <v>1</v>
      </c>
      <c r="I11" s="85">
        <v>32000</v>
      </c>
      <c r="J11" s="85">
        <f t="shared" si="0"/>
        <v>32000</v>
      </c>
      <c r="K11" s="66" t="s">
        <v>3394</v>
      </c>
    </row>
    <row r="12" spans="1:11" x14ac:dyDescent="0.3">
      <c r="A12" s="72">
        <f t="shared" si="1"/>
        <v>5</v>
      </c>
      <c r="B12" s="66" t="s">
        <v>2779</v>
      </c>
      <c r="C12" s="67">
        <v>70000</v>
      </c>
      <c r="D12" s="68">
        <v>1</v>
      </c>
      <c r="E12" s="67">
        <f t="shared" ref="E12:E28" si="3">C12*D12</f>
        <v>70000</v>
      </c>
      <c r="F12" s="67">
        <f t="shared" si="2"/>
        <v>492.95774647887322</v>
      </c>
      <c r="H12" s="84">
        <v>1</v>
      </c>
      <c r="I12" s="85">
        <v>150000</v>
      </c>
      <c r="J12" s="85">
        <f t="shared" si="0"/>
        <v>150000</v>
      </c>
      <c r="K12" s="66" t="s">
        <v>3395</v>
      </c>
    </row>
    <row r="13" spans="1:11" x14ac:dyDescent="0.3">
      <c r="A13" s="72">
        <f t="shared" si="1"/>
        <v>6</v>
      </c>
      <c r="B13" s="66" t="s">
        <v>2780</v>
      </c>
      <c r="C13" s="67">
        <v>10000</v>
      </c>
      <c r="D13" s="68">
        <v>1</v>
      </c>
      <c r="E13" s="67">
        <f t="shared" si="3"/>
        <v>10000</v>
      </c>
      <c r="F13" s="67">
        <f t="shared" si="2"/>
        <v>70.422535211267601</v>
      </c>
      <c r="H13" s="84">
        <v>1</v>
      </c>
      <c r="I13" s="85">
        <v>15000</v>
      </c>
      <c r="J13" s="85">
        <f t="shared" si="0"/>
        <v>15000</v>
      </c>
      <c r="K13" s="66" t="s">
        <v>3396</v>
      </c>
    </row>
    <row r="14" spans="1:11" x14ac:dyDescent="0.3">
      <c r="A14" s="72">
        <f t="shared" si="1"/>
        <v>7</v>
      </c>
      <c r="B14" s="66" t="s">
        <v>2781</v>
      </c>
      <c r="C14" s="67">
        <v>100000</v>
      </c>
      <c r="D14" s="68">
        <v>6</v>
      </c>
      <c r="E14" s="67">
        <f t="shared" si="3"/>
        <v>600000</v>
      </c>
      <c r="F14" s="67">
        <f t="shared" si="2"/>
        <v>4225.3521126760561</v>
      </c>
      <c r="H14" s="84">
        <v>1</v>
      </c>
      <c r="I14" s="85">
        <v>400000</v>
      </c>
      <c r="J14" s="85">
        <f t="shared" si="0"/>
        <v>400000</v>
      </c>
      <c r="K14" s="66"/>
    </row>
    <row r="15" spans="1:11" x14ac:dyDescent="0.3">
      <c r="A15" s="72">
        <f t="shared" si="1"/>
        <v>8</v>
      </c>
      <c r="B15" s="66" t="s">
        <v>2782</v>
      </c>
      <c r="C15" s="67">
        <v>10000</v>
      </c>
      <c r="D15" s="68">
        <v>1</v>
      </c>
      <c r="E15" s="67">
        <f t="shared" si="3"/>
        <v>10000</v>
      </c>
      <c r="F15" s="67">
        <f t="shared" si="2"/>
        <v>70.422535211267601</v>
      </c>
      <c r="H15" s="84">
        <v>1</v>
      </c>
      <c r="I15" s="85">
        <v>10000</v>
      </c>
      <c r="J15" s="85">
        <f t="shared" si="0"/>
        <v>10000</v>
      </c>
      <c r="K15" s="66"/>
    </row>
    <row r="16" spans="1:11" x14ac:dyDescent="0.3">
      <c r="A16" s="72">
        <f t="shared" si="1"/>
        <v>9</v>
      </c>
      <c r="B16" s="66" t="s">
        <v>2783</v>
      </c>
      <c r="C16" s="67">
        <v>10000</v>
      </c>
      <c r="D16" s="68">
        <v>6</v>
      </c>
      <c r="E16" s="67">
        <f t="shared" si="3"/>
        <v>60000</v>
      </c>
      <c r="F16" s="67">
        <f t="shared" si="2"/>
        <v>422.53521126760563</v>
      </c>
      <c r="H16" s="84">
        <v>1</v>
      </c>
      <c r="I16" s="85">
        <v>50000</v>
      </c>
      <c r="J16" s="85">
        <f t="shared" si="0"/>
        <v>50000</v>
      </c>
      <c r="K16" s="66"/>
    </row>
    <row r="17" spans="1:11" x14ac:dyDescent="0.3">
      <c r="A17" s="72">
        <f t="shared" si="1"/>
        <v>10</v>
      </c>
      <c r="B17" s="66" t="s">
        <v>2784</v>
      </c>
      <c r="C17" s="67">
        <v>70000</v>
      </c>
      <c r="D17" s="68">
        <v>1</v>
      </c>
      <c r="E17" s="67">
        <f t="shared" si="3"/>
        <v>70000</v>
      </c>
      <c r="F17" s="67">
        <f t="shared" si="2"/>
        <v>492.95774647887322</v>
      </c>
      <c r="H17" s="84">
        <v>1</v>
      </c>
      <c r="I17" s="85">
        <v>70000</v>
      </c>
      <c r="J17" s="85">
        <f t="shared" si="0"/>
        <v>70000</v>
      </c>
      <c r="K17" s="66"/>
    </row>
    <row r="18" spans="1:11" x14ac:dyDescent="0.3">
      <c r="A18" s="72">
        <f t="shared" si="1"/>
        <v>11</v>
      </c>
      <c r="B18" s="66" t="s">
        <v>2785</v>
      </c>
      <c r="C18" s="67">
        <v>60000</v>
      </c>
      <c r="D18" s="68">
        <v>1</v>
      </c>
      <c r="E18" s="67">
        <f t="shared" si="3"/>
        <v>60000</v>
      </c>
      <c r="F18" s="67">
        <f t="shared" si="2"/>
        <v>422.53521126760563</v>
      </c>
      <c r="H18" s="84">
        <v>1</v>
      </c>
      <c r="I18" s="85">
        <v>20000</v>
      </c>
      <c r="J18" s="85">
        <f t="shared" si="0"/>
        <v>20000</v>
      </c>
      <c r="K18" s="66"/>
    </row>
    <row r="19" spans="1:11" x14ac:dyDescent="0.3">
      <c r="A19" s="72">
        <f t="shared" si="1"/>
        <v>12</v>
      </c>
      <c r="B19" s="66" t="s">
        <v>2786</v>
      </c>
      <c r="C19" s="67">
        <v>50000</v>
      </c>
      <c r="D19" s="68">
        <v>1</v>
      </c>
      <c r="E19" s="67">
        <f t="shared" si="3"/>
        <v>50000</v>
      </c>
      <c r="F19" s="67">
        <f t="shared" si="2"/>
        <v>352.11267605633805</v>
      </c>
      <c r="H19" s="84">
        <v>1</v>
      </c>
      <c r="I19" s="85">
        <v>100000</v>
      </c>
      <c r="J19" s="85">
        <f t="shared" si="0"/>
        <v>100000</v>
      </c>
      <c r="K19" s="66"/>
    </row>
    <row r="20" spans="1:11" x14ac:dyDescent="0.3">
      <c r="A20" s="72">
        <f t="shared" si="1"/>
        <v>13</v>
      </c>
      <c r="B20" s="66" t="s">
        <v>2787</v>
      </c>
      <c r="C20" s="67">
        <v>4000</v>
      </c>
      <c r="D20" s="68">
        <f>SUM($C$1:$C$3)</f>
        <v>209</v>
      </c>
      <c r="E20" s="67">
        <f t="shared" si="3"/>
        <v>836000</v>
      </c>
      <c r="F20" s="67">
        <f t="shared" si="2"/>
        <v>5887.3239436619715</v>
      </c>
      <c r="H20" s="84">
        <v>1</v>
      </c>
      <c r="I20" s="85">
        <v>700000</v>
      </c>
      <c r="J20" s="85">
        <f t="shared" si="0"/>
        <v>700000</v>
      </c>
      <c r="K20" s="66"/>
    </row>
    <row r="21" spans="1:11" x14ac:dyDescent="0.3">
      <c r="A21" s="72">
        <f t="shared" si="1"/>
        <v>14</v>
      </c>
      <c r="B21" s="66" t="s">
        <v>2788</v>
      </c>
      <c r="C21" s="67">
        <v>2000</v>
      </c>
      <c r="D21" s="68">
        <f>SUM($C$1:$C$3)</f>
        <v>209</v>
      </c>
      <c r="E21" s="67">
        <f t="shared" si="3"/>
        <v>418000</v>
      </c>
      <c r="F21" s="67">
        <f t="shared" si="2"/>
        <v>2943.6619718309857</v>
      </c>
      <c r="H21" s="84">
        <v>1</v>
      </c>
      <c r="I21" s="85">
        <v>300000</v>
      </c>
      <c r="J21" s="85">
        <f t="shared" si="0"/>
        <v>300000</v>
      </c>
      <c r="K21" s="66"/>
    </row>
    <row r="22" spans="1:11" x14ac:dyDescent="0.3">
      <c r="A22" s="72">
        <f t="shared" si="1"/>
        <v>15</v>
      </c>
      <c r="B22" s="66" t="s">
        <v>2932</v>
      </c>
      <c r="C22" s="67">
        <v>5500</v>
      </c>
      <c r="D22" s="68">
        <f>SUM($C$1:$C$3)</f>
        <v>209</v>
      </c>
      <c r="E22" s="67">
        <f t="shared" si="3"/>
        <v>1149500</v>
      </c>
      <c r="F22" s="67">
        <f t="shared" si="2"/>
        <v>8095.070422535211</v>
      </c>
      <c r="H22" s="84">
        <v>1</v>
      </c>
      <c r="I22" s="85">
        <v>700000</v>
      </c>
      <c r="J22" s="85">
        <f t="shared" si="0"/>
        <v>700000</v>
      </c>
      <c r="K22" s="66"/>
    </row>
    <row r="23" spans="1:11" x14ac:dyDescent="0.3">
      <c r="A23" s="72">
        <f t="shared" si="1"/>
        <v>16</v>
      </c>
      <c r="B23" s="66" t="s">
        <v>2802</v>
      </c>
      <c r="C23" s="67">
        <v>0</v>
      </c>
      <c r="D23" s="68">
        <f>C5</f>
        <v>101</v>
      </c>
      <c r="E23" s="67">
        <f t="shared" si="3"/>
        <v>0</v>
      </c>
      <c r="F23" s="67">
        <f t="shared" si="2"/>
        <v>0</v>
      </c>
      <c r="H23" s="84">
        <v>0</v>
      </c>
      <c r="I23" s="85">
        <v>0</v>
      </c>
      <c r="J23" s="85">
        <f t="shared" si="0"/>
        <v>0</v>
      </c>
      <c r="K23" s="66"/>
    </row>
    <row r="24" spans="1:11" x14ac:dyDescent="0.3">
      <c r="A24" s="72">
        <f t="shared" si="1"/>
        <v>17</v>
      </c>
      <c r="B24" s="66" t="s">
        <v>2789</v>
      </c>
      <c r="C24" s="67">
        <v>11500</v>
      </c>
      <c r="D24" s="68">
        <f>SUM($C$1:$C$3) - C4</f>
        <v>175</v>
      </c>
      <c r="E24" s="67">
        <f t="shared" si="3"/>
        <v>2012500</v>
      </c>
      <c r="F24" s="67">
        <f t="shared" si="2"/>
        <v>14172.535211267606</v>
      </c>
      <c r="H24" s="84">
        <v>1</v>
      </c>
      <c r="I24" s="85">
        <v>1675000</v>
      </c>
      <c r="J24" s="85">
        <f t="shared" si="0"/>
        <v>1675000</v>
      </c>
      <c r="K24" s="66"/>
    </row>
    <row r="25" spans="1:11" x14ac:dyDescent="0.3">
      <c r="A25" s="72">
        <f t="shared" si="1"/>
        <v>18</v>
      </c>
      <c r="B25" s="66" t="s">
        <v>2934</v>
      </c>
      <c r="C25" s="67">
        <v>300000</v>
      </c>
      <c r="D25" s="68">
        <v>1</v>
      </c>
      <c r="E25" s="67">
        <f>C25*D25</f>
        <v>300000</v>
      </c>
      <c r="F25" s="67">
        <f>E25/$C$1</f>
        <v>2112.676056338028</v>
      </c>
      <c r="H25" s="84">
        <v>0</v>
      </c>
      <c r="I25" s="85">
        <v>0</v>
      </c>
      <c r="J25" s="85">
        <f t="shared" si="0"/>
        <v>0</v>
      </c>
      <c r="K25" s="66"/>
    </row>
    <row r="26" spans="1:11" x14ac:dyDescent="0.3">
      <c r="A26" s="72">
        <f t="shared" si="1"/>
        <v>19</v>
      </c>
      <c r="B26" s="66" t="s">
        <v>2790</v>
      </c>
      <c r="C26" s="67">
        <v>10000</v>
      </c>
      <c r="D26" s="68">
        <v>1</v>
      </c>
      <c r="E26" s="67">
        <f t="shared" si="3"/>
        <v>10000</v>
      </c>
      <c r="F26" s="67">
        <f t="shared" si="2"/>
        <v>70.422535211267601</v>
      </c>
      <c r="H26" s="84">
        <v>0</v>
      </c>
      <c r="I26" s="85">
        <v>0</v>
      </c>
      <c r="J26" s="85">
        <f t="shared" si="0"/>
        <v>0</v>
      </c>
      <c r="K26" s="66"/>
    </row>
    <row r="27" spans="1:11" x14ac:dyDescent="0.3">
      <c r="A27" s="72">
        <f t="shared" si="1"/>
        <v>20</v>
      </c>
      <c r="B27" s="66" t="s">
        <v>2791</v>
      </c>
      <c r="C27" s="67">
        <v>150000</v>
      </c>
      <c r="D27" s="68">
        <v>1</v>
      </c>
      <c r="E27" s="67">
        <f t="shared" si="3"/>
        <v>150000</v>
      </c>
      <c r="F27" s="67">
        <f t="shared" si="2"/>
        <v>1056.338028169014</v>
      </c>
      <c r="H27" s="84">
        <v>0</v>
      </c>
      <c r="I27" s="85">
        <v>0</v>
      </c>
      <c r="J27" s="85">
        <f t="shared" si="0"/>
        <v>0</v>
      </c>
      <c r="K27" s="66"/>
    </row>
    <row r="28" spans="1:11" x14ac:dyDescent="0.3">
      <c r="A28" s="72">
        <f t="shared" si="1"/>
        <v>21</v>
      </c>
      <c r="B28" s="66" t="s">
        <v>2792</v>
      </c>
      <c r="C28" s="67">
        <v>300000</v>
      </c>
      <c r="D28" s="68">
        <v>1</v>
      </c>
      <c r="E28" s="67">
        <f t="shared" si="3"/>
        <v>300000</v>
      </c>
      <c r="F28" s="67">
        <f t="shared" si="2"/>
        <v>2112.676056338028</v>
      </c>
      <c r="H28" s="84">
        <v>1</v>
      </c>
      <c r="I28" s="85">
        <v>100000</v>
      </c>
      <c r="J28" s="85">
        <f t="shared" si="0"/>
        <v>100000</v>
      </c>
      <c r="K28" s="66"/>
    </row>
    <row r="29" spans="1:11" ht="15" thickBot="1" x14ac:dyDescent="0.35">
      <c r="A29" s="116" t="s">
        <v>2800</v>
      </c>
      <c r="B29" s="116"/>
      <c r="C29" s="116"/>
      <c r="D29" s="117"/>
      <c r="E29" s="67">
        <f>SUM(E8:E28)</f>
        <v>6535080</v>
      </c>
      <c r="F29" s="69"/>
    </row>
    <row r="30" spans="1:11" ht="15" thickBot="1" x14ac:dyDescent="0.35">
      <c r="A30" s="107" t="s">
        <v>2801</v>
      </c>
      <c r="B30" s="107"/>
      <c r="C30" s="107"/>
      <c r="D30" s="108"/>
      <c r="E30" s="70">
        <f>SUM(F8:F28)</f>
        <v>46021.690140845072</v>
      </c>
      <c r="F30" s="71">
        <v>50000</v>
      </c>
    </row>
  </sheetData>
  <mergeCells count="17">
    <mergeCell ref="H1:K1"/>
    <mergeCell ref="J4:K4"/>
    <mergeCell ref="J5:K5"/>
    <mergeCell ref="J2:K3"/>
    <mergeCell ref="A29:D29"/>
    <mergeCell ref="H4:I4"/>
    <mergeCell ref="H2:I3"/>
    <mergeCell ref="H5:I5"/>
    <mergeCell ref="A30:D30"/>
    <mergeCell ref="D1:F1"/>
    <mergeCell ref="D2:F2"/>
    <mergeCell ref="D3:F3"/>
    <mergeCell ref="D4:F4"/>
    <mergeCell ref="D5:F5"/>
    <mergeCell ref="A1:B1"/>
    <mergeCell ref="A2:B2"/>
    <mergeCell ref="A3:B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4936F-3242-406F-B0E1-AFE774CF6CB4}">
  <sheetPr codeName="Hoja18">
    <tabColor rgb="FF7030A0"/>
  </sheetPr>
  <dimension ref="A1:H21"/>
  <sheetViews>
    <sheetView topLeftCell="B1" workbookViewId="0">
      <selection activeCell="E6" sqref="E6"/>
    </sheetView>
  </sheetViews>
  <sheetFormatPr baseColWidth="10" defaultRowHeight="14.4" x14ac:dyDescent="0.3"/>
  <cols>
    <col min="1" max="1" width="10.44140625" hidden="1" customWidth="1"/>
    <col min="2" max="2" width="12" bestFit="1" customWidth="1"/>
    <col min="3" max="3" width="12" customWidth="1"/>
    <col min="4" max="4" width="23.88671875" bestFit="1" customWidth="1"/>
    <col min="5" max="5" width="60.6640625" bestFit="1" customWidth="1"/>
    <col min="7" max="8" width="18.6640625" bestFit="1" customWidth="1"/>
  </cols>
  <sheetData>
    <row r="1" spans="1:8" x14ac:dyDescent="0.3">
      <c r="A1" t="s">
        <v>460</v>
      </c>
      <c r="B1" t="s">
        <v>461</v>
      </c>
      <c r="C1" t="s">
        <v>711</v>
      </c>
      <c r="D1" t="s">
        <v>706</v>
      </c>
      <c r="E1" t="s">
        <v>462</v>
      </c>
      <c r="F1" t="s">
        <v>463</v>
      </c>
      <c r="G1" t="s">
        <v>3058</v>
      </c>
      <c r="H1" t="s">
        <v>3059</v>
      </c>
    </row>
    <row r="2" spans="1:8" x14ac:dyDescent="0.3">
      <c r="A2" s="7"/>
      <c r="B2" s="57" t="s">
        <v>2016</v>
      </c>
      <c r="C2" s="57" t="s">
        <v>708</v>
      </c>
      <c r="D2" s="57" t="s">
        <v>730</v>
      </c>
      <c r="E2" s="57"/>
      <c r="F2" s="57">
        <f>SUMIFS(T_Voluntarios[CUENTA],T_Voluntarios[ALIMENTACION],T_Menu[[#This Row],[TIPO]],T_Voluntarios[ESTADO],"Vigente")</f>
        <v>34</v>
      </c>
      <c r="G2" s="57">
        <v>0</v>
      </c>
      <c r="H2" s="57">
        <f>T_Menu[[#This Row],[CANTIDAD]]+T_Menu[[#This Row],[CANTIDAD_EXTRA]]</f>
        <v>34</v>
      </c>
    </row>
    <row r="3" spans="1:8" x14ac:dyDescent="0.3">
      <c r="A3" s="7">
        <v>45101</v>
      </c>
      <c r="B3" t="s">
        <v>710</v>
      </c>
      <c r="C3" t="s">
        <v>707</v>
      </c>
      <c r="D3" t="s">
        <v>712</v>
      </c>
      <c r="F3">
        <f>SUMIFS(T_Voluntarios[CUENTA],T_Voluntarios[ALIMENTACION],T_Menu[[#This Row],[TIPO]],T_Voluntarios[ESTADO],"Vigente")</f>
        <v>0</v>
      </c>
      <c r="G3">
        <v>0</v>
      </c>
      <c r="H3">
        <f>T_Menu[[#This Row],[CANTIDAD]]+T_Menu[[#This Row],[CANTIDAD_EXTRA]]</f>
        <v>0</v>
      </c>
    </row>
    <row r="4" spans="1:8" x14ac:dyDescent="0.3">
      <c r="A4" s="7">
        <v>45101</v>
      </c>
      <c r="B4" t="s">
        <v>710</v>
      </c>
      <c r="C4" t="s">
        <v>708</v>
      </c>
      <c r="D4" t="s">
        <v>713</v>
      </c>
      <c r="E4" t="s">
        <v>3060</v>
      </c>
      <c r="F4">
        <f>SUMIFS(T_Voluntarios[CUENTA],T_Voluntarios[ALIMENTACION],T_Menu[[#This Row],[TIPO]],T_Voluntarios[ESTADO],"Vigente")</f>
        <v>128</v>
      </c>
      <c r="G4">
        <v>28</v>
      </c>
      <c r="H4">
        <f>T_Menu[[#This Row],[CANTIDAD]]+T_Menu[[#This Row],[CANTIDAD_EXTRA]]</f>
        <v>156</v>
      </c>
    </row>
    <row r="5" spans="1:8" x14ac:dyDescent="0.3">
      <c r="A5" s="7"/>
      <c r="B5" t="s">
        <v>710</v>
      </c>
      <c r="C5" t="s">
        <v>708</v>
      </c>
      <c r="D5" t="s">
        <v>120</v>
      </c>
      <c r="E5" t="s">
        <v>3061</v>
      </c>
      <c r="F5">
        <f>SUMIFS(T_Voluntarios[CUENTA],T_Voluntarios[ALIMENTACION],T_Menu[[#This Row],[TIPO]],T_Voluntarios[ESTADO],"Vigente")</f>
        <v>17</v>
      </c>
      <c r="G5">
        <v>0</v>
      </c>
      <c r="H5">
        <f>T_Menu[[#This Row],[CANTIDAD]]+T_Menu[[#This Row],[CANTIDAD_EXTRA]]</f>
        <v>17</v>
      </c>
    </row>
    <row r="6" spans="1:8" x14ac:dyDescent="0.3">
      <c r="A6" s="7"/>
      <c r="B6" t="s">
        <v>710</v>
      </c>
      <c r="C6" t="s">
        <v>708</v>
      </c>
      <c r="D6" t="s">
        <v>133</v>
      </c>
      <c r="F6">
        <f>SUMIFS(T_Voluntarios[CUENTA],T_Voluntarios[ALIMENTACION],T_Menu[[#This Row],[TIPO]],T_Voluntarios[ESTADO],"Vigente")</f>
        <v>0</v>
      </c>
      <c r="G6">
        <v>0</v>
      </c>
      <c r="H6">
        <f>T_Menu[[#This Row],[CANTIDAD]]+T_Menu[[#This Row],[CANTIDAD_EXTRA]]</f>
        <v>0</v>
      </c>
    </row>
    <row r="7" spans="1:8" x14ac:dyDescent="0.3">
      <c r="A7" s="7"/>
      <c r="B7" t="s">
        <v>710</v>
      </c>
      <c r="C7" t="s">
        <v>708</v>
      </c>
      <c r="D7" t="s">
        <v>714</v>
      </c>
      <c r="E7" t="s">
        <v>3060</v>
      </c>
      <c r="F7">
        <f>SUMIFS(T_Voluntarios[CUENTA],T_Voluntarios[ALIMENTACION],T_Menu[[#This Row],[TIPO]],T_Voluntarios[ESTADO],"Vigente")</f>
        <v>1</v>
      </c>
      <c r="G7">
        <v>0</v>
      </c>
      <c r="H7">
        <f>T_Menu[[#This Row],[CANTIDAD]]+T_Menu[[#This Row],[CANTIDAD_EXTRA]]</f>
        <v>1</v>
      </c>
    </row>
    <row r="8" spans="1:8" x14ac:dyDescent="0.3">
      <c r="A8" s="7">
        <v>45101</v>
      </c>
      <c r="B8" t="s">
        <v>710</v>
      </c>
      <c r="C8" t="s">
        <v>709</v>
      </c>
      <c r="D8" t="s">
        <v>712</v>
      </c>
      <c r="F8">
        <f>SUMIFS(T_Voluntarios[CUENTA],T_Voluntarios[ALIMENTACION],T_Menu[[#This Row],[TIPO]],T_Voluntarios[ESTADO],"Vigente")</f>
        <v>0</v>
      </c>
      <c r="G8">
        <v>0</v>
      </c>
      <c r="H8">
        <f>T_Menu[[#This Row],[CANTIDAD]]+T_Menu[[#This Row],[CANTIDAD_EXTRA]]</f>
        <v>0</v>
      </c>
    </row>
    <row r="9" spans="1:8" x14ac:dyDescent="0.3">
      <c r="A9" s="7">
        <v>45101</v>
      </c>
      <c r="B9" t="s">
        <v>710</v>
      </c>
      <c r="C9" t="s">
        <v>456</v>
      </c>
      <c r="D9" t="s">
        <v>712</v>
      </c>
      <c r="F9">
        <f>SUMIFS(T_Voluntarios[CUENTA],T_Voluntarios[ALIMENTACION],T_Menu[[#This Row],[TIPO]],T_Voluntarios[ESTADO],"Vigente")</f>
        <v>0</v>
      </c>
      <c r="G9">
        <v>0</v>
      </c>
      <c r="H9">
        <f>T_Menu[[#This Row],[CANTIDAD]]+T_Menu[[#This Row],[CANTIDAD_EXTRA]]</f>
        <v>0</v>
      </c>
    </row>
    <row r="10" spans="1:8" x14ac:dyDescent="0.3">
      <c r="A10" s="7"/>
      <c r="B10" t="s">
        <v>715</v>
      </c>
      <c r="C10" t="s">
        <v>707</v>
      </c>
      <c r="D10" t="s">
        <v>712</v>
      </c>
      <c r="F10">
        <f>SUMIFS(T_Voluntarios[CUENTA],T_Voluntarios[ALIMENTACION],T_Menu[[#This Row],[TIPO]],T_Voluntarios[ESTADO],"Vigente")</f>
        <v>0</v>
      </c>
      <c r="G10">
        <v>0</v>
      </c>
      <c r="H10">
        <f>T_Menu[[#This Row],[CANTIDAD]]+T_Menu[[#This Row],[CANTIDAD_EXTRA]]</f>
        <v>0</v>
      </c>
    </row>
    <row r="11" spans="1:8" x14ac:dyDescent="0.3">
      <c r="A11" s="7"/>
      <c r="B11" t="s">
        <v>715</v>
      </c>
      <c r="C11" t="s">
        <v>708</v>
      </c>
      <c r="D11" t="s">
        <v>713</v>
      </c>
      <c r="E11" t="s">
        <v>3062</v>
      </c>
      <c r="F11">
        <f>SUMIFS(T_Voluntarios[CUENTA],T_Voluntarios[ALIMENTACION],T_Menu[[#This Row],[TIPO]],T_Voluntarios[ESTADO],"Vigente")</f>
        <v>128</v>
      </c>
      <c r="G11">
        <v>28</v>
      </c>
      <c r="H11">
        <f>T_Menu[[#This Row],[CANTIDAD]]+T_Menu[[#This Row],[CANTIDAD_EXTRA]]</f>
        <v>156</v>
      </c>
    </row>
    <row r="12" spans="1:8" x14ac:dyDescent="0.3">
      <c r="A12" s="7"/>
      <c r="B12" t="s">
        <v>715</v>
      </c>
      <c r="C12" t="s">
        <v>708</v>
      </c>
      <c r="D12" t="s">
        <v>120</v>
      </c>
      <c r="E12" t="s">
        <v>3063</v>
      </c>
      <c r="F12">
        <f>SUMIFS(T_Voluntarios[CUENTA],T_Voluntarios[ALIMENTACION],T_Menu[[#This Row],[TIPO]],T_Voluntarios[ESTADO],"Vigente")</f>
        <v>17</v>
      </c>
      <c r="G12">
        <v>0</v>
      </c>
      <c r="H12">
        <f>T_Menu[[#This Row],[CANTIDAD]]+T_Menu[[#This Row],[CANTIDAD_EXTRA]]</f>
        <v>17</v>
      </c>
    </row>
    <row r="13" spans="1:8" x14ac:dyDescent="0.3">
      <c r="A13" s="7"/>
      <c r="B13" t="s">
        <v>715</v>
      </c>
      <c r="C13" t="s">
        <v>708</v>
      </c>
      <c r="D13" t="s">
        <v>133</v>
      </c>
      <c r="F13">
        <f>SUMIFS(T_Voluntarios[CUENTA],T_Voluntarios[ALIMENTACION],T_Menu[[#This Row],[TIPO]],T_Voluntarios[ESTADO],"Vigente")</f>
        <v>0</v>
      </c>
      <c r="G13">
        <v>0</v>
      </c>
      <c r="H13">
        <f>T_Menu[[#This Row],[CANTIDAD]]+T_Menu[[#This Row],[CANTIDAD_EXTRA]]</f>
        <v>0</v>
      </c>
    </row>
    <row r="14" spans="1:8" x14ac:dyDescent="0.3">
      <c r="A14" s="7"/>
      <c r="B14" t="s">
        <v>715</v>
      </c>
      <c r="C14" t="s">
        <v>708</v>
      </c>
      <c r="D14" t="s">
        <v>714</v>
      </c>
      <c r="E14" t="s">
        <v>3062</v>
      </c>
      <c r="F14">
        <f>SUMIFS(T_Voluntarios[CUENTA],T_Voluntarios[ALIMENTACION],T_Menu[[#This Row],[TIPO]],T_Voluntarios[ESTADO],"Vigente")</f>
        <v>1</v>
      </c>
      <c r="G14">
        <v>0</v>
      </c>
      <c r="H14">
        <f>T_Menu[[#This Row],[CANTIDAD]]+T_Menu[[#This Row],[CANTIDAD_EXTRA]]</f>
        <v>1</v>
      </c>
    </row>
    <row r="15" spans="1:8" x14ac:dyDescent="0.3">
      <c r="A15" s="7"/>
      <c r="B15" t="s">
        <v>715</v>
      </c>
      <c r="C15" t="s">
        <v>709</v>
      </c>
      <c r="D15" t="s">
        <v>712</v>
      </c>
      <c r="F15">
        <f>SUMIFS(T_Voluntarios[CUENTA],T_Voluntarios[ALIMENTACION],T_Menu[[#This Row],[TIPO]],T_Voluntarios[ESTADO],"Vigente")</f>
        <v>0</v>
      </c>
      <c r="G15">
        <v>0</v>
      </c>
      <c r="H15">
        <f>T_Menu[[#This Row],[CANTIDAD]]+T_Menu[[#This Row],[CANTIDAD_EXTRA]]</f>
        <v>0</v>
      </c>
    </row>
    <row r="16" spans="1:8" x14ac:dyDescent="0.3">
      <c r="A16" s="7"/>
      <c r="B16" t="s">
        <v>715</v>
      </c>
      <c r="C16" t="s">
        <v>456</v>
      </c>
      <c r="D16" t="s">
        <v>712</v>
      </c>
      <c r="F16">
        <f>SUMIFS(T_Voluntarios[CUENTA],T_Voluntarios[ALIMENTACION],T_Menu[[#This Row],[TIPO]],T_Voluntarios[ESTADO],"Vigente")</f>
        <v>0</v>
      </c>
      <c r="G16">
        <v>0</v>
      </c>
      <c r="H16">
        <f>T_Menu[[#This Row],[CANTIDAD]]+T_Menu[[#This Row],[CANTIDAD_EXTRA]]</f>
        <v>0</v>
      </c>
    </row>
    <row r="17" spans="1:8" x14ac:dyDescent="0.3">
      <c r="A17" s="7"/>
      <c r="B17" t="s">
        <v>716</v>
      </c>
      <c r="C17" t="s">
        <v>707</v>
      </c>
      <c r="D17" t="s">
        <v>712</v>
      </c>
      <c r="F17">
        <f>SUMIFS(T_Voluntarios[CUENTA],T_Voluntarios[ALIMENTACION],T_Menu[[#This Row],[TIPO]],T_Voluntarios[ESTADO],"Vigente")</f>
        <v>0</v>
      </c>
      <c r="G17">
        <v>0</v>
      </c>
      <c r="H17">
        <f>T_Menu[[#This Row],[CANTIDAD]]+T_Menu[[#This Row],[CANTIDAD_EXTRA]]</f>
        <v>0</v>
      </c>
    </row>
    <row r="18" spans="1:8" x14ac:dyDescent="0.3">
      <c r="A18" s="7">
        <v>45102</v>
      </c>
      <c r="B18" t="s">
        <v>716</v>
      </c>
      <c r="C18" t="s">
        <v>708</v>
      </c>
      <c r="D18" t="s">
        <v>713</v>
      </c>
      <c r="E18" t="s">
        <v>3065</v>
      </c>
      <c r="F18">
        <f>SUMIFS(T_Voluntarios[CUENTA],T_Voluntarios[ALIMENTACION],T_Menu[[#This Row],[TIPO]],T_Voluntarios[ESTADO],"Vigente")</f>
        <v>128</v>
      </c>
      <c r="G18">
        <v>28</v>
      </c>
      <c r="H18">
        <f>T_Menu[[#This Row],[CANTIDAD]]+T_Menu[[#This Row],[CANTIDAD_EXTRA]]</f>
        <v>156</v>
      </c>
    </row>
    <row r="19" spans="1:8" x14ac:dyDescent="0.3">
      <c r="A19" s="7">
        <v>45102</v>
      </c>
      <c r="B19" t="s">
        <v>716</v>
      </c>
      <c r="C19" t="s">
        <v>708</v>
      </c>
      <c r="D19" t="s">
        <v>120</v>
      </c>
      <c r="E19" t="s">
        <v>3064</v>
      </c>
      <c r="F19">
        <f>SUMIFS(T_Voluntarios[CUENTA],T_Voluntarios[ALIMENTACION],T_Menu[[#This Row],[TIPO]],T_Voluntarios[ESTADO],"Vigente")</f>
        <v>17</v>
      </c>
      <c r="G19">
        <v>0</v>
      </c>
      <c r="H19">
        <f>T_Menu[[#This Row],[CANTIDAD]]+T_Menu[[#This Row],[CANTIDAD_EXTRA]]</f>
        <v>17</v>
      </c>
    </row>
    <row r="20" spans="1:8" x14ac:dyDescent="0.3">
      <c r="A20" s="7">
        <v>45103</v>
      </c>
      <c r="B20" t="s">
        <v>716</v>
      </c>
      <c r="C20" t="s">
        <v>708</v>
      </c>
      <c r="D20" t="s">
        <v>133</v>
      </c>
      <c r="F20">
        <f>SUMIFS(T_Voluntarios[CUENTA],T_Voluntarios[ALIMENTACION],T_Menu[[#This Row],[TIPO]],T_Voluntarios[ESTADO],"Vigente")</f>
        <v>0</v>
      </c>
      <c r="G20">
        <v>0</v>
      </c>
      <c r="H20">
        <f>T_Menu[[#This Row],[CANTIDAD]]+T_Menu[[#This Row],[CANTIDAD_EXTRA]]</f>
        <v>0</v>
      </c>
    </row>
    <row r="21" spans="1:8" x14ac:dyDescent="0.3">
      <c r="A21" s="7">
        <v>45103</v>
      </c>
      <c r="B21" t="s">
        <v>716</v>
      </c>
      <c r="C21" t="s">
        <v>708</v>
      </c>
      <c r="D21" t="s">
        <v>714</v>
      </c>
      <c r="E21" t="s">
        <v>3066</v>
      </c>
      <c r="F21">
        <f>SUMIFS(T_Voluntarios[CUENTA],T_Voluntarios[ALIMENTACION],T_Menu[[#This Row],[TIPO]],T_Voluntarios[ESTADO],"Vigente")</f>
        <v>1</v>
      </c>
      <c r="G21">
        <v>0</v>
      </c>
      <c r="H21">
        <f>T_Menu[[#This Row],[CANTIDAD]]+T_Menu[[#This Row],[CANTIDAD_EXTRA]]</f>
        <v>1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C095-821A-441B-909C-EF60631D473E}">
  <sheetPr codeName="Hoja11">
    <tabColor rgb="FF00B050"/>
  </sheetPr>
  <dimension ref="A1:L214"/>
  <sheetViews>
    <sheetView workbookViewId="0">
      <selection activeCell="C29" sqref="C29"/>
    </sheetView>
  </sheetViews>
  <sheetFormatPr baseColWidth="10" defaultRowHeight="14.4" x14ac:dyDescent="0.3"/>
  <cols>
    <col min="1" max="1" width="14.109375" bestFit="1" customWidth="1"/>
    <col min="2" max="2" width="21.6640625" bestFit="1" customWidth="1"/>
    <col min="3" max="3" width="43.109375" bestFit="1" customWidth="1"/>
    <col min="4" max="4" width="13.6640625" bestFit="1" customWidth="1"/>
    <col min="5" max="5" width="12.6640625" bestFit="1" customWidth="1"/>
    <col min="6" max="6" width="41.88671875" bestFit="1" customWidth="1"/>
    <col min="7" max="7" width="13" bestFit="1" customWidth="1"/>
    <col min="8" max="8" width="7.6640625" style="1" bestFit="1" customWidth="1"/>
    <col min="9" max="12" width="11.44140625" bestFit="1" customWidth="1"/>
  </cols>
  <sheetData>
    <row r="1" spans="1:12" x14ac:dyDescent="0.3">
      <c r="A1" s="10" t="s">
        <v>275</v>
      </c>
      <c r="B1" t="s" vm="2">
        <v>417</v>
      </c>
    </row>
    <row r="2" spans="1:12" x14ac:dyDescent="0.3">
      <c r="A2" s="10" t="s">
        <v>276</v>
      </c>
      <c r="B2" t="s" vm="1">
        <v>417</v>
      </c>
    </row>
    <row r="3" spans="1:12" x14ac:dyDescent="0.3">
      <c r="A3" s="10" t="s">
        <v>277</v>
      </c>
      <c r="B3" t="s" vm="3">
        <v>417</v>
      </c>
    </row>
    <row r="4" spans="1:12" x14ac:dyDescent="0.3">
      <c r="H4"/>
    </row>
    <row r="5" spans="1:12" s="1" customFormat="1" x14ac:dyDescent="0.3">
      <c r="A5" s="17" t="s">
        <v>237</v>
      </c>
      <c r="B5" s="17" t="s">
        <v>238</v>
      </c>
      <c r="C5" s="17" t="s">
        <v>273</v>
      </c>
      <c r="D5" s="17" t="s">
        <v>187</v>
      </c>
      <c r="E5" s="17" t="s">
        <v>249</v>
      </c>
      <c r="F5" s="17" t="s">
        <v>184</v>
      </c>
      <c r="G5" s="17" t="s">
        <v>274</v>
      </c>
      <c r="H5" s="1" t="s">
        <v>183</v>
      </c>
      <c r="I5" s="1" t="s">
        <v>270</v>
      </c>
      <c r="J5" s="1" t="s">
        <v>271</v>
      </c>
      <c r="K5" s="1" t="s">
        <v>272</v>
      </c>
      <c r="L5" s="1" t="s">
        <v>101</v>
      </c>
    </row>
    <row r="6" spans="1:12" x14ac:dyDescent="0.3">
      <c r="A6" t="s">
        <v>116</v>
      </c>
      <c r="B6" t="s">
        <v>114</v>
      </c>
      <c r="C6" t="s">
        <v>2742</v>
      </c>
      <c r="D6" t="s">
        <v>104</v>
      </c>
      <c r="E6" t="s">
        <v>2740</v>
      </c>
      <c r="F6" t="s">
        <v>2741</v>
      </c>
      <c r="G6" t="s">
        <v>2744</v>
      </c>
      <c r="H6" s="124">
        <v>1</v>
      </c>
      <c r="I6" s="5">
        <v>20000</v>
      </c>
      <c r="J6" s="5">
        <v>16500</v>
      </c>
      <c r="K6" s="5">
        <v>0</v>
      </c>
      <c r="L6" s="5">
        <v>36500</v>
      </c>
    </row>
    <row r="7" spans="1:12" x14ac:dyDescent="0.3">
      <c r="A7" t="s">
        <v>116</v>
      </c>
      <c r="B7" t="s">
        <v>114</v>
      </c>
      <c r="C7" t="s">
        <v>2629</v>
      </c>
      <c r="D7" t="s">
        <v>121</v>
      </c>
      <c r="E7" t="s">
        <v>2627</v>
      </c>
      <c r="F7" t="s">
        <v>2628</v>
      </c>
      <c r="G7" t="s">
        <v>2631</v>
      </c>
      <c r="H7" s="124">
        <v>1</v>
      </c>
      <c r="I7" s="5">
        <v>20000</v>
      </c>
      <c r="J7" s="5">
        <v>15000</v>
      </c>
      <c r="K7" s="5">
        <v>15000</v>
      </c>
      <c r="L7" s="5">
        <v>50000</v>
      </c>
    </row>
    <row r="8" spans="1:12" x14ac:dyDescent="0.3">
      <c r="A8" t="s">
        <v>116</v>
      </c>
      <c r="B8" t="s">
        <v>114</v>
      </c>
      <c r="C8" t="s">
        <v>1800</v>
      </c>
      <c r="D8" t="s">
        <v>110</v>
      </c>
      <c r="E8" t="s">
        <v>1798</v>
      </c>
      <c r="F8" t="s">
        <v>1799</v>
      </c>
      <c r="G8" t="s">
        <v>1802</v>
      </c>
      <c r="H8" s="124">
        <v>1</v>
      </c>
      <c r="I8" s="5">
        <v>20000</v>
      </c>
      <c r="J8" s="5">
        <v>15000</v>
      </c>
      <c r="K8" s="5">
        <v>15000</v>
      </c>
      <c r="L8" s="5">
        <v>50000</v>
      </c>
    </row>
    <row r="9" spans="1:12" x14ac:dyDescent="0.3">
      <c r="A9" t="s">
        <v>116</v>
      </c>
      <c r="B9" t="s">
        <v>557</v>
      </c>
      <c r="C9" t="s">
        <v>3020</v>
      </c>
      <c r="D9" t="s">
        <v>117</v>
      </c>
      <c r="E9" t="s">
        <v>3018</v>
      </c>
      <c r="F9" t="s">
        <v>3019</v>
      </c>
      <c r="G9" t="s">
        <v>3021</v>
      </c>
      <c r="H9" s="124">
        <v>1</v>
      </c>
      <c r="I9" s="5">
        <v>20000</v>
      </c>
      <c r="J9" s="5">
        <v>15000</v>
      </c>
      <c r="K9" s="5">
        <v>15000</v>
      </c>
      <c r="L9" s="5">
        <v>50000</v>
      </c>
    </row>
    <row r="10" spans="1:12" x14ac:dyDescent="0.3">
      <c r="A10" t="s">
        <v>116</v>
      </c>
      <c r="B10" t="s">
        <v>1972</v>
      </c>
      <c r="C10" t="s">
        <v>547</v>
      </c>
      <c r="D10" t="s">
        <v>110</v>
      </c>
      <c r="E10" t="s">
        <v>546</v>
      </c>
      <c r="F10" t="s">
        <v>545</v>
      </c>
      <c r="G10" t="s">
        <v>678</v>
      </c>
      <c r="H10" s="124">
        <v>1</v>
      </c>
      <c r="I10" s="5"/>
      <c r="J10" s="5"/>
      <c r="K10" s="5"/>
      <c r="L10" s="5"/>
    </row>
    <row r="11" spans="1:12" x14ac:dyDescent="0.3">
      <c r="A11" t="s">
        <v>116</v>
      </c>
      <c r="B11" t="s">
        <v>2035</v>
      </c>
      <c r="C11" t="s">
        <v>526</v>
      </c>
      <c r="D11" t="s">
        <v>121</v>
      </c>
      <c r="E11" t="s">
        <v>525</v>
      </c>
      <c r="F11" t="s">
        <v>524</v>
      </c>
      <c r="G11" t="s">
        <v>655</v>
      </c>
      <c r="H11" s="124">
        <v>1</v>
      </c>
      <c r="I11" s="5"/>
      <c r="J11" s="5"/>
      <c r="K11" s="5"/>
      <c r="L11" s="5"/>
    </row>
    <row r="12" spans="1:12" x14ac:dyDescent="0.3">
      <c r="A12" t="s">
        <v>116</v>
      </c>
      <c r="B12" t="s">
        <v>745</v>
      </c>
      <c r="C12" t="s">
        <v>805</v>
      </c>
      <c r="D12" t="s">
        <v>121</v>
      </c>
      <c r="E12" t="s">
        <v>803</v>
      </c>
      <c r="F12" t="s">
        <v>804</v>
      </c>
      <c r="G12" t="s">
        <v>807</v>
      </c>
      <c r="H12" s="124">
        <v>1</v>
      </c>
      <c r="I12" s="5">
        <v>20000</v>
      </c>
      <c r="J12" s="5">
        <v>15000</v>
      </c>
      <c r="K12" s="5">
        <v>15000</v>
      </c>
      <c r="L12" s="5">
        <v>50000</v>
      </c>
    </row>
    <row r="13" spans="1:12" x14ac:dyDescent="0.3">
      <c r="A13" t="s">
        <v>116</v>
      </c>
      <c r="B13" t="s">
        <v>745</v>
      </c>
      <c r="C13" t="s">
        <v>1622</v>
      </c>
      <c r="D13" t="s">
        <v>117</v>
      </c>
      <c r="E13" t="s">
        <v>1620</v>
      </c>
      <c r="F13" t="s">
        <v>1621</v>
      </c>
      <c r="G13" t="s">
        <v>1624</v>
      </c>
      <c r="H13" s="124">
        <v>1</v>
      </c>
      <c r="I13" s="5">
        <v>15000</v>
      </c>
      <c r="J13" s="5">
        <v>0</v>
      </c>
      <c r="K13" s="5">
        <v>0</v>
      </c>
      <c r="L13" s="5">
        <v>15000</v>
      </c>
    </row>
    <row r="14" spans="1:12" x14ac:dyDescent="0.3">
      <c r="A14" t="s">
        <v>116</v>
      </c>
      <c r="B14" t="s">
        <v>745</v>
      </c>
      <c r="C14" t="s">
        <v>2260</v>
      </c>
      <c r="D14" t="s">
        <v>115</v>
      </c>
      <c r="E14" t="s">
        <v>2258</v>
      </c>
      <c r="F14" t="s">
        <v>2259</v>
      </c>
      <c r="G14" t="s">
        <v>2262</v>
      </c>
      <c r="H14" s="124">
        <v>1</v>
      </c>
      <c r="I14" s="5">
        <v>20000</v>
      </c>
      <c r="J14" s="5">
        <v>15000</v>
      </c>
      <c r="K14" s="5">
        <v>15000</v>
      </c>
      <c r="L14" s="5">
        <v>50000</v>
      </c>
    </row>
    <row r="15" spans="1:12" x14ac:dyDescent="0.3">
      <c r="A15" t="s">
        <v>116</v>
      </c>
      <c r="B15" t="s">
        <v>745</v>
      </c>
      <c r="C15" t="s">
        <v>2309</v>
      </c>
      <c r="D15" t="s">
        <v>115</v>
      </c>
      <c r="E15" t="s">
        <v>2307</v>
      </c>
      <c r="F15" t="s">
        <v>2308</v>
      </c>
      <c r="G15" t="s">
        <v>2311</v>
      </c>
      <c r="H15" s="124">
        <v>1</v>
      </c>
      <c r="I15" s="5">
        <v>20000</v>
      </c>
      <c r="J15" s="5">
        <v>15000</v>
      </c>
      <c r="K15" s="5">
        <v>15000</v>
      </c>
      <c r="L15" s="5">
        <v>50000</v>
      </c>
    </row>
    <row r="16" spans="1:12" x14ac:dyDescent="0.3">
      <c r="A16" t="s">
        <v>116</v>
      </c>
      <c r="B16" t="s">
        <v>745</v>
      </c>
      <c r="C16" t="s">
        <v>2371</v>
      </c>
      <c r="D16" t="s">
        <v>121</v>
      </c>
      <c r="E16" t="s">
        <v>2369</v>
      </c>
      <c r="F16" t="s">
        <v>2370</v>
      </c>
      <c r="G16" t="s">
        <v>2373</v>
      </c>
      <c r="H16" s="124">
        <v>1</v>
      </c>
      <c r="I16" s="5">
        <v>20000</v>
      </c>
      <c r="J16" s="5">
        <v>15000</v>
      </c>
      <c r="K16" s="5">
        <v>15000</v>
      </c>
      <c r="L16" s="5">
        <v>50000</v>
      </c>
    </row>
    <row r="17" spans="1:12" x14ac:dyDescent="0.3">
      <c r="A17" t="s">
        <v>116</v>
      </c>
      <c r="B17" t="s">
        <v>745</v>
      </c>
      <c r="C17" t="s">
        <v>2282</v>
      </c>
      <c r="D17" t="s">
        <v>115</v>
      </c>
      <c r="E17" t="s">
        <v>2280</v>
      </c>
      <c r="F17" t="s">
        <v>2281</v>
      </c>
      <c r="G17" t="s">
        <v>2284</v>
      </c>
      <c r="H17" s="124">
        <v>1</v>
      </c>
      <c r="I17" s="5">
        <v>20000</v>
      </c>
      <c r="J17" s="5">
        <v>15000</v>
      </c>
      <c r="K17" s="5">
        <v>15000</v>
      </c>
      <c r="L17" s="5">
        <v>50000</v>
      </c>
    </row>
    <row r="18" spans="1:12" x14ac:dyDescent="0.3">
      <c r="A18" t="s">
        <v>116</v>
      </c>
      <c r="B18" t="s">
        <v>745</v>
      </c>
      <c r="C18" t="s">
        <v>2357</v>
      </c>
      <c r="D18" t="s">
        <v>104</v>
      </c>
      <c r="E18" t="s">
        <v>2355</v>
      </c>
      <c r="F18" t="s">
        <v>2356</v>
      </c>
      <c r="G18" t="s">
        <v>2359</v>
      </c>
      <c r="H18" s="124">
        <v>1</v>
      </c>
      <c r="I18" s="5">
        <v>20000</v>
      </c>
      <c r="J18" s="5">
        <v>15000</v>
      </c>
      <c r="K18" s="5">
        <v>15000</v>
      </c>
      <c r="L18" s="5">
        <v>50000</v>
      </c>
    </row>
    <row r="19" spans="1:12" x14ac:dyDescent="0.3">
      <c r="A19" t="s">
        <v>116</v>
      </c>
      <c r="B19" t="s">
        <v>745</v>
      </c>
      <c r="C19" t="s">
        <v>742</v>
      </c>
      <c r="D19" t="s">
        <v>117</v>
      </c>
      <c r="E19" t="s">
        <v>740</v>
      </c>
      <c r="F19" t="s">
        <v>741</v>
      </c>
      <c r="G19" t="s">
        <v>744</v>
      </c>
      <c r="H19" s="124">
        <v>1</v>
      </c>
      <c r="I19" s="5">
        <v>20000</v>
      </c>
      <c r="J19" s="5">
        <v>15000</v>
      </c>
      <c r="K19" s="5">
        <v>15000</v>
      </c>
      <c r="L19" s="5">
        <v>50000</v>
      </c>
    </row>
    <row r="20" spans="1:12" x14ac:dyDescent="0.3">
      <c r="A20" t="s">
        <v>116</v>
      </c>
      <c r="B20" t="s">
        <v>745</v>
      </c>
      <c r="C20" t="s">
        <v>1604</v>
      </c>
      <c r="D20" t="s">
        <v>121</v>
      </c>
      <c r="E20" t="s">
        <v>1602</v>
      </c>
      <c r="F20" t="s">
        <v>1603</v>
      </c>
      <c r="G20" t="s">
        <v>1606</v>
      </c>
      <c r="H20" s="124">
        <v>1</v>
      </c>
      <c r="I20" s="5">
        <v>20000</v>
      </c>
      <c r="J20" s="5">
        <v>15000</v>
      </c>
      <c r="K20" s="5">
        <v>15000</v>
      </c>
      <c r="L20" s="5">
        <v>50000</v>
      </c>
    </row>
    <row r="21" spans="1:12" x14ac:dyDescent="0.3">
      <c r="A21" t="s">
        <v>116</v>
      </c>
      <c r="B21" t="s">
        <v>745</v>
      </c>
      <c r="C21" t="s">
        <v>1453</v>
      </c>
      <c r="D21" t="s">
        <v>122</v>
      </c>
      <c r="E21" t="s">
        <v>1451</v>
      </c>
      <c r="F21" t="s">
        <v>1452</v>
      </c>
      <c r="G21" t="s">
        <v>1455</v>
      </c>
      <c r="H21" s="124">
        <v>1</v>
      </c>
      <c r="I21" s="5">
        <v>20000</v>
      </c>
      <c r="J21" s="5">
        <v>15000</v>
      </c>
      <c r="K21" s="5">
        <v>15000</v>
      </c>
      <c r="L21" s="5">
        <v>50000</v>
      </c>
    </row>
    <row r="22" spans="1:12" x14ac:dyDescent="0.3">
      <c r="A22" t="s">
        <v>116</v>
      </c>
      <c r="B22" t="s">
        <v>126</v>
      </c>
      <c r="C22" t="s">
        <v>2641</v>
      </c>
      <c r="D22" t="s">
        <v>122</v>
      </c>
      <c r="E22" t="s">
        <v>2639</v>
      </c>
      <c r="F22" t="s">
        <v>2640</v>
      </c>
      <c r="G22" t="s">
        <v>2643</v>
      </c>
      <c r="H22" s="124">
        <v>1</v>
      </c>
      <c r="I22" s="5">
        <v>0</v>
      </c>
      <c r="J22" s="5">
        <v>0</v>
      </c>
      <c r="K22" s="5">
        <v>0</v>
      </c>
      <c r="L22" s="5">
        <v>0</v>
      </c>
    </row>
    <row r="23" spans="1:12" x14ac:dyDescent="0.3">
      <c r="A23" t="s">
        <v>116</v>
      </c>
      <c r="B23" t="s">
        <v>126</v>
      </c>
      <c r="C23" t="s">
        <v>1352</v>
      </c>
      <c r="D23" t="s">
        <v>115</v>
      </c>
      <c r="E23" t="s">
        <v>1350</v>
      </c>
      <c r="F23" t="s">
        <v>1351</v>
      </c>
      <c r="G23" t="s">
        <v>1565</v>
      </c>
      <c r="H23" s="124">
        <v>1</v>
      </c>
      <c r="I23" s="5">
        <v>20000</v>
      </c>
      <c r="J23" s="5">
        <v>15000</v>
      </c>
      <c r="K23" s="5">
        <v>15000</v>
      </c>
      <c r="L23" s="5">
        <v>50000</v>
      </c>
    </row>
    <row r="24" spans="1:12" x14ac:dyDescent="0.3">
      <c r="A24" t="s">
        <v>116</v>
      </c>
      <c r="B24" t="s">
        <v>126</v>
      </c>
      <c r="C24" t="s">
        <v>195</v>
      </c>
      <c r="D24" t="s">
        <v>115</v>
      </c>
      <c r="E24" t="s">
        <v>1709</v>
      </c>
      <c r="F24" t="s">
        <v>194</v>
      </c>
      <c r="G24" t="s">
        <v>197</v>
      </c>
      <c r="H24" s="124">
        <v>1</v>
      </c>
      <c r="I24" s="5"/>
      <c r="J24" s="5"/>
      <c r="K24" s="5"/>
      <c r="L24" s="5"/>
    </row>
    <row r="25" spans="1:12" x14ac:dyDescent="0.3">
      <c r="A25" t="s">
        <v>116</v>
      </c>
      <c r="B25" t="s">
        <v>126</v>
      </c>
      <c r="C25" t="s">
        <v>3004</v>
      </c>
      <c r="D25" t="s">
        <v>110</v>
      </c>
      <c r="E25" t="s">
        <v>1521</v>
      </c>
      <c r="F25" t="s">
        <v>1522</v>
      </c>
      <c r="G25" t="s">
        <v>1525</v>
      </c>
      <c r="H25" s="124">
        <v>1</v>
      </c>
      <c r="I25" s="5">
        <v>20000</v>
      </c>
      <c r="J25" s="5">
        <v>15000</v>
      </c>
      <c r="K25" s="5">
        <v>15000</v>
      </c>
      <c r="L25" s="5">
        <v>50000</v>
      </c>
    </row>
    <row r="26" spans="1:12" x14ac:dyDescent="0.3">
      <c r="A26" t="s">
        <v>116</v>
      </c>
      <c r="B26" t="s">
        <v>126</v>
      </c>
      <c r="C26" t="s">
        <v>1515</v>
      </c>
      <c r="D26" t="s">
        <v>122</v>
      </c>
      <c r="E26" t="s">
        <v>1559</v>
      </c>
      <c r="F26" t="s">
        <v>1514</v>
      </c>
      <c r="G26" t="s">
        <v>1569</v>
      </c>
      <c r="H26" s="124">
        <v>1</v>
      </c>
      <c r="I26" s="5">
        <v>20000</v>
      </c>
      <c r="J26" s="5">
        <v>15000</v>
      </c>
      <c r="K26" s="5">
        <v>15000</v>
      </c>
      <c r="L26" s="5">
        <v>50000</v>
      </c>
    </row>
    <row r="27" spans="1:12" x14ac:dyDescent="0.3">
      <c r="A27" t="s">
        <v>116</v>
      </c>
      <c r="B27" t="s">
        <v>126</v>
      </c>
      <c r="C27" t="s">
        <v>1308</v>
      </c>
      <c r="D27" t="s">
        <v>110</v>
      </c>
      <c r="E27" t="s">
        <v>1306</v>
      </c>
      <c r="F27" t="s">
        <v>1307</v>
      </c>
      <c r="G27" t="s">
        <v>1310</v>
      </c>
      <c r="H27" s="124">
        <v>1</v>
      </c>
      <c r="I27" s="5">
        <v>20000</v>
      </c>
      <c r="J27" s="5">
        <v>16500</v>
      </c>
      <c r="K27" s="5">
        <v>0</v>
      </c>
      <c r="L27" s="5">
        <v>36500</v>
      </c>
    </row>
    <row r="28" spans="1:12" x14ac:dyDescent="0.3">
      <c r="A28" t="s">
        <v>116</v>
      </c>
      <c r="B28" t="s">
        <v>126</v>
      </c>
      <c r="C28" t="s">
        <v>1427</v>
      </c>
      <c r="D28" t="s">
        <v>115</v>
      </c>
      <c r="E28" t="s">
        <v>1425</v>
      </c>
      <c r="F28" t="s">
        <v>1426</v>
      </c>
      <c r="G28" t="s">
        <v>1429</v>
      </c>
      <c r="H28" s="124">
        <v>1</v>
      </c>
      <c r="I28" s="5">
        <v>20000</v>
      </c>
      <c r="J28" s="5">
        <v>16500</v>
      </c>
      <c r="K28" s="5">
        <v>0</v>
      </c>
      <c r="L28" s="5">
        <v>36500</v>
      </c>
    </row>
    <row r="29" spans="1:12" x14ac:dyDescent="0.3">
      <c r="A29" t="s">
        <v>116</v>
      </c>
      <c r="B29" t="s">
        <v>126</v>
      </c>
      <c r="C29" t="s">
        <v>1440</v>
      </c>
      <c r="D29" t="s">
        <v>110</v>
      </c>
      <c r="E29" t="s">
        <v>1438</v>
      </c>
      <c r="F29" t="s">
        <v>1439</v>
      </c>
      <c r="G29" t="s">
        <v>1442</v>
      </c>
      <c r="H29" s="124">
        <v>1</v>
      </c>
      <c r="I29" s="5">
        <v>20000</v>
      </c>
      <c r="J29" s="5">
        <v>16500</v>
      </c>
      <c r="K29" s="5">
        <v>0</v>
      </c>
      <c r="L29" s="5">
        <v>36500</v>
      </c>
    </row>
    <row r="30" spans="1:12" x14ac:dyDescent="0.3">
      <c r="A30" t="s">
        <v>116</v>
      </c>
      <c r="B30" t="s">
        <v>2101</v>
      </c>
      <c r="C30" t="s">
        <v>2097</v>
      </c>
      <c r="D30" t="s">
        <v>117</v>
      </c>
      <c r="E30" t="s">
        <v>2095</v>
      </c>
      <c r="F30" t="s">
        <v>2096</v>
      </c>
      <c r="G30" t="s">
        <v>2100</v>
      </c>
      <c r="H30" s="124">
        <v>1</v>
      </c>
      <c r="I30" s="5">
        <v>20000</v>
      </c>
      <c r="J30" s="5">
        <v>15000</v>
      </c>
      <c r="K30" s="5">
        <v>15000</v>
      </c>
      <c r="L30" s="5">
        <v>50000</v>
      </c>
    </row>
    <row r="31" spans="1:12" x14ac:dyDescent="0.3">
      <c r="A31" t="s">
        <v>116</v>
      </c>
      <c r="B31" t="s">
        <v>2767</v>
      </c>
      <c r="C31" t="s">
        <v>2764</v>
      </c>
      <c r="D31" t="s">
        <v>104</v>
      </c>
      <c r="E31" t="s">
        <v>2762</v>
      </c>
      <c r="F31" t="s">
        <v>2763</v>
      </c>
      <c r="G31" t="s">
        <v>2766</v>
      </c>
      <c r="H31" s="124">
        <v>1</v>
      </c>
      <c r="I31" s="5">
        <v>0</v>
      </c>
      <c r="J31" s="5">
        <v>0</v>
      </c>
      <c r="K31" s="5">
        <v>0</v>
      </c>
      <c r="L31" s="5">
        <v>0</v>
      </c>
    </row>
    <row r="32" spans="1:12" x14ac:dyDescent="0.3">
      <c r="A32" t="s">
        <v>118</v>
      </c>
      <c r="B32" t="s">
        <v>135</v>
      </c>
      <c r="C32" t="s">
        <v>1055</v>
      </c>
      <c r="D32" t="s">
        <v>110</v>
      </c>
      <c r="E32" t="s">
        <v>1053</v>
      </c>
      <c r="F32" t="s">
        <v>1054</v>
      </c>
      <c r="G32" t="s">
        <v>1057</v>
      </c>
      <c r="H32" s="124">
        <v>1</v>
      </c>
      <c r="I32" s="5">
        <v>20000</v>
      </c>
      <c r="J32" s="5">
        <v>15000</v>
      </c>
      <c r="K32" s="5">
        <v>15000</v>
      </c>
      <c r="L32" s="5">
        <v>50000</v>
      </c>
    </row>
    <row r="33" spans="1:12" x14ac:dyDescent="0.3">
      <c r="A33" t="s">
        <v>118</v>
      </c>
      <c r="B33" t="s">
        <v>135</v>
      </c>
      <c r="C33" t="s">
        <v>1782</v>
      </c>
      <c r="D33" t="s">
        <v>122</v>
      </c>
      <c r="E33" t="s">
        <v>1780</v>
      </c>
      <c r="F33" t="s">
        <v>1781</v>
      </c>
      <c r="G33" t="s">
        <v>1784</v>
      </c>
      <c r="H33" s="124">
        <v>1</v>
      </c>
      <c r="I33" s="5">
        <v>20000</v>
      </c>
      <c r="J33" s="5">
        <v>16500</v>
      </c>
      <c r="K33" s="5">
        <v>0</v>
      </c>
      <c r="L33" s="5">
        <v>36500</v>
      </c>
    </row>
    <row r="34" spans="1:12" x14ac:dyDescent="0.3">
      <c r="A34" t="s">
        <v>118</v>
      </c>
      <c r="B34" t="s">
        <v>135</v>
      </c>
      <c r="C34" t="s">
        <v>1773</v>
      </c>
      <c r="D34" t="s">
        <v>122</v>
      </c>
      <c r="E34" t="s">
        <v>1771</v>
      </c>
      <c r="F34" t="s">
        <v>1772</v>
      </c>
      <c r="G34" t="s">
        <v>1775</v>
      </c>
      <c r="H34" s="124">
        <v>1</v>
      </c>
      <c r="I34" s="5">
        <v>0</v>
      </c>
      <c r="J34" s="5">
        <v>0</v>
      </c>
      <c r="K34" s="5">
        <v>0</v>
      </c>
      <c r="L34" s="5">
        <v>0</v>
      </c>
    </row>
    <row r="35" spans="1:12" x14ac:dyDescent="0.3">
      <c r="A35" t="s">
        <v>118</v>
      </c>
      <c r="B35" t="s">
        <v>135</v>
      </c>
      <c r="C35" t="s">
        <v>2839</v>
      </c>
      <c r="D35" t="s">
        <v>122</v>
      </c>
      <c r="E35" t="s">
        <v>2837</v>
      </c>
      <c r="F35" t="s">
        <v>2838</v>
      </c>
      <c r="G35" t="s">
        <v>2841</v>
      </c>
      <c r="H35" s="124">
        <v>1</v>
      </c>
      <c r="I35" s="5">
        <v>20000</v>
      </c>
      <c r="J35" s="5">
        <v>16500</v>
      </c>
      <c r="K35" s="5">
        <v>0</v>
      </c>
      <c r="L35" s="5">
        <v>36500</v>
      </c>
    </row>
    <row r="36" spans="1:12" x14ac:dyDescent="0.3">
      <c r="A36" t="s">
        <v>118</v>
      </c>
      <c r="B36" t="s">
        <v>135</v>
      </c>
      <c r="C36" t="s">
        <v>974</v>
      </c>
      <c r="D36" t="s">
        <v>121</v>
      </c>
      <c r="E36" t="s">
        <v>1554</v>
      </c>
      <c r="F36" t="s">
        <v>973</v>
      </c>
      <c r="G36" t="s">
        <v>976</v>
      </c>
      <c r="H36" s="124">
        <v>1</v>
      </c>
      <c r="I36" s="5">
        <v>20000</v>
      </c>
      <c r="J36" s="5">
        <v>15000</v>
      </c>
      <c r="K36" s="5">
        <v>15000</v>
      </c>
      <c r="L36" s="5">
        <v>50000</v>
      </c>
    </row>
    <row r="37" spans="1:12" x14ac:dyDescent="0.3">
      <c r="A37" t="s">
        <v>118</v>
      </c>
      <c r="B37" t="s">
        <v>135</v>
      </c>
      <c r="C37" t="s">
        <v>1876</v>
      </c>
      <c r="D37" t="s">
        <v>104</v>
      </c>
      <c r="E37" t="s">
        <v>251</v>
      </c>
      <c r="F37" t="s">
        <v>252</v>
      </c>
      <c r="G37" t="s">
        <v>254</v>
      </c>
      <c r="H37" s="124">
        <v>1</v>
      </c>
      <c r="I37" s="5"/>
      <c r="J37" s="5"/>
      <c r="K37" s="5"/>
      <c r="L37" s="5"/>
    </row>
    <row r="38" spans="1:12" x14ac:dyDescent="0.3">
      <c r="A38" t="s">
        <v>118</v>
      </c>
      <c r="B38" t="s">
        <v>135</v>
      </c>
      <c r="C38" t="s">
        <v>830</v>
      </c>
      <c r="D38" t="s">
        <v>115</v>
      </c>
      <c r="E38" t="s">
        <v>828</v>
      </c>
      <c r="F38" t="s">
        <v>829</v>
      </c>
      <c r="G38" t="s">
        <v>1561</v>
      </c>
      <c r="H38" s="124">
        <v>1</v>
      </c>
      <c r="I38" s="5">
        <v>0</v>
      </c>
      <c r="J38" s="5">
        <v>0</v>
      </c>
      <c r="K38" s="5">
        <v>0</v>
      </c>
      <c r="L38" s="5">
        <v>0</v>
      </c>
    </row>
    <row r="39" spans="1:12" x14ac:dyDescent="0.3">
      <c r="A39" t="s">
        <v>118</v>
      </c>
      <c r="B39" t="s">
        <v>135</v>
      </c>
      <c r="C39" t="s">
        <v>950</v>
      </c>
      <c r="D39" t="s">
        <v>121</v>
      </c>
      <c r="E39" t="s">
        <v>948</v>
      </c>
      <c r="F39" t="s">
        <v>949</v>
      </c>
      <c r="G39" t="s">
        <v>952</v>
      </c>
      <c r="H39" s="124">
        <v>1</v>
      </c>
      <c r="I39" s="5">
        <v>20000</v>
      </c>
      <c r="J39" s="5">
        <v>15000</v>
      </c>
      <c r="K39" s="5">
        <v>15000</v>
      </c>
      <c r="L39" s="5">
        <v>50000</v>
      </c>
    </row>
    <row r="40" spans="1:12" x14ac:dyDescent="0.3">
      <c r="A40" t="s">
        <v>118</v>
      </c>
      <c r="B40" t="s">
        <v>135</v>
      </c>
      <c r="C40" t="s">
        <v>289</v>
      </c>
      <c r="D40" t="s">
        <v>122</v>
      </c>
      <c r="E40" t="s">
        <v>287</v>
      </c>
      <c r="F40" t="s">
        <v>288</v>
      </c>
      <c r="G40" t="s">
        <v>291</v>
      </c>
      <c r="H40" s="124">
        <v>1</v>
      </c>
      <c r="I40" s="5"/>
      <c r="J40" s="5"/>
      <c r="K40" s="5"/>
      <c r="L40" s="5"/>
    </row>
    <row r="41" spans="1:12" x14ac:dyDescent="0.3">
      <c r="A41" t="s">
        <v>118</v>
      </c>
      <c r="B41" t="s">
        <v>123</v>
      </c>
      <c r="C41" t="s">
        <v>1465</v>
      </c>
      <c r="D41" t="s">
        <v>115</v>
      </c>
      <c r="E41" t="s">
        <v>1463</v>
      </c>
      <c r="F41" t="s">
        <v>1464</v>
      </c>
      <c r="G41" t="s">
        <v>1567</v>
      </c>
      <c r="H41" s="124">
        <v>1</v>
      </c>
      <c r="I41" s="5">
        <v>20000</v>
      </c>
      <c r="J41" s="5">
        <v>16500</v>
      </c>
      <c r="K41" s="5">
        <v>0</v>
      </c>
      <c r="L41" s="5">
        <v>36500</v>
      </c>
    </row>
    <row r="42" spans="1:12" x14ac:dyDescent="0.3">
      <c r="A42" t="s">
        <v>118</v>
      </c>
      <c r="B42" t="s">
        <v>123</v>
      </c>
      <c r="C42" t="s">
        <v>1178</v>
      </c>
      <c r="D42" t="s">
        <v>104</v>
      </c>
      <c r="E42" t="s">
        <v>1176</v>
      </c>
      <c r="F42" t="s">
        <v>1177</v>
      </c>
      <c r="G42" t="s">
        <v>1180</v>
      </c>
      <c r="H42" s="124">
        <v>1</v>
      </c>
      <c r="I42" s="5">
        <v>20000</v>
      </c>
      <c r="J42" s="5">
        <v>16500</v>
      </c>
      <c r="K42" s="5">
        <v>0</v>
      </c>
      <c r="L42" s="5">
        <v>36500</v>
      </c>
    </row>
    <row r="43" spans="1:12" x14ac:dyDescent="0.3">
      <c r="A43" t="s">
        <v>118</v>
      </c>
      <c r="B43" t="s">
        <v>123</v>
      </c>
      <c r="C43" t="s">
        <v>2938</v>
      </c>
      <c r="D43" t="s">
        <v>110</v>
      </c>
      <c r="E43" t="s">
        <v>2936</v>
      </c>
      <c r="F43" t="s">
        <v>2937</v>
      </c>
      <c r="G43" t="s">
        <v>2940</v>
      </c>
      <c r="H43" s="124">
        <v>1</v>
      </c>
      <c r="I43" s="5">
        <v>20000</v>
      </c>
      <c r="J43" s="5">
        <v>16500</v>
      </c>
      <c r="K43" s="5">
        <v>0</v>
      </c>
      <c r="L43" s="5">
        <v>36500</v>
      </c>
    </row>
    <row r="44" spans="1:12" x14ac:dyDescent="0.3">
      <c r="A44" t="s">
        <v>118</v>
      </c>
      <c r="B44" t="s">
        <v>123</v>
      </c>
      <c r="C44" t="s">
        <v>1226</v>
      </c>
      <c r="D44" t="s">
        <v>122</v>
      </c>
      <c r="E44" t="s">
        <v>1224</v>
      </c>
      <c r="F44" t="s">
        <v>1225</v>
      </c>
      <c r="G44" t="s">
        <v>1564</v>
      </c>
      <c r="H44" s="124">
        <v>1</v>
      </c>
      <c r="I44" s="5">
        <v>0</v>
      </c>
      <c r="J44" s="5">
        <v>0</v>
      </c>
      <c r="K44" s="5">
        <v>0</v>
      </c>
      <c r="L44" s="5">
        <v>0</v>
      </c>
    </row>
    <row r="45" spans="1:12" x14ac:dyDescent="0.3">
      <c r="A45" t="s">
        <v>118</v>
      </c>
      <c r="B45" t="s">
        <v>123</v>
      </c>
      <c r="C45" t="s">
        <v>1206</v>
      </c>
      <c r="D45" t="s">
        <v>117</v>
      </c>
      <c r="E45" t="s">
        <v>1204</v>
      </c>
      <c r="F45" t="s">
        <v>1205</v>
      </c>
      <c r="G45" t="s">
        <v>1208</v>
      </c>
      <c r="H45" s="124">
        <v>1</v>
      </c>
      <c r="I45" s="5">
        <v>20000</v>
      </c>
      <c r="J45" s="5">
        <v>16500</v>
      </c>
      <c r="K45" s="5">
        <v>0</v>
      </c>
      <c r="L45" s="5">
        <v>36500</v>
      </c>
    </row>
    <row r="46" spans="1:12" x14ac:dyDescent="0.3">
      <c r="A46" t="s">
        <v>118</v>
      </c>
      <c r="B46" t="s">
        <v>123</v>
      </c>
      <c r="C46" t="s">
        <v>1196</v>
      </c>
      <c r="D46" t="s">
        <v>122</v>
      </c>
      <c r="E46" t="s">
        <v>1194</v>
      </c>
      <c r="F46" t="s">
        <v>1195</v>
      </c>
      <c r="G46" t="s">
        <v>1198</v>
      </c>
      <c r="H46" s="124">
        <v>1</v>
      </c>
      <c r="I46" s="5">
        <v>20000</v>
      </c>
      <c r="J46" s="5">
        <v>16500</v>
      </c>
      <c r="K46" s="5">
        <v>0</v>
      </c>
      <c r="L46" s="5">
        <v>36500</v>
      </c>
    </row>
    <row r="47" spans="1:12" x14ac:dyDescent="0.3">
      <c r="A47" t="s">
        <v>118</v>
      </c>
      <c r="B47" t="s">
        <v>123</v>
      </c>
      <c r="C47" t="s">
        <v>1153</v>
      </c>
      <c r="D47" t="s">
        <v>117</v>
      </c>
      <c r="E47" t="s">
        <v>1151</v>
      </c>
      <c r="F47" t="s">
        <v>1152</v>
      </c>
      <c r="G47" t="s">
        <v>1155</v>
      </c>
      <c r="H47" s="124">
        <v>1</v>
      </c>
      <c r="I47" s="5">
        <v>20000</v>
      </c>
      <c r="J47" s="5">
        <v>16500</v>
      </c>
      <c r="K47" s="5">
        <v>0</v>
      </c>
      <c r="L47" s="5">
        <v>36500</v>
      </c>
    </row>
    <row r="48" spans="1:12" x14ac:dyDescent="0.3">
      <c r="A48" t="s">
        <v>118</v>
      </c>
      <c r="B48" t="s">
        <v>123</v>
      </c>
      <c r="C48" t="s">
        <v>1111</v>
      </c>
      <c r="D48" t="s">
        <v>117</v>
      </c>
      <c r="E48" t="s">
        <v>1109</v>
      </c>
      <c r="F48" t="s">
        <v>1110</v>
      </c>
      <c r="G48" t="s">
        <v>1113</v>
      </c>
      <c r="H48" s="124">
        <v>1</v>
      </c>
      <c r="I48" s="5">
        <v>20000</v>
      </c>
      <c r="J48" s="5">
        <v>16500</v>
      </c>
      <c r="K48" s="5">
        <v>0</v>
      </c>
      <c r="L48" s="5">
        <v>36500</v>
      </c>
    </row>
    <row r="49" spans="1:12" x14ac:dyDescent="0.3">
      <c r="A49" t="s">
        <v>118</v>
      </c>
      <c r="B49" t="s">
        <v>123</v>
      </c>
      <c r="C49" t="s">
        <v>1239</v>
      </c>
      <c r="D49" t="s">
        <v>121</v>
      </c>
      <c r="E49" t="s">
        <v>1558</v>
      </c>
      <c r="F49" t="s">
        <v>1238</v>
      </c>
      <c r="G49" t="s">
        <v>1241</v>
      </c>
      <c r="H49" s="124">
        <v>1</v>
      </c>
      <c r="I49" s="5">
        <v>20000</v>
      </c>
      <c r="J49" s="5">
        <v>16500</v>
      </c>
      <c r="K49" s="5">
        <v>0</v>
      </c>
      <c r="L49" s="5">
        <v>36500</v>
      </c>
    </row>
    <row r="50" spans="1:12" x14ac:dyDescent="0.3">
      <c r="A50" t="s">
        <v>118</v>
      </c>
      <c r="B50" t="s">
        <v>123</v>
      </c>
      <c r="C50" t="s">
        <v>1165</v>
      </c>
      <c r="D50" t="s">
        <v>122</v>
      </c>
      <c r="E50" t="s">
        <v>1163</v>
      </c>
      <c r="F50" t="s">
        <v>1164</v>
      </c>
      <c r="G50" t="s">
        <v>1167</v>
      </c>
      <c r="H50" s="124">
        <v>1</v>
      </c>
      <c r="I50" s="5">
        <v>20000</v>
      </c>
      <c r="J50" s="5">
        <v>16500</v>
      </c>
      <c r="K50" s="5">
        <v>0</v>
      </c>
      <c r="L50" s="5">
        <v>36500</v>
      </c>
    </row>
    <row r="51" spans="1:12" x14ac:dyDescent="0.3">
      <c r="A51" t="s">
        <v>118</v>
      </c>
      <c r="B51" t="s">
        <v>123</v>
      </c>
      <c r="C51" t="s">
        <v>564</v>
      </c>
      <c r="D51" t="s">
        <v>121</v>
      </c>
      <c r="E51" t="s">
        <v>563</v>
      </c>
      <c r="F51" t="s">
        <v>562</v>
      </c>
      <c r="G51" t="s">
        <v>675</v>
      </c>
      <c r="H51" s="124">
        <v>1</v>
      </c>
      <c r="I51" s="5">
        <v>20000</v>
      </c>
      <c r="J51" s="5">
        <v>16500</v>
      </c>
      <c r="K51" s="5">
        <v>0</v>
      </c>
      <c r="L51" s="5">
        <v>36500</v>
      </c>
    </row>
    <row r="52" spans="1:12" x14ac:dyDescent="0.3">
      <c r="A52" t="s">
        <v>118</v>
      </c>
      <c r="B52" t="s">
        <v>123</v>
      </c>
      <c r="C52" t="s">
        <v>991</v>
      </c>
      <c r="D52" t="s">
        <v>115</v>
      </c>
      <c r="E52" t="s">
        <v>3242</v>
      </c>
      <c r="F52" t="s">
        <v>990</v>
      </c>
      <c r="G52" t="s">
        <v>993</v>
      </c>
      <c r="H52" s="124">
        <v>1</v>
      </c>
      <c r="I52" s="5">
        <v>20000</v>
      </c>
      <c r="J52" s="5">
        <v>16500</v>
      </c>
      <c r="K52" s="5">
        <v>0</v>
      </c>
      <c r="L52" s="5">
        <v>36500</v>
      </c>
    </row>
    <row r="53" spans="1:12" x14ac:dyDescent="0.3">
      <c r="A53" t="s">
        <v>118</v>
      </c>
      <c r="B53" t="s">
        <v>123</v>
      </c>
      <c r="C53" t="s">
        <v>2496</v>
      </c>
      <c r="D53" t="s">
        <v>115</v>
      </c>
      <c r="E53" t="s">
        <v>2494</v>
      </c>
      <c r="F53" t="s">
        <v>2495</v>
      </c>
      <c r="G53" t="s">
        <v>2498</v>
      </c>
      <c r="H53" s="124">
        <v>1</v>
      </c>
      <c r="I53" s="5">
        <v>0</v>
      </c>
      <c r="J53" s="5">
        <v>0</v>
      </c>
      <c r="K53" s="5">
        <v>0</v>
      </c>
      <c r="L53" s="5">
        <v>0</v>
      </c>
    </row>
    <row r="54" spans="1:12" x14ac:dyDescent="0.3">
      <c r="A54" t="s">
        <v>118</v>
      </c>
      <c r="B54" t="s">
        <v>123</v>
      </c>
      <c r="C54" t="s">
        <v>1327</v>
      </c>
      <c r="D54" t="s">
        <v>110</v>
      </c>
      <c r="E54" t="s">
        <v>1325</v>
      </c>
      <c r="F54" t="s">
        <v>1326</v>
      </c>
      <c r="G54" t="s">
        <v>1329</v>
      </c>
      <c r="H54" s="124">
        <v>1</v>
      </c>
      <c r="I54" s="5">
        <v>20000</v>
      </c>
      <c r="J54" s="5">
        <v>16500</v>
      </c>
      <c r="K54" s="5">
        <v>0</v>
      </c>
      <c r="L54" s="5">
        <v>36500</v>
      </c>
    </row>
    <row r="55" spans="1:12" x14ac:dyDescent="0.3">
      <c r="A55" t="s">
        <v>118</v>
      </c>
      <c r="B55" t="s">
        <v>123</v>
      </c>
      <c r="C55" t="s">
        <v>1217</v>
      </c>
      <c r="D55" t="s">
        <v>104</v>
      </c>
      <c r="E55" t="s">
        <v>1215</v>
      </c>
      <c r="F55" t="s">
        <v>1216</v>
      </c>
      <c r="G55" t="s">
        <v>1219</v>
      </c>
      <c r="H55" s="124">
        <v>1</v>
      </c>
      <c r="I55" s="5">
        <v>20000</v>
      </c>
      <c r="J55" s="5">
        <v>16500</v>
      </c>
      <c r="K55" s="5">
        <v>0</v>
      </c>
      <c r="L55" s="5">
        <v>36500</v>
      </c>
    </row>
    <row r="56" spans="1:12" x14ac:dyDescent="0.3">
      <c r="A56" t="s">
        <v>118</v>
      </c>
      <c r="B56" t="s">
        <v>123</v>
      </c>
      <c r="C56" t="s">
        <v>959</v>
      </c>
      <c r="D56" t="s">
        <v>115</v>
      </c>
      <c r="E56" t="s">
        <v>957</v>
      </c>
      <c r="F56" t="s">
        <v>958</v>
      </c>
      <c r="G56" t="s">
        <v>961</v>
      </c>
      <c r="H56" s="124">
        <v>1</v>
      </c>
      <c r="I56" s="5">
        <v>20000</v>
      </c>
      <c r="J56" s="5">
        <v>16500</v>
      </c>
      <c r="K56" s="5">
        <v>0</v>
      </c>
      <c r="L56" s="5">
        <v>36500</v>
      </c>
    </row>
    <row r="57" spans="1:12" x14ac:dyDescent="0.3">
      <c r="A57" t="s">
        <v>118</v>
      </c>
      <c r="B57" t="s">
        <v>123</v>
      </c>
      <c r="C57" t="s">
        <v>2830</v>
      </c>
      <c r="D57" t="s">
        <v>117</v>
      </c>
      <c r="E57" t="s">
        <v>2828</v>
      </c>
      <c r="F57" t="s">
        <v>2829</v>
      </c>
      <c r="G57" t="s">
        <v>2832</v>
      </c>
      <c r="H57" s="124">
        <v>1</v>
      </c>
      <c r="I57" s="5">
        <v>20000</v>
      </c>
      <c r="J57" s="5">
        <v>16500</v>
      </c>
      <c r="K57" s="5">
        <v>0</v>
      </c>
      <c r="L57" s="5">
        <v>36500</v>
      </c>
    </row>
    <row r="58" spans="1:12" x14ac:dyDescent="0.3">
      <c r="A58" t="s">
        <v>118</v>
      </c>
      <c r="B58" t="s">
        <v>123</v>
      </c>
      <c r="C58" t="s">
        <v>1134</v>
      </c>
      <c r="D58" t="s">
        <v>104</v>
      </c>
      <c r="E58" t="s">
        <v>1132</v>
      </c>
      <c r="F58" t="s">
        <v>1133</v>
      </c>
      <c r="G58" t="s">
        <v>1136</v>
      </c>
      <c r="H58" s="124">
        <v>1</v>
      </c>
      <c r="I58" s="5">
        <v>20000</v>
      </c>
      <c r="J58" s="5">
        <v>16500</v>
      </c>
      <c r="K58" s="5">
        <v>0</v>
      </c>
      <c r="L58" s="5">
        <v>36500</v>
      </c>
    </row>
    <row r="59" spans="1:12" x14ac:dyDescent="0.3">
      <c r="A59" t="s">
        <v>118</v>
      </c>
      <c r="B59" t="s">
        <v>1125</v>
      </c>
      <c r="C59" t="s">
        <v>1143</v>
      </c>
      <c r="D59" t="s">
        <v>117</v>
      </c>
      <c r="E59" t="s">
        <v>1141</v>
      </c>
      <c r="F59" t="s">
        <v>1142</v>
      </c>
      <c r="G59" t="s">
        <v>1145</v>
      </c>
      <c r="H59" s="124">
        <v>1</v>
      </c>
      <c r="I59" s="5">
        <v>20000</v>
      </c>
      <c r="J59" s="5">
        <v>15000</v>
      </c>
      <c r="K59" s="5">
        <v>15000</v>
      </c>
      <c r="L59" s="5">
        <v>50000</v>
      </c>
    </row>
    <row r="60" spans="1:12" x14ac:dyDescent="0.3">
      <c r="A60" t="s">
        <v>118</v>
      </c>
      <c r="B60" t="s">
        <v>1125</v>
      </c>
      <c r="C60" t="s">
        <v>2180</v>
      </c>
      <c r="D60" t="s">
        <v>110</v>
      </c>
      <c r="E60" t="s">
        <v>2178</v>
      </c>
      <c r="F60" t="s">
        <v>2179</v>
      </c>
      <c r="G60" t="s">
        <v>2182</v>
      </c>
      <c r="H60" s="124">
        <v>1</v>
      </c>
      <c r="I60" s="5">
        <v>20000</v>
      </c>
      <c r="J60" s="5">
        <v>15000</v>
      </c>
      <c r="K60" s="5">
        <v>15000</v>
      </c>
      <c r="L60" s="5">
        <v>50000</v>
      </c>
    </row>
    <row r="61" spans="1:12" x14ac:dyDescent="0.3">
      <c r="A61" t="s">
        <v>118</v>
      </c>
      <c r="B61" t="s">
        <v>1125</v>
      </c>
      <c r="C61" t="s">
        <v>2418</v>
      </c>
      <c r="D61" t="s">
        <v>115</v>
      </c>
      <c r="E61" t="s">
        <v>2416</v>
      </c>
      <c r="F61" t="s">
        <v>2417</v>
      </c>
      <c r="G61" t="s">
        <v>2718</v>
      </c>
      <c r="H61" s="124">
        <v>1</v>
      </c>
      <c r="I61" s="5">
        <v>0</v>
      </c>
      <c r="J61" s="5">
        <v>0</v>
      </c>
      <c r="K61" s="5">
        <v>0</v>
      </c>
      <c r="L61" s="5">
        <v>0</v>
      </c>
    </row>
    <row r="62" spans="1:12" x14ac:dyDescent="0.3">
      <c r="A62" t="s">
        <v>118</v>
      </c>
      <c r="B62" t="s">
        <v>1125</v>
      </c>
      <c r="C62" t="s">
        <v>2269</v>
      </c>
      <c r="D62" t="s">
        <v>115</v>
      </c>
      <c r="E62" t="s">
        <v>2267</v>
      </c>
      <c r="F62" t="s">
        <v>2268</v>
      </c>
      <c r="G62" t="s">
        <v>2271</v>
      </c>
      <c r="H62" s="124">
        <v>1</v>
      </c>
      <c r="I62" s="5">
        <v>20000</v>
      </c>
      <c r="J62" s="5">
        <v>15000</v>
      </c>
      <c r="K62" s="5">
        <v>15000</v>
      </c>
      <c r="L62" s="5">
        <v>50000</v>
      </c>
    </row>
    <row r="63" spans="1:12" x14ac:dyDescent="0.3">
      <c r="A63" t="s">
        <v>118</v>
      </c>
      <c r="B63" t="s">
        <v>1125</v>
      </c>
      <c r="C63" t="s">
        <v>2542</v>
      </c>
      <c r="D63" t="s">
        <v>110</v>
      </c>
      <c r="E63" t="s">
        <v>2540</v>
      </c>
      <c r="F63" t="s">
        <v>2541</v>
      </c>
      <c r="G63" t="s">
        <v>2544</v>
      </c>
      <c r="H63" s="124">
        <v>1</v>
      </c>
      <c r="I63" s="5">
        <v>20000</v>
      </c>
      <c r="J63" s="5">
        <v>15000</v>
      </c>
      <c r="K63" s="5">
        <v>15000</v>
      </c>
      <c r="L63" s="5">
        <v>50000</v>
      </c>
    </row>
    <row r="64" spans="1:12" x14ac:dyDescent="0.3">
      <c r="A64" t="s">
        <v>118</v>
      </c>
      <c r="B64" t="s">
        <v>1125</v>
      </c>
      <c r="C64" t="s">
        <v>1122</v>
      </c>
      <c r="D64" t="s">
        <v>117</v>
      </c>
      <c r="E64" t="s">
        <v>1120</v>
      </c>
      <c r="F64" t="s">
        <v>1121</v>
      </c>
      <c r="G64" t="s">
        <v>1124</v>
      </c>
      <c r="H64" s="124">
        <v>1</v>
      </c>
      <c r="I64" s="5">
        <v>20000</v>
      </c>
      <c r="J64" s="5">
        <v>15000</v>
      </c>
      <c r="K64" s="5">
        <v>15000</v>
      </c>
      <c r="L64" s="5">
        <v>50000</v>
      </c>
    </row>
    <row r="65" spans="1:12" x14ac:dyDescent="0.3">
      <c r="A65" t="s">
        <v>118</v>
      </c>
      <c r="B65" t="s">
        <v>1125</v>
      </c>
      <c r="C65" t="s">
        <v>2206</v>
      </c>
      <c r="D65" t="s">
        <v>122</v>
      </c>
      <c r="E65" t="s">
        <v>2204</v>
      </c>
      <c r="F65" t="s">
        <v>2205</v>
      </c>
      <c r="G65" t="s">
        <v>2208</v>
      </c>
      <c r="H65" s="124">
        <v>1</v>
      </c>
      <c r="I65" s="5">
        <v>20000</v>
      </c>
      <c r="J65" s="5">
        <v>15000</v>
      </c>
      <c r="K65" s="5">
        <v>15000</v>
      </c>
      <c r="L65" s="5">
        <v>50000</v>
      </c>
    </row>
    <row r="66" spans="1:12" x14ac:dyDescent="0.3">
      <c r="A66" t="s">
        <v>118</v>
      </c>
      <c r="B66" t="s">
        <v>1125</v>
      </c>
      <c r="C66" t="s">
        <v>2531</v>
      </c>
      <c r="D66" t="s">
        <v>104</v>
      </c>
      <c r="E66" t="s">
        <v>2720</v>
      </c>
      <c r="F66" t="s">
        <v>2530</v>
      </c>
      <c r="G66" t="s">
        <v>2533</v>
      </c>
      <c r="H66" s="124">
        <v>1</v>
      </c>
      <c r="I66" s="5">
        <v>20000</v>
      </c>
      <c r="J66" s="5">
        <v>15000</v>
      </c>
      <c r="K66" s="5">
        <v>15000</v>
      </c>
      <c r="L66" s="5">
        <v>50000</v>
      </c>
    </row>
    <row r="67" spans="1:12" x14ac:dyDescent="0.3">
      <c r="A67" t="s">
        <v>118</v>
      </c>
      <c r="B67" t="s">
        <v>1125</v>
      </c>
      <c r="C67" t="s">
        <v>2620</v>
      </c>
      <c r="D67" t="s">
        <v>104</v>
      </c>
      <c r="E67" t="s">
        <v>2618</v>
      </c>
      <c r="F67" t="s">
        <v>2619</v>
      </c>
      <c r="G67" t="s">
        <v>2622</v>
      </c>
      <c r="H67" s="124">
        <v>1</v>
      </c>
      <c r="I67" s="5">
        <v>20000</v>
      </c>
      <c r="J67" s="5">
        <v>15000</v>
      </c>
      <c r="K67" s="5">
        <v>15000</v>
      </c>
      <c r="L67" s="5">
        <v>50000</v>
      </c>
    </row>
    <row r="68" spans="1:12" x14ac:dyDescent="0.3">
      <c r="A68" t="s">
        <v>118</v>
      </c>
      <c r="B68" t="s">
        <v>1125</v>
      </c>
      <c r="C68" t="s">
        <v>2515</v>
      </c>
      <c r="D68" t="s">
        <v>115</v>
      </c>
      <c r="E68" t="s">
        <v>2513</v>
      </c>
      <c r="F68" t="s">
        <v>2514</v>
      </c>
      <c r="G68" t="s">
        <v>2517</v>
      </c>
      <c r="H68" s="124">
        <v>1</v>
      </c>
      <c r="I68" s="5">
        <v>20000</v>
      </c>
      <c r="J68" s="5">
        <v>15000</v>
      </c>
      <c r="K68" s="5">
        <v>15000</v>
      </c>
      <c r="L68" s="5">
        <v>50000</v>
      </c>
    </row>
    <row r="69" spans="1:12" x14ac:dyDescent="0.3">
      <c r="A69" t="s">
        <v>118</v>
      </c>
      <c r="B69" t="s">
        <v>1125</v>
      </c>
      <c r="C69" t="s">
        <v>2191</v>
      </c>
      <c r="D69" t="s">
        <v>122</v>
      </c>
      <c r="E69" t="s">
        <v>2189</v>
      </c>
      <c r="F69" t="s">
        <v>2190</v>
      </c>
      <c r="G69" t="s">
        <v>2193</v>
      </c>
      <c r="H69" s="124">
        <v>1</v>
      </c>
      <c r="I69" s="5">
        <v>20000</v>
      </c>
      <c r="J69" s="5">
        <v>15000</v>
      </c>
      <c r="K69" s="5">
        <v>15000</v>
      </c>
      <c r="L69" s="5">
        <v>50000</v>
      </c>
    </row>
    <row r="70" spans="1:12" x14ac:dyDescent="0.3">
      <c r="A70" t="s">
        <v>118</v>
      </c>
      <c r="B70" t="s">
        <v>1125</v>
      </c>
      <c r="C70" t="s">
        <v>2336</v>
      </c>
      <c r="D70" t="s">
        <v>122</v>
      </c>
      <c r="E70" t="s">
        <v>2334</v>
      </c>
      <c r="F70" t="s">
        <v>2335</v>
      </c>
      <c r="G70" t="s">
        <v>2338</v>
      </c>
      <c r="H70" s="124">
        <v>1</v>
      </c>
      <c r="I70" s="5">
        <v>20000</v>
      </c>
      <c r="J70" s="5">
        <v>15000</v>
      </c>
      <c r="K70" s="5">
        <v>15000</v>
      </c>
      <c r="L70" s="5">
        <v>50000</v>
      </c>
    </row>
    <row r="71" spans="1:12" x14ac:dyDescent="0.3">
      <c r="A71" t="s">
        <v>118</v>
      </c>
      <c r="B71" t="s">
        <v>1125</v>
      </c>
      <c r="C71" t="s">
        <v>2399</v>
      </c>
      <c r="D71" t="s">
        <v>115</v>
      </c>
      <c r="E71" t="s">
        <v>2397</v>
      </c>
      <c r="F71" t="s">
        <v>2398</v>
      </c>
      <c r="G71" t="s">
        <v>2401</v>
      </c>
      <c r="H71" s="124">
        <v>1</v>
      </c>
      <c r="I71" s="5">
        <v>20000</v>
      </c>
      <c r="J71" s="5">
        <v>15000</v>
      </c>
      <c r="K71" s="5">
        <v>15000</v>
      </c>
      <c r="L71" s="5">
        <v>50000</v>
      </c>
    </row>
    <row r="72" spans="1:12" x14ac:dyDescent="0.3">
      <c r="A72" t="s">
        <v>118</v>
      </c>
      <c r="B72" t="s">
        <v>1125</v>
      </c>
      <c r="C72" t="s">
        <v>2410</v>
      </c>
      <c r="D72" t="s">
        <v>122</v>
      </c>
      <c r="E72" t="s">
        <v>2408</v>
      </c>
      <c r="F72" t="s">
        <v>2409</v>
      </c>
      <c r="G72" t="s">
        <v>2412</v>
      </c>
      <c r="H72" s="124">
        <v>1</v>
      </c>
      <c r="I72" s="5">
        <v>0</v>
      </c>
      <c r="J72" s="5">
        <v>0</v>
      </c>
      <c r="K72" s="5">
        <v>0</v>
      </c>
      <c r="L72" s="5">
        <v>0</v>
      </c>
    </row>
    <row r="73" spans="1:12" x14ac:dyDescent="0.3">
      <c r="A73" t="s">
        <v>118</v>
      </c>
      <c r="B73" t="s">
        <v>162</v>
      </c>
      <c r="C73" t="s">
        <v>795</v>
      </c>
      <c r="D73" t="s">
        <v>117</v>
      </c>
      <c r="E73" t="s">
        <v>793</v>
      </c>
      <c r="F73" t="s">
        <v>794</v>
      </c>
      <c r="G73" t="s">
        <v>797</v>
      </c>
      <c r="H73" s="124">
        <v>1</v>
      </c>
      <c r="I73" s="5">
        <v>20000</v>
      </c>
      <c r="J73" s="5">
        <v>15000</v>
      </c>
      <c r="K73" s="5">
        <v>15000</v>
      </c>
      <c r="L73" s="5">
        <v>50000</v>
      </c>
    </row>
    <row r="74" spans="1:12" x14ac:dyDescent="0.3">
      <c r="A74" t="s">
        <v>118</v>
      </c>
      <c r="B74" t="s">
        <v>162</v>
      </c>
      <c r="C74" t="s">
        <v>769</v>
      </c>
      <c r="D74" t="s">
        <v>104</v>
      </c>
      <c r="E74" t="s">
        <v>767</v>
      </c>
      <c r="F74" t="s">
        <v>768</v>
      </c>
      <c r="G74" t="s">
        <v>772</v>
      </c>
      <c r="H74" s="124">
        <v>1</v>
      </c>
      <c r="I74" s="5">
        <v>20000</v>
      </c>
      <c r="J74" s="5">
        <v>15000</v>
      </c>
      <c r="K74" s="5">
        <v>15000</v>
      </c>
      <c r="L74" s="5">
        <v>50000</v>
      </c>
    </row>
    <row r="75" spans="1:12" x14ac:dyDescent="0.3">
      <c r="A75" t="s">
        <v>118</v>
      </c>
      <c r="B75" t="s">
        <v>162</v>
      </c>
      <c r="C75" t="s">
        <v>1809</v>
      </c>
      <c r="D75" t="s">
        <v>115</v>
      </c>
      <c r="E75" t="s">
        <v>1807</v>
      </c>
      <c r="F75" t="s">
        <v>1808</v>
      </c>
      <c r="G75" t="s">
        <v>1811</v>
      </c>
      <c r="H75" s="124">
        <v>1</v>
      </c>
      <c r="I75" s="5">
        <v>20000</v>
      </c>
      <c r="J75" s="5">
        <v>15000</v>
      </c>
      <c r="K75" s="5">
        <v>15000</v>
      </c>
      <c r="L75" s="5">
        <v>50000</v>
      </c>
    </row>
    <row r="76" spans="1:12" x14ac:dyDescent="0.3">
      <c r="A76" t="s">
        <v>118</v>
      </c>
      <c r="B76" t="s">
        <v>162</v>
      </c>
      <c r="C76" t="s">
        <v>758</v>
      </c>
      <c r="D76" t="s">
        <v>117</v>
      </c>
      <c r="E76" t="s">
        <v>756</v>
      </c>
      <c r="F76" t="s">
        <v>757</v>
      </c>
      <c r="G76" t="s">
        <v>1560</v>
      </c>
      <c r="H76" s="124">
        <v>1</v>
      </c>
      <c r="I76" s="5">
        <v>20000</v>
      </c>
      <c r="J76" s="5">
        <v>15000</v>
      </c>
      <c r="K76" s="5">
        <v>15000</v>
      </c>
      <c r="L76" s="5">
        <v>50000</v>
      </c>
    </row>
    <row r="77" spans="1:12" x14ac:dyDescent="0.3">
      <c r="A77" t="s">
        <v>118</v>
      </c>
      <c r="B77" t="s">
        <v>162</v>
      </c>
      <c r="C77" t="s">
        <v>1278</v>
      </c>
      <c r="D77" t="s">
        <v>104</v>
      </c>
      <c r="E77" t="s">
        <v>1276</v>
      </c>
      <c r="F77" t="s">
        <v>1277</v>
      </c>
      <c r="G77" t="s">
        <v>1280</v>
      </c>
      <c r="H77" s="124">
        <v>1</v>
      </c>
      <c r="I77" s="5">
        <v>20000</v>
      </c>
      <c r="J77" s="5">
        <v>15000</v>
      </c>
      <c r="K77" s="5">
        <v>15000</v>
      </c>
      <c r="L77" s="5">
        <v>50000</v>
      </c>
    </row>
    <row r="78" spans="1:12" x14ac:dyDescent="0.3">
      <c r="A78" t="s">
        <v>118</v>
      </c>
      <c r="B78" t="s">
        <v>162</v>
      </c>
      <c r="C78" t="s">
        <v>3034</v>
      </c>
      <c r="D78" t="s">
        <v>104</v>
      </c>
      <c r="E78" t="s">
        <v>3032</v>
      </c>
      <c r="F78" t="s">
        <v>3033</v>
      </c>
      <c r="G78" t="s">
        <v>3036</v>
      </c>
      <c r="H78" s="124">
        <v>1</v>
      </c>
      <c r="I78" s="5"/>
      <c r="J78" s="5"/>
      <c r="K78" s="5"/>
      <c r="L78" s="5"/>
    </row>
    <row r="79" spans="1:12" x14ac:dyDescent="0.3">
      <c r="A79" t="s">
        <v>1866</v>
      </c>
      <c r="B79" t="s">
        <v>1851</v>
      </c>
      <c r="C79" t="s">
        <v>263</v>
      </c>
      <c r="D79" t="s">
        <v>110</v>
      </c>
      <c r="E79" t="s">
        <v>175</v>
      </c>
      <c r="F79" t="s">
        <v>176</v>
      </c>
      <c r="G79" t="s">
        <v>178</v>
      </c>
      <c r="H79" s="124">
        <v>1</v>
      </c>
      <c r="I79" s="5"/>
      <c r="J79" s="5"/>
      <c r="K79" s="5"/>
      <c r="L79" s="5"/>
    </row>
    <row r="80" spans="1:12" x14ac:dyDescent="0.3">
      <c r="A80" t="s">
        <v>1866</v>
      </c>
      <c r="B80" t="s">
        <v>1983</v>
      </c>
      <c r="C80" t="s">
        <v>536</v>
      </c>
      <c r="D80" t="s">
        <v>115</v>
      </c>
      <c r="E80" t="s">
        <v>535</v>
      </c>
      <c r="F80" t="s">
        <v>1981</v>
      </c>
      <c r="G80" t="s">
        <v>666</v>
      </c>
      <c r="H80" s="124">
        <v>1</v>
      </c>
      <c r="I80" s="5"/>
      <c r="J80" s="5"/>
      <c r="K80" s="5"/>
      <c r="L80" s="5"/>
    </row>
    <row r="81" spans="1:12" x14ac:dyDescent="0.3">
      <c r="A81" t="s">
        <v>167</v>
      </c>
      <c r="B81" t="s">
        <v>167</v>
      </c>
      <c r="C81" t="s">
        <v>164</v>
      </c>
      <c r="D81" t="s">
        <v>6</v>
      </c>
      <c r="E81" t="s">
        <v>165</v>
      </c>
      <c r="F81" t="s">
        <v>2885</v>
      </c>
      <c r="G81" t="s">
        <v>166</v>
      </c>
      <c r="H81" s="124">
        <v>1</v>
      </c>
      <c r="I81" s="5"/>
      <c r="J81" s="5"/>
      <c r="K81" s="5"/>
      <c r="L81" s="5"/>
    </row>
    <row r="82" spans="1:12" x14ac:dyDescent="0.3">
      <c r="A82" t="s">
        <v>167</v>
      </c>
      <c r="B82" t="s">
        <v>123</v>
      </c>
      <c r="C82" t="s">
        <v>266</v>
      </c>
      <c r="D82" t="s">
        <v>104</v>
      </c>
      <c r="E82" t="s">
        <v>264</v>
      </c>
      <c r="F82" t="s">
        <v>265</v>
      </c>
      <c r="G82" t="s">
        <v>267</v>
      </c>
      <c r="H82" s="124">
        <v>1</v>
      </c>
      <c r="I82" s="5"/>
      <c r="J82" s="5"/>
      <c r="K82" s="5"/>
      <c r="L82" s="5"/>
    </row>
    <row r="83" spans="1:12" x14ac:dyDescent="0.3">
      <c r="A83" t="s">
        <v>2698</v>
      </c>
      <c r="B83" t="s">
        <v>2696</v>
      </c>
      <c r="C83" t="s">
        <v>2693</v>
      </c>
      <c r="D83" t="s">
        <v>121</v>
      </c>
      <c r="E83" t="s">
        <v>2691</v>
      </c>
      <c r="F83" t="s">
        <v>2692</v>
      </c>
      <c r="G83" t="s">
        <v>2695</v>
      </c>
      <c r="H83" s="124">
        <v>1</v>
      </c>
      <c r="I83" s="5"/>
      <c r="J83" s="5"/>
      <c r="K83" s="5"/>
      <c r="L83" s="5"/>
    </row>
    <row r="84" spans="1:12" x14ac:dyDescent="0.3">
      <c r="A84" t="s">
        <v>111</v>
      </c>
      <c r="B84" t="s">
        <v>1866</v>
      </c>
      <c r="C84" t="s">
        <v>137</v>
      </c>
      <c r="D84" t="s">
        <v>115</v>
      </c>
      <c r="E84" t="s">
        <v>138</v>
      </c>
      <c r="F84" t="s">
        <v>1864</v>
      </c>
      <c r="G84" t="s">
        <v>139</v>
      </c>
      <c r="H84" s="124">
        <v>1</v>
      </c>
      <c r="I84" s="5"/>
      <c r="J84" s="5"/>
      <c r="K84" s="5"/>
      <c r="L84" s="5"/>
    </row>
    <row r="85" spans="1:12" x14ac:dyDescent="0.3">
      <c r="A85" t="s">
        <v>111</v>
      </c>
      <c r="B85" t="s">
        <v>2657</v>
      </c>
      <c r="C85" t="s">
        <v>2883</v>
      </c>
      <c r="D85" t="s">
        <v>6</v>
      </c>
      <c r="E85" t="s">
        <v>2881</v>
      </c>
      <c r="F85" t="s">
        <v>2882</v>
      </c>
      <c r="G85" t="s">
        <v>2884</v>
      </c>
      <c r="H85" s="124">
        <v>1</v>
      </c>
      <c r="I85" s="5"/>
      <c r="J85" s="5"/>
      <c r="K85" s="5"/>
      <c r="L85" s="5"/>
    </row>
    <row r="86" spans="1:12" x14ac:dyDescent="0.3">
      <c r="A86" t="s">
        <v>111</v>
      </c>
      <c r="B86" t="s">
        <v>2657</v>
      </c>
      <c r="C86" t="s">
        <v>2653</v>
      </c>
      <c r="D86" t="s">
        <v>122</v>
      </c>
      <c r="E86" t="s">
        <v>2651</v>
      </c>
      <c r="F86" t="s">
        <v>2652</v>
      </c>
      <c r="G86" t="s">
        <v>2656</v>
      </c>
      <c r="H86" s="124">
        <v>1</v>
      </c>
      <c r="I86" s="5">
        <v>0</v>
      </c>
      <c r="J86" s="5">
        <v>0</v>
      </c>
      <c r="K86" s="5">
        <v>0</v>
      </c>
      <c r="L86" s="5">
        <v>0</v>
      </c>
    </row>
    <row r="87" spans="1:12" x14ac:dyDescent="0.3">
      <c r="A87" t="s">
        <v>111</v>
      </c>
      <c r="B87" t="s">
        <v>226</v>
      </c>
      <c r="C87" t="s">
        <v>223</v>
      </c>
      <c r="D87" t="s">
        <v>122</v>
      </c>
      <c r="E87" t="s">
        <v>221</v>
      </c>
      <c r="F87" t="s">
        <v>1690</v>
      </c>
      <c r="G87" t="s">
        <v>225</v>
      </c>
      <c r="H87" s="124">
        <v>1</v>
      </c>
      <c r="I87" s="5"/>
      <c r="J87" s="5"/>
      <c r="K87" s="5"/>
      <c r="L87" s="5"/>
    </row>
    <row r="88" spans="1:12" x14ac:dyDescent="0.3">
      <c r="A88" t="s">
        <v>111</v>
      </c>
      <c r="B88" t="s">
        <v>226</v>
      </c>
      <c r="C88" t="s">
        <v>1084</v>
      </c>
      <c r="D88" t="s">
        <v>115</v>
      </c>
      <c r="E88" t="s">
        <v>1082</v>
      </c>
      <c r="F88" t="s">
        <v>1083</v>
      </c>
      <c r="G88" t="s">
        <v>1087</v>
      </c>
      <c r="H88" s="124">
        <v>1</v>
      </c>
      <c r="I88" s="5">
        <v>20000</v>
      </c>
      <c r="J88" s="5">
        <v>15000</v>
      </c>
      <c r="K88" s="5">
        <v>15000</v>
      </c>
      <c r="L88" s="5">
        <v>50000</v>
      </c>
    </row>
    <row r="89" spans="1:12" x14ac:dyDescent="0.3">
      <c r="A89" t="s">
        <v>111</v>
      </c>
      <c r="B89" t="s">
        <v>226</v>
      </c>
      <c r="C89" t="s">
        <v>724</v>
      </c>
      <c r="D89" t="s">
        <v>117</v>
      </c>
      <c r="E89" t="s">
        <v>722</v>
      </c>
      <c r="F89" t="s">
        <v>723</v>
      </c>
      <c r="G89" t="s">
        <v>726</v>
      </c>
      <c r="H89" s="124">
        <v>1</v>
      </c>
      <c r="I89" s="5">
        <v>20000</v>
      </c>
      <c r="J89" s="5">
        <v>15000</v>
      </c>
      <c r="K89" s="5">
        <v>15000</v>
      </c>
      <c r="L89" s="5">
        <v>50000</v>
      </c>
    </row>
    <row r="90" spans="1:12" x14ac:dyDescent="0.3">
      <c r="A90" t="s">
        <v>111</v>
      </c>
      <c r="B90" t="s">
        <v>226</v>
      </c>
      <c r="C90" t="s">
        <v>1074</v>
      </c>
      <c r="D90" t="s">
        <v>104</v>
      </c>
      <c r="E90" t="s">
        <v>1072</v>
      </c>
      <c r="F90" t="s">
        <v>1073</v>
      </c>
      <c r="G90" t="s">
        <v>1076</v>
      </c>
      <c r="H90" s="124">
        <v>1</v>
      </c>
      <c r="I90" s="5">
        <v>20000</v>
      </c>
      <c r="J90" s="5">
        <v>15000</v>
      </c>
      <c r="K90" s="5">
        <v>15000</v>
      </c>
      <c r="L90" s="5">
        <v>50000</v>
      </c>
    </row>
    <row r="91" spans="1:12" x14ac:dyDescent="0.3">
      <c r="A91" t="s">
        <v>111</v>
      </c>
      <c r="B91" t="s">
        <v>226</v>
      </c>
      <c r="C91" t="s">
        <v>1266</v>
      </c>
      <c r="D91" t="s">
        <v>104</v>
      </c>
      <c r="E91" t="s">
        <v>1264</v>
      </c>
      <c r="F91" t="s">
        <v>1265</v>
      </c>
      <c r="G91" t="s">
        <v>1268</v>
      </c>
      <c r="H91" s="124">
        <v>1</v>
      </c>
      <c r="I91" s="5">
        <v>20000</v>
      </c>
      <c r="J91" s="5">
        <v>15000</v>
      </c>
      <c r="K91" s="5">
        <v>15000</v>
      </c>
      <c r="L91" s="5">
        <v>50000</v>
      </c>
    </row>
    <row r="92" spans="1:12" x14ac:dyDescent="0.3">
      <c r="A92" t="s">
        <v>111</v>
      </c>
      <c r="B92" t="s">
        <v>226</v>
      </c>
      <c r="C92" t="s">
        <v>1833</v>
      </c>
      <c r="D92" t="s">
        <v>121</v>
      </c>
      <c r="E92" t="s">
        <v>1883</v>
      </c>
      <c r="F92" t="s">
        <v>1832</v>
      </c>
      <c r="G92" t="s">
        <v>1835</v>
      </c>
      <c r="H92" s="124">
        <v>1</v>
      </c>
      <c r="I92" s="5">
        <v>20000</v>
      </c>
      <c r="J92" s="5">
        <v>15000</v>
      </c>
      <c r="K92" s="5">
        <v>15000</v>
      </c>
      <c r="L92" s="5">
        <v>50000</v>
      </c>
    </row>
    <row r="93" spans="1:12" x14ac:dyDescent="0.3">
      <c r="A93" t="s">
        <v>111</v>
      </c>
      <c r="B93" t="s">
        <v>245</v>
      </c>
      <c r="C93" t="s">
        <v>1722</v>
      </c>
      <c r="D93" t="s">
        <v>115</v>
      </c>
      <c r="E93" t="s">
        <v>1720</v>
      </c>
      <c r="F93" t="s">
        <v>1721</v>
      </c>
      <c r="G93" t="s">
        <v>1724</v>
      </c>
      <c r="H93" s="124">
        <v>1</v>
      </c>
      <c r="I93" s="5"/>
      <c r="J93" s="5"/>
      <c r="K93" s="5"/>
      <c r="L93" s="5"/>
    </row>
    <row r="94" spans="1:12" x14ac:dyDescent="0.3">
      <c r="A94" t="s">
        <v>111</v>
      </c>
      <c r="B94" t="s">
        <v>245</v>
      </c>
      <c r="C94" t="s">
        <v>1747</v>
      </c>
      <c r="D94" t="s">
        <v>122</v>
      </c>
      <c r="E94" t="s">
        <v>1745</v>
      </c>
      <c r="F94" t="s">
        <v>1746</v>
      </c>
      <c r="G94" t="s">
        <v>1882</v>
      </c>
      <c r="H94" s="124">
        <v>1</v>
      </c>
      <c r="I94" s="5">
        <v>20000</v>
      </c>
      <c r="J94" s="5">
        <v>0</v>
      </c>
      <c r="K94" s="5">
        <v>0</v>
      </c>
      <c r="L94" s="5">
        <v>20000</v>
      </c>
    </row>
    <row r="95" spans="1:12" x14ac:dyDescent="0.3">
      <c r="A95" t="s">
        <v>111</v>
      </c>
      <c r="B95" t="s">
        <v>245</v>
      </c>
      <c r="C95" t="s">
        <v>2506</v>
      </c>
      <c r="D95" t="s">
        <v>104</v>
      </c>
      <c r="E95" t="s">
        <v>2504</v>
      </c>
      <c r="F95" t="s">
        <v>2505</v>
      </c>
      <c r="G95" t="s">
        <v>2508</v>
      </c>
      <c r="H95" s="124">
        <v>1</v>
      </c>
      <c r="I95" s="5">
        <v>20000</v>
      </c>
      <c r="J95" s="5">
        <v>15000</v>
      </c>
      <c r="K95" s="5">
        <v>15000</v>
      </c>
      <c r="L95" s="5">
        <v>50000</v>
      </c>
    </row>
    <row r="96" spans="1:12" x14ac:dyDescent="0.3">
      <c r="A96" t="s">
        <v>111</v>
      </c>
      <c r="B96" t="s">
        <v>109</v>
      </c>
      <c r="C96" t="s">
        <v>1840</v>
      </c>
      <c r="D96" t="s">
        <v>110</v>
      </c>
      <c r="E96" t="s">
        <v>303</v>
      </c>
      <c r="F96" t="s">
        <v>304</v>
      </c>
      <c r="G96" t="s">
        <v>1841</v>
      </c>
      <c r="H96" s="124">
        <v>1</v>
      </c>
      <c r="I96" s="5"/>
      <c r="J96" s="5"/>
      <c r="K96" s="5"/>
      <c r="L96" s="5"/>
    </row>
    <row r="97" spans="1:12" x14ac:dyDescent="0.3">
      <c r="A97" t="s">
        <v>111</v>
      </c>
      <c r="B97" t="s">
        <v>109</v>
      </c>
      <c r="C97" t="s">
        <v>1729</v>
      </c>
      <c r="D97" t="s">
        <v>115</v>
      </c>
      <c r="E97" t="s">
        <v>203</v>
      </c>
      <c r="F97" t="s">
        <v>204</v>
      </c>
      <c r="G97" t="s">
        <v>206</v>
      </c>
      <c r="H97" s="124">
        <v>1</v>
      </c>
      <c r="I97" s="5"/>
      <c r="J97" s="5"/>
      <c r="K97" s="5"/>
      <c r="L97" s="5"/>
    </row>
    <row r="98" spans="1:12" x14ac:dyDescent="0.3">
      <c r="A98" t="s">
        <v>111</v>
      </c>
      <c r="B98" t="s">
        <v>109</v>
      </c>
      <c r="C98" t="s">
        <v>1680</v>
      </c>
      <c r="D98" t="s">
        <v>104</v>
      </c>
      <c r="E98" t="s">
        <v>282</v>
      </c>
      <c r="F98" t="s">
        <v>283</v>
      </c>
      <c r="G98" t="s">
        <v>285</v>
      </c>
      <c r="H98" s="124">
        <v>1</v>
      </c>
      <c r="I98" s="5"/>
      <c r="J98" s="5"/>
      <c r="K98" s="5"/>
      <c r="L98" s="5"/>
    </row>
    <row r="99" spans="1:12" x14ac:dyDescent="0.3">
      <c r="A99" t="s">
        <v>111</v>
      </c>
      <c r="B99" t="s">
        <v>109</v>
      </c>
      <c r="C99" t="s">
        <v>1503</v>
      </c>
      <c r="D99" t="s">
        <v>122</v>
      </c>
      <c r="E99" t="s">
        <v>1501</v>
      </c>
      <c r="F99" t="s">
        <v>1502</v>
      </c>
      <c r="G99" t="s">
        <v>1506</v>
      </c>
      <c r="H99" s="124">
        <v>1</v>
      </c>
      <c r="I99" s="5">
        <v>20000</v>
      </c>
      <c r="J99" s="5">
        <v>15000</v>
      </c>
      <c r="K99" s="5">
        <v>15000</v>
      </c>
      <c r="L99" s="5">
        <v>50000</v>
      </c>
    </row>
    <row r="100" spans="1:12" x14ac:dyDescent="0.3">
      <c r="A100" t="s">
        <v>111</v>
      </c>
      <c r="B100" t="s">
        <v>1914</v>
      </c>
      <c r="C100" t="s">
        <v>1910</v>
      </c>
      <c r="D100" t="s">
        <v>110</v>
      </c>
      <c r="E100" t="s">
        <v>1908</v>
      </c>
      <c r="F100" t="s">
        <v>1909</v>
      </c>
      <c r="G100" t="s">
        <v>1913</v>
      </c>
      <c r="H100" s="124">
        <v>1</v>
      </c>
      <c r="I100" s="5">
        <v>20000</v>
      </c>
      <c r="J100" s="5">
        <v>15000</v>
      </c>
      <c r="K100" s="5">
        <v>15000</v>
      </c>
      <c r="L100" s="5">
        <v>50000</v>
      </c>
    </row>
    <row r="101" spans="1:12" x14ac:dyDescent="0.3">
      <c r="A101" t="s">
        <v>111</v>
      </c>
      <c r="B101" t="s">
        <v>1914</v>
      </c>
      <c r="C101" t="s">
        <v>3234</v>
      </c>
      <c r="D101" t="s">
        <v>115</v>
      </c>
      <c r="E101" t="s">
        <v>3232</v>
      </c>
      <c r="F101" t="s">
        <v>3233</v>
      </c>
      <c r="G101" t="s">
        <v>3235</v>
      </c>
      <c r="H101" s="124">
        <v>1</v>
      </c>
      <c r="I101" s="5">
        <v>20000</v>
      </c>
      <c r="J101" s="5">
        <v>15000</v>
      </c>
      <c r="K101" s="5">
        <v>15000</v>
      </c>
      <c r="L101" s="5">
        <v>50000</v>
      </c>
    </row>
    <row r="102" spans="1:12" x14ac:dyDescent="0.3">
      <c r="A102" t="s">
        <v>111</v>
      </c>
      <c r="B102" t="s">
        <v>2132</v>
      </c>
      <c r="C102" t="s">
        <v>2129</v>
      </c>
      <c r="D102" t="s">
        <v>110</v>
      </c>
      <c r="E102" t="s">
        <v>2127</v>
      </c>
      <c r="F102" t="s">
        <v>2128</v>
      </c>
      <c r="G102" t="s">
        <v>2131</v>
      </c>
      <c r="H102" s="124">
        <v>1</v>
      </c>
      <c r="I102" s="5">
        <v>20000</v>
      </c>
      <c r="J102" s="5">
        <v>15000</v>
      </c>
      <c r="K102" s="5">
        <v>15000</v>
      </c>
      <c r="L102" s="5">
        <v>50000</v>
      </c>
    </row>
    <row r="103" spans="1:12" x14ac:dyDescent="0.3">
      <c r="A103" t="s">
        <v>111</v>
      </c>
      <c r="B103" t="s">
        <v>2132</v>
      </c>
      <c r="C103" t="s">
        <v>2291</v>
      </c>
      <c r="D103" t="s">
        <v>110</v>
      </c>
      <c r="E103" t="s">
        <v>2289</v>
      </c>
      <c r="F103" t="s">
        <v>2290</v>
      </c>
      <c r="G103" t="s">
        <v>2293</v>
      </c>
      <c r="H103" s="124">
        <v>1</v>
      </c>
      <c r="I103" s="5">
        <v>20000</v>
      </c>
      <c r="J103" s="5">
        <v>15000</v>
      </c>
      <c r="K103" s="5">
        <v>15000</v>
      </c>
      <c r="L103" s="5">
        <v>50000</v>
      </c>
    </row>
    <row r="104" spans="1:12" x14ac:dyDescent="0.3">
      <c r="A104" t="s">
        <v>111</v>
      </c>
      <c r="B104" t="s">
        <v>2132</v>
      </c>
      <c r="C104" t="s">
        <v>2607</v>
      </c>
      <c r="D104" t="s">
        <v>122</v>
      </c>
      <c r="E104" t="s">
        <v>2605</v>
      </c>
      <c r="F104" t="s">
        <v>2606</v>
      </c>
      <c r="G104" t="s">
        <v>2721</v>
      </c>
      <c r="H104" s="124">
        <v>1</v>
      </c>
      <c r="I104" s="5">
        <v>20000</v>
      </c>
      <c r="J104" s="5">
        <v>15000</v>
      </c>
      <c r="K104" s="5">
        <v>15000</v>
      </c>
      <c r="L104" s="5">
        <v>50000</v>
      </c>
    </row>
    <row r="105" spans="1:12" x14ac:dyDescent="0.3">
      <c r="A105" t="s">
        <v>111</v>
      </c>
      <c r="B105" t="s">
        <v>2132</v>
      </c>
      <c r="C105" t="s">
        <v>2299</v>
      </c>
      <c r="D105" t="s">
        <v>117</v>
      </c>
      <c r="E105" t="s">
        <v>2935</v>
      </c>
      <c r="F105" t="s">
        <v>2298</v>
      </c>
      <c r="G105" t="s">
        <v>2301</v>
      </c>
      <c r="H105" s="124">
        <v>1</v>
      </c>
      <c r="I105" s="5">
        <v>20000</v>
      </c>
      <c r="J105" s="5">
        <v>15000</v>
      </c>
      <c r="K105" s="5">
        <v>15000</v>
      </c>
      <c r="L105" s="5">
        <v>50000</v>
      </c>
    </row>
    <row r="106" spans="1:12" x14ac:dyDescent="0.3">
      <c r="A106" t="s">
        <v>111</v>
      </c>
      <c r="B106" t="s">
        <v>2132</v>
      </c>
      <c r="C106" t="s">
        <v>2432</v>
      </c>
      <c r="D106" t="s">
        <v>115</v>
      </c>
      <c r="E106" t="s">
        <v>2430</v>
      </c>
      <c r="F106" t="s">
        <v>2431</v>
      </c>
      <c r="G106" t="s">
        <v>2434</v>
      </c>
      <c r="H106" s="124">
        <v>1</v>
      </c>
      <c r="I106" s="5">
        <v>20000</v>
      </c>
      <c r="J106" s="5">
        <v>15000</v>
      </c>
      <c r="K106" s="5">
        <v>15000</v>
      </c>
      <c r="L106" s="5">
        <v>50000</v>
      </c>
    </row>
    <row r="107" spans="1:12" x14ac:dyDescent="0.3">
      <c r="A107" t="s">
        <v>105</v>
      </c>
      <c r="B107" t="s">
        <v>311</v>
      </c>
      <c r="C107" t="s">
        <v>1790</v>
      </c>
      <c r="D107" t="s">
        <v>110</v>
      </c>
      <c r="E107" t="s">
        <v>1788</v>
      </c>
      <c r="F107" t="s">
        <v>1789</v>
      </c>
      <c r="G107" t="s">
        <v>1792</v>
      </c>
      <c r="H107" s="124">
        <v>1</v>
      </c>
      <c r="I107" s="5">
        <v>0</v>
      </c>
      <c r="J107" s="5">
        <v>0</v>
      </c>
      <c r="K107" s="5">
        <v>0</v>
      </c>
      <c r="L107" s="5">
        <v>0</v>
      </c>
    </row>
    <row r="108" spans="1:12" x14ac:dyDescent="0.3">
      <c r="A108" t="s">
        <v>105</v>
      </c>
      <c r="B108" t="s">
        <v>311</v>
      </c>
      <c r="C108" t="s">
        <v>853</v>
      </c>
      <c r="D108" t="s">
        <v>117</v>
      </c>
      <c r="E108" t="s">
        <v>851</v>
      </c>
      <c r="F108" t="s">
        <v>852</v>
      </c>
      <c r="G108" t="s">
        <v>855</v>
      </c>
      <c r="H108" s="124">
        <v>1</v>
      </c>
      <c r="I108" s="5">
        <v>0</v>
      </c>
      <c r="J108" s="5">
        <v>0</v>
      </c>
      <c r="K108" s="5">
        <v>0</v>
      </c>
      <c r="L108" s="5">
        <v>0</v>
      </c>
    </row>
    <row r="109" spans="1:12" x14ac:dyDescent="0.3">
      <c r="A109" t="s">
        <v>105</v>
      </c>
      <c r="B109" t="s">
        <v>2878</v>
      </c>
      <c r="C109" t="s">
        <v>2874</v>
      </c>
      <c r="D109" t="s">
        <v>6</v>
      </c>
      <c r="E109" t="s">
        <v>2872</v>
      </c>
      <c r="F109" t="s">
        <v>2873</v>
      </c>
      <c r="G109" t="s">
        <v>2877</v>
      </c>
      <c r="H109" s="124">
        <v>1</v>
      </c>
      <c r="I109" s="5"/>
      <c r="J109" s="5"/>
      <c r="K109" s="5"/>
      <c r="L109" s="5"/>
    </row>
    <row r="110" spans="1:12" x14ac:dyDescent="0.3">
      <c r="A110" t="s">
        <v>105</v>
      </c>
      <c r="B110" t="s">
        <v>2878</v>
      </c>
      <c r="C110" t="s">
        <v>2880</v>
      </c>
      <c r="D110" t="s">
        <v>6</v>
      </c>
      <c r="E110" t="s">
        <v>445</v>
      </c>
      <c r="F110" t="s">
        <v>2879</v>
      </c>
      <c r="G110" t="s">
        <v>446</v>
      </c>
      <c r="H110" s="124">
        <v>1</v>
      </c>
      <c r="I110" s="5"/>
      <c r="J110" s="5"/>
      <c r="K110" s="5"/>
      <c r="L110" s="5"/>
    </row>
    <row r="111" spans="1:12" x14ac:dyDescent="0.3">
      <c r="A111" t="s">
        <v>105</v>
      </c>
      <c r="B111" t="s">
        <v>167</v>
      </c>
      <c r="C111" t="s">
        <v>2890</v>
      </c>
      <c r="D111" t="s">
        <v>6</v>
      </c>
      <c r="E111" t="s">
        <v>2888</v>
      </c>
      <c r="F111" t="s">
        <v>2889</v>
      </c>
      <c r="G111" t="s">
        <v>2891</v>
      </c>
      <c r="H111" s="124">
        <v>1</v>
      </c>
      <c r="I111" s="5"/>
      <c r="J111" s="5"/>
      <c r="K111" s="5"/>
      <c r="L111" s="5"/>
    </row>
    <row r="112" spans="1:12" x14ac:dyDescent="0.3">
      <c r="A112" t="s">
        <v>105</v>
      </c>
      <c r="B112" t="s">
        <v>103</v>
      </c>
      <c r="C112" t="s">
        <v>2221</v>
      </c>
      <c r="D112" t="s">
        <v>104</v>
      </c>
      <c r="E112" t="s">
        <v>2219</v>
      </c>
      <c r="F112" t="s">
        <v>2220</v>
      </c>
      <c r="G112" t="s">
        <v>2223</v>
      </c>
      <c r="H112" s="124">
        <v>1</v>
      </c>
      <c r="I112" s="5">
        <v>20000</v>
      </c>
      <c r="J112" s="5">
        <v>15000</v>
      </c>
      <c r="K112" s="5">
        <v>15000</v>
      </c>
      <c r="L112" s="5">
        <v>50000</v>
      </c>
    </row>
    <row r="113" spans="1:12" x14ac:dyDescent="0.3">
      <c r="A113" t="s">
        <v>105</v>
      </c>
      <c r="B113" t="s">
        <v>103</v>
      </c>
      <c r="C113" t="s">
        <v>2250</v>
      </c>
      <c r="D113" t="s">
        <v>110</v>
      </c>
      <c r="E113" t="s">
        <v>2248</v>
      </c>
      <c r="F113" t="s">
        <v>2249</v>
      </c>
      <c r="G113" t="s">
        <v>2252</v>
      </c>
      <c r="H113" s="124">
        <v>1</v>
      </c>
      <c r="I113" s="5">
        <v>0</v>
      </c>
      <c r="J113" s="5">
        <v>0</v>
      </c>
      <c r="K113" s="5">
        <v>0</v>
      </c>
      <c r="L113" s="5">
        <v>0</v>
      </c>
    </row>
    <row r="114" spans="1:12" x14ac:dyDescent="0.3">
      <c r="A114" t="s">
        <v>105</v>
      </c>
      <c r="B114" t="s">
        <v>103</v>
      </c>
      <c r="C114" t="s">
        <v>2229</v>
      </c>
      <c r="D114" t="s">
        <v>122</v>
      </c>
      <c r="E114" t="s">
        <v>2227</v>
      </c>
      <c r="F114" t="s">
        <v>2228</v>
      </c>
      <c r="G114" t="s">
        <v>2231</v>
      </c>
      <c r="H114" s="124">
        <v>1</v>
      </c>
      <c r="I114" s="5">
        <v>0</v>
      </c>
      <c r="J114" s="5">
        <v>0</v>
      </c>
      <c r="K114" s="5">
        <v>0</v>
      </c>
      <c r="L114" s="5">
        <v>0</v>
      </c>
    </row>
    <row r="115" spans="1:12" x14ac:dyDescent="0.3">
      <c r="A115" t="s">
        <v>105</v>
      </c>
      <c r="B115" t="s">
        <v>398</v>
      </c>
      <c r="C115" t="s">
        <v>573</v>
      </c>
      <c r="D115" t="s">
        <v>104</v>
      </c>
      <c r="E115" t="s">
        <v>501</v>
      </c>
      <c r="F115" t="s">
        <v>500</v>
      </c>
      <c r="G115" t="s">
        <v>636</v>
      </c>
      <c r="H115" s="124">
        <v>1</v>
      </c>
      <c r="I115" s="5"/>
      <c r="J115" s="5"/>
      <c r="K115" s="5"/>
      <c r="L115" s="5"/>
    </row>
    <row r="116" spans="1:12" x14ac:dyDescent="0.3">
      <c r="A116" t="s">
        <v>105</v>
      </c>
      <c r="B116" t="s">
        <v>413</v>
      </c>
      <c r="C116" t="s">
        <v>2947</v>
      </c>
      <c r="D116" t="s">
        <v>110</v>
      </c>
      <c r="E116" t="s">
        <v>2945</v>
      </c>
      <c r="F116" t="s">
        <v>2946</v>
      </c>
      <c r="G116" t="s">
        <v>2948</v>
      </c>
      <c r="H116" s="124">
        <v>1</v>
      </c>
      <c r="I116" s="5"/>
      <c r="J116" s="5"/>
      <c r="K116" s="5"/>
      <c r="L116" s="5"/>
    </row>
    <row r="117" spans="1:12" x14ac:dyDescent="0.3">
      <c r="A117" t="s">
        <v>105</v>
      </c>
      <c r="B117" t="s">
        <v>413</v>
      </c>
      <c r="C117" t="s">
        <v>840</v>
      </c>
      <c r="D117" t="s">
        <v>122</v>
      </c>
      <c r="E117" t="s">
        <v>838</v>
      </c>
      <c r="F117" t="s">
        <v>839</v>
      </c>
      <c r="G117" t="s">
        <v>842</v>
      </c>
      <c r="H117" s="124">
        <v>1</v>
      </c>
      <c r="I117" s="5">
        <v>20000</v>
      </c>
      <c r="J117" s="5">
        <v>15000</v>
      </c>
      <c r="K117" s="5">
        <v>15000</v>
      </c>
      <c r="L117" s="5">
        <v>50000</v>
      </c>
    </row>
    <row r="118" spans="1:12" x14ac:dyDescent="0.3">
      <c r="A118" t="s">
        <v>105</v>
      </c>
      <c r="B118" t="s">
        <v>413</v>
      </c>
      <c r="C118" t="s">
        <v>560</v>
      </c>
      <c r="D118" t="s">
        <v>117</v>
      </c>
      <c r="E118" t="s">
        <v>559</v>
      </c>
      <c r="F118" t="s">
        <v>558</v>
      </c>
      <c r="G118" t="s">
        <v>672</v>
      </c>
      <c r="H118" s="124">
        <v>1</v>
      </c>
      <c r="I118" s="5"/>
      <c r="J118" s="5"/>
      <c r="K118" s="5"/>
      <c r="L118" s="5"/>
    </row>
    <row r="119" spans="1:12" x14ac:dyDescent="0.3">
      <c r="A119" t="s">
        <v>105</v>
      </c>
      <c r="B119" t="s">
        <v>413</v>
      </c>
      <c r="C119" t="s">
        <v>862</v>
      </c>
      <c r="D119" t="s">
        <v>122</v>
      </c>
      <c r="E119" t="s">
        <v>860</v>
      </c>
      <c r="F119" t="s">
        <v>861</v>
      </c>
      <c r="G119" t="s">
        <v>864</v>
      </c>
      <c r="H119" s="124">
        <v>1</v>
      </c>
      <c r="I119" s="5">
        <v>20000</v>
      </c>
      <c r="J119" s="5">
        <v>15000</v>
      </c>
      <c r="K119" s="5">
        <v>15000</v>
      </c>
      <c r="L119" s="5">
        <v>50000</v>
      </c>
    </row>
    <row r="120" spans="1:12" x14ac:dyDescent="0.3">
      <c r="A120" t="s">
        <v>105</v>
      </c>
      <c r="B120" t="s">
        <v>413</v>
      </c>
      <c r="C120" t="s">
        <v>909</v>
      </c>
      <c r="D120" t="s">
        <v>115</v>
      </c>
      <c r="E120" t="s">
        <v>907</v>
      </c>
      <c r="F120" t="s">
        <v>908</v>
      </c>
      <c r="G120" t="s">
        <v>911</v>
      </c>
      <c r="H120" s="124">
        <v>1</v>
      </c>
      <c r="I120" s="5">
        <v>20000</v>
      </c>
      <c r="J120" s="5">
        <v>15000</v>
      </c>
      <c r="K120" s="5">
        <v>15000</v>
      </c>
      <c r="L120" s="5">
        <v>50000</v>
      </c>
    </row>
    <row r="121" spans="1:12" x14ac:dyDescent="0.3">
      <c r="A121" t="s">
        <v>105</v>
      </c>
      <c r="B121" t="s">
        <v>413</v>
      </c>
      <c r="C121" t="s">
        <v>2847</v>
      </c>
      <c r="D121" t="s">
        <v>121</v>
      </c>
      <c r="E121" t="s">
        <v>2845</v>
      </c>
      <c r="F121" t="s">
        <v>2846</v>
      </c>
      <c r="G121" t="s">
        <v>2849</v>
      </c>
      <c r="H121" s="124">
        <v>1</v>
      </c>
      <c r="I121" s="5"/>
      <c r="J121" s="5"/>
      <c r="K121" s="5"/>
      <c r="L121" s="5"/>
    </row>
    <row r="122" spans="1:12" x14ac:dyDescent="0.3">
      <c r="A122" t="s">
        <v>105</v>
      </c>
      <c r="B122" t="s">
        <v>413</v>
      </c>
      <c r="C122" t="s">
        <v>1484</v>
      </c>
      <c r="D122" t="s">
        <v>104</v>
      </c>
      <c r="E122" t="s">
        <v>1482</v>
      </c>
      <c r="F122" t="s">
        <v>1483</v>
      </c>
      <c r="G122" t="s">
        <v>1568</v>
      </c>
      <c r="H122" s="124">
        <v>1</v>
      </c>
      <c r="I122" s="5">
        <v>20000</v>
      </c>
      <c r="J122" s="5">
        <v>15000</v>
      </c>
      <c r="K122" s="5">
        <v>15000</v>
      </c>
      <c r="L122" s="5">
        <v>50000</v>
      </c>
    </row>
    <row r="123" spans="1:12" x14ac:dyDescent="0.3">
      <c r="A123" t="s">
        <v>105</v>
      </c>
      <c r="B123" t="s">
        <v>413</v>
      </c>
      <c r="C123" t="s">
        <v>896</v>
      </c>
      <c r="D123" t="s">
        <v>122</v>
      </c>
      <c r="E123" t="s">
        <v>894</v>
      </c>
      <c r="F123" t="s">
        <v>895</v>
      </c>
      <c r="G123" t="s">
        <v>898</v>
      </c>
      <c r="H123" s="124">
        <v>1</v>
      </c>
      <c r="I123" s="5">
        <v>20000</v>
      </c>
      <c r="J123" s="5">
        <v>15000</v>
      </c>
      <c r="K123" s="5">
        <v>15000</v>
      </c>
      <c r="L123" s="5">
        <v>50000</v>
      </c>
    </row>
    <row r="124" spans="1:12" x14ac:dyDescent="0.3">
      <c r="A124" t="s">
        <v>105</v>
      </c>
      <c r="B124" t="s">
        <v>1253</v>
      </c>
      <c r="C124" t="s">
        <v>1259</v>
      </c>
      <c r="D124" t="s">
        <v>117</v>
      </c>
      <c r="E124" t="s">
        <v>1257</v>
      </c>
      <c r="F124" t="s">
        <v>1258</v>
      </c>
      <c r="G124" t="s">
        <v>1261</v>
      </c>
      <c r="H124" s="124">
        <v>1</v>
      </c>
      <c r="I124" s="5">
        <v>20000</v>
      </c>
      <c r="J124" s="5">
        <v>16500</v>
      </c>
      <c r="K124" s="5">
        <v>0</v>
      </c>
      <c r="L124" s="5">
        <v>36500</v>
      </c>
    </row>
    <row r="125" spans="1:12" x14ac:dyDescent="0.3">
      <c r="A125" t="s">
        <v>105</v>
      </c>
      <c r="B125" t="s">
        <v>1253</v>
      </c>
      <c r="C125" t="s">
        <v>1250</v>
      </c>
      <c r="D125" t="s">
        <v>115</v>
      </c>
      <c r="E125" t="s">
        <v>1248</v>
      </c>
      <c r="F125" t="s">
        <v>1249</v>
      </c>
      <c r="G125" t="s">
        <v>1252</v>
      </c>
      <c r="H125" s="124">
        <v>1</v>
      </c>
      <c r="I125" s="5">
        <v>20000</v>
      </c>
      <c r="J125" s="5">
        <v>15000</v>
      </c>
      <c r="K125" s="5">
        <v>15000</v>
      </c>
      <c r="L125" s="5">
        <v>50000</v>
      </c>
    </row>
    <row r="126" spans="1:12" x14ac:dyDescent="0.3">
      <c r="A126" t="s">
        <v>105</v>
      </c>
      <c r="B126" t="s">
        <v>1253</v>
      </c>
      <c r="C126" t="s">
        <v>1613</v>
      </c>
      <c r="D126" t="s">
        <v>110</v>
      </c>
      <c r="E126" t="s">
        <v>1611</v>
      </c>
      <c r="F126" t="s">
        <v>1612</v>
      </c>
      <c r="G126" t="s">
        <v>1615</v>
      </c>
      <c r="H126" s="124">
        <v>1</v>
      </c>
      <c r="I126" s="5">
        <v>20000</v>
      </c>
      <c r="J126" s="5">
        <v>15000</v>
      </c>
      <c r="K126" s="5">
        <v>15000</v>
      </c>
      <c r="L126" s="5">
        <v>50000</v>
      </c>
    </row>
    <row r="127" spans="1:12" x14ac:dyDescent="0.3">
      <c r="A127" t="s">
        <v>1890</v>
      </c>
      <c r="B127" t="s">
        <v>2665</v>
      </c>
      <c r="C127" t="s">
        <v>2971</v>
      </c>
      <c r="D127" t="s">
        <v>104</v>
      </c>
      <c r="E127" t="s">
        <v>2969</v>
      </c>
      <c r="F127" t="s">
        <v>2970</v>
      </c>
      <c r="G127" t="s">
        <v>2973</v>
      </c>
      <c r="H127" s="124">
        <v>1</v>
      </c>
      <c r="I127" s="5">
        <v>0</v>
      </c>
      <c r="J127" s="5">
        <v>0</v>
      </c>
      <c r="K127" s="5">
        <v>0</v>
      </c>
      <c r="L127" s="5">
        <v>0</v>
      </c>
    </row>
    <row r="128" spans="1:12" x14ac:dyDescent="0.3">
      <c r="A128" t="s">
        <v>1890</v>
      </c>
      <c r="B128" t="s">
        <v>2665</v>
      </c>
      <c r="C128" t="s">
        <v>3045</v>
      </c>
      <c r="D128" t="s">
        <v>104</v>
      </c>
      <c r="E128" t="s">
        <v>3043</v>
      </c>
      <c r="F128" t="s">
        <v>3044</v>
      </c>
      <c r="G128" t="s">
        <v>3047</v>
      </c>
      <c r="H128" s="124">
        <v>1</v>
      </c>
      <c r="I128" s="5">
        <v>20000</v>
      </c>
      <c r="J128" s="5">
        <v>15000</v>
      </c>
      <c r="K128" s="5">
        <v>15000</v>
      </c>
      <c r="L128" s="5">
        <v>50000</v>
      </c>
    </row>
    <row r="129" spans="1:12" x14ac:dyDescent="0.3">
      <c r="A129" t="s">
        <v>1890</v>
      </c>
      <c r="B129" t="s">
        <v>2665</v>
      </c>
      <c r="C129" t="s">
        <v>219</v>
      </c>
      <c r="D129" t="s">
        <v>122</v>
      </c>
      <c r="E129" t="s">
        <v>217</v>
      </c>
      <c r="F129" t="s">
        <v>2663</v>
      </c>
      <c r="G129" t="s">
        <v>220</v>
      </c>
      <c r="H129" s="124">
        <v>1</v>
      </c>
      <c r="I129" s="5"/>
      <c r="J129" s="5"/>
      <c r="K129" s="5"/>
      <c r="L129" s="5"/>
    </row>
    <row r="130" spans="1:12" x14ac:dyDescent="0.3">
      <c r="A130" t="s">
        <v>1890</v>
      </c>
      <c r="B130" t="s">
        <v>2823</v>
      </c>
      <c r="C130" t="s">
        <v>2820</v>
      </c>
      <c r="D130" t="s">
        <v>115</v>
      </c>
      <c r="E130" t="s">
        <v>2818</v>
      </c>
      <c r="F130" t="s">
        <v>2819</v>
      </c>
      <c r="G130" t="s">
        <v>2822</v>
      </c>
      <c r="H130" s="124">
        <v>1</v>
      </c>
      <c r="I130" s="5">
        <v>0</v>
      </c>
      <c r="J130" s="5">
        <v>0</v>
      </c>
      <c r="K130" s="5">
        <v>0</v>
      </c>
      <c r="L130" s="5">
        <v>0</v>
      </c>
    </row>
    <row r="131" spans="1:12" x14ac:dyDescent="0.3">
      <c r="A131" t="s">
        <v>1890</v>
      </c>
      <c r="B131" t="s">
        <v>1300</v>
      </c>
      <c r="C131" t="s">
        <v>1297</v>
      </c>
      <c r="D131" t="s">
        <v>122</v>
      </c>
      <c r="E131" t="s">
        <v>1295</v>
      </c>
      <c r="F131" t="s">
        <v>1296</v>
      </c>
      <c r="G131" t="s">
        <v>1299</v>
      </c>
      <c r="H131" s="124">
        <v>1</v>
      </c>
      <c r="I131" s="5">
        <v>20000</v>
      </c>
      <c r="J131" s="5">
        <v>15000</v>
      </c>
      <c r="K131" s="5">
        <v>15000</v>
      </c>
      <c r="L131" s="5">
        <v>50000</v>
      </c>
    </row>
    <row r="132" spans="1:12" x14ac:dyDescent="0.3">
      <c r="A132" t="s">
        <v>1890</v>
      </c>
      <c r="B132" t="s">
        <v>1300</v>
      </c>
      <c r="C132" t="s">
        <v>1360</v>
      </c>
      <c r="D132" t="s">
        <v>110</v>
      </c>
      <c r="E132" t="s">
        <v>1358</v>
      </c>
      <c r="F132" t="s">
        <v>1359</v>
      </c>
      <c r="G132" t="s">
        <v>1362</v>
      </c>
      <c r="H132" s="124">
        <v>1</v>
      </c>
      <c r="I132" s="5">
        <v>0</v>
      </c>
      <c r="J132" s="5">
        <v>0</v>
      </c>
      <c r="K132" s="5">
        <v>0</v>
      </c>
      <c r="L132" s="5">
        <v>0</v>
      </c>
    </row>
    <row r="133" spans="1:12" x14ac:dyDescent="0.3">
      <c r="A133" t="s">
        <v>1890</v>
      </c>
      <c r="B133" t="s">
        <v>1300</v>
      </c>
      <c r="C133" t="s">
        <v>3007</v>
      </c>
      <c r="D133" t="s">
        <v>104</v>
      </c>
      <c r="E133" t="s">
        <v>3005</v>
      </c>
      <c r="F133" t="s">
        <v>3006</v>
      </c>
      <c r="G133" t="s">
        <v>3009</v>
      </c>
      <c r="H133" s="124">
        <v>1</v>
      </c>
      <c r="I133" s="5">
        <v>20000</v>
      </c>
      <c r="J133" s="5">
        <v>15000</v>
      </c>
      <c r="K133" s="5">
        <v>15000</v>
      </c>
      <c r="L133" s="5">
        <v>50000</v>
      </c>
    </row>
    <row r="134" spans="1:12" x14ac:dyDescent="0.3">
      <c r="A134" t="s">
        <v>1890</v>
      </c>
      <c r="B134" t="s">
        <v>1300</v>
      </c>
      <c r="C134" t="s">
        <v>2593</v>
      </c>
      <c r="D134" t="s">
        <v>110</v>
      </c>
      <c r="E134" t="s">
        <v>2591</v>
      </c>
      <c r="F134" t="s">
        <v>2592</v>
      </c>
      <c r="G134" t="s">
        <v>2595</v>
      </c>
      <c r="H134" s="124">
        <v>1</v>
      </c>
      <c r="I134" s="5">
        <v>20000</v>
      </c>
      <c r="J134" s="5">
        <v>15000</v>
      </c>
      <c r="K134" s="5">
        <v>15000</v>
      </c>
      <c r="L134" s="5">
        <v>50000</v>
      </c>
    </row>
    <row r="135" spans="1:12" x14ac:dyDescent="0.3">
      <c r="A135" t="s">
        <v>1890</v>
      </c>
      <c r="B135" t="s">
        <v>1300</v>
      </c>
      <c r="C135" t="s">
        <v>1630</v>
      </c>
      <c r="D135" t="s">
        <v>115</v>
      </c>
      <c r="E135" t="s">
        <v>1628</v>
      </c>
      <c r="F135" t="s">
        <v>1629</v>
      </c>
      <c r="G135" t="s">
        <v>1632</v>
      </c>
      <c r="H135" s="124">
        <v>1</v>
      </c>
      <c r="I135" s="5">
        <v>20000</v>
      </c>
      <c r="J135" s="5">
        <v>15000</v>
      </c>
      <c r="K135" s="5">
        <v>15000</v>
      </c>
      <c r="L135" s="5">
        <v>50000</v>
      </c>
    </row>
    <row r="136" spans="1:12" x14ac:dyDescent="0.3">
      <c r="A136" t="s">
        <v>1890</v>
      </c>
      <c r="B136" t="s">
        <v>1300</v>
      </c>
      <c r="C136" t="s">
        <v>1544</v>
      </c>
      <c r="D136" t="s">
        <v>117</v>
      </c>
      <c r="E136" t="s">
        <v>1542</v>
      </c>
      <c r="F136" t="s">
        <v>1543</v>
      </c>
      <c r="G136" t="s">
        <v>1546</v>
      </c>
      <c r="H136" s="124">
        <v>1</v>
      </c>
      <c r="I136" s="5">
        <v>20000</v>
      </c>
      <c r="J136" s="5">
        <v>16500</v>
      </c>
      <c r="K136" s="5">
        <v>0</v>
      </c>
      <c r="L136" s="5">
        <v>36500</v>
      </c>
    </row>
    <row r="137" spans="1:12" x14ac:dyDescent="0.3">
      <c r="A137" t="s">
        <v>1890</v>
      </c>
      <c r="B137" t="s">
        <v>1300</v>
      </c>
      <c r="C137" t="s">
        <v>2993</v>
      </c>
      <c r="D137" t="s">
        <v>121</v>
      </c>
      <c r="E137" t="s">
        <v>2991</v>
      </c>
      <c r="F137" t="s">
        <v>2992</v>
      </c>
      <c r="G137" t="s">
        <v>2995</v>
      </c>
      <c r="H137" s="124">
        <v>1</v>
      </c>
      <c r="I137" s="5">
        <v>20000</v>
      </c>
      <c r="J137" s="5">
        <v>15000</v>
      </c>
      <c r="K137" s="5">
        <v>15000</v>
      </c>
      <c r="L137" s="5">
        <v>50000</v>
      </c>
    </row>
    <row r="138" spans="1:12" x14ac:dyDescent="0.3">
      <c r="A138" t="s">
        <v>1890</v>
      </c>
      <c r="B138" t="s">
        <v>134</v>
      </c>
      <c r="C138" t="s">
        <v>2682</v>
      </c>
      <c r="D138" t="s">
        <v>117</v>
      </c>
      <c r="E138" t="s">
        <v>544</v>
      </c>
      <c r="F138" t="s">
        <v>543</v>
      </c>
      <c r="G138" t="s">
        <v>2684</v>
      </c>
      <c r="H138" s="124">
        <v>1</v>
      </c>
      <c r="I138" s="5"/>
      <c r="J138" s="5"/>
      <c r="K138" s="5"/>
      <c r="L138" s="5"/>
    </row>
    <row r="139" spans="1:12" x14ac:dyDescent="0.3">
      <c r="A139" t="s">
        <v>1890</v>
      </c>
      <c r="B139" t="s">
        <v>134</v>
      </c>
      <c r="C139" t="s">
        <v>2903</v>
      </c>
      <c r="D139" t="s">
        <v>110</v>
      </c>
      <c r="E139" t="s">
        <v>174</v>
      </c>
      <c r="F139" t="s">
        <v>143</v>
      </c>
      <c r="G139" t="s">
        <v>144</v>
      </c>
      <c r="H139" s="124">
        <v>1</v>
      </c>
      <c r="I139" s="5"/>
      <c r="J139" s="5"/>
      <c r="K139" s="5"/>
      <c r="L139" s="5"/>
    </row>
    <row r="140" spans="1:12" x14ac:dyDescent="0.3">
      <c r="A140" t="s">
        <v>1890</v>
      </c>
      <c r="B140" t="s">
        <v>113</v>
      </c>
      <c r="C140" t="s">
        <v>1902</v>
      </c>
      <c r="D140" t="s">
        <v>110</v>
      </c>
      <c r="E140" t="s">
        <v>1900</v>
      </c>
      <c r="F140" t="s">
        <v>1901</v>
      </c>
      <c r="G140" t="s">
        <v>1904</v>
      </c>
      <c r="H140" s="124">
        <v>1</v>
      </c>
      <c r="I140" s="5">
        <v>20000</v>
      </c>
      <c r="J140" s="5">
        <v>15000</v>
      </c>
      <c r="K140" s="5">
        <v>15000</v>
      </c>
      <c r="L140" s="5">
        <v>50000</v>
      </c>
    </row>
    <row r="141" spans="1:12" x14ac:dyDescent="0.3">
      <c r="A141" t="s">
        <v>1890</v>
      </c>
      <c r="B141" t="s">
        <v>113</v>
      </c>
      <c r="C141" t="s">
        <v>817</v>
      </c>
      <c r="D141" t="s">
        <v>122</v>
      </c>
      <c r="E141" t="s">
        <v>815</v>
      </c>
      <c r="F141" t="s">
        <v>816</v>
      </c>
      <c r="G141" t="s">
        <v>819</v>
      </c>
      <c r="H141" s="124">
        <v>1</v>
      </c>
      <c r="I141" s="5">
        <v>20000</v>
      </c>
      <c r="J141" s="5">
        <v>15000</v>
      </c>
      <c r="K141" s="5">
        <v>15000</v>
      </c>
      <c r="L141" s="5">
        <v>50000</v>
      </c>
    </row>
    <row r="142" spans="1:12" x14ac:dyDescent="0.3">
      <c r="A142" t="s">
        <v>1890</v>
      </c>
      <c r="B142" t="s">
        <v>113</v>
      </c>
      <c r="C142" t="s">
        <v>1024</v>
      </c>
      <c r="D142" t="s">
        <v>104</v>
      </c>
      <c r="E142" t="s">
        <v>1022</v>
      </c>
      <c r="F142" t="s">
        <v>1023</v>
      </c>
      <c r="G142" t="s">
        <v>1026</v>
      </c>
      <c r="H142" s="124">
        <v>1</v>
      </c>
      <c r="I142" s="5">
        <v>20000</v>
      </c>
      <c r="J142" s="5">
        <v>15000</v>
      </c>
      <c r="K142" s="5">
        <v>15000</v>
      </c>
      <c r="L142" s="5">
        <v>50000</v>
      </c>
    </row>
    <row r="143" spans="1:12" x14ac:dyDescent="0.3">
      <c r="A143" t="s">
        <v>1890</v>
      </c>
      <c r="B143" t="s">
        <v>113</v>
      </c>
      <c r="C143" t="s">
        <v>1760</v>
      </c>
      <c r="D143" t="s">
        <v>115</v>
      </c>
      <c r="E143" t="s">
        <v>1758</v>
      </c>
      <c r="F143" t="s">
        <v>1759</v>
      </c>
      <c r="G143" t="s">
        <v>1762</v>
      </c>
      <c r="H143" s="124">
        <v>1</v>
      </c>
      <c r="I143" s="5">
        <v>20000</v>
      </c>
      <c r="J143" s="5">
        <v>15000</v>
      </c>
      <c r="K143" s="5">
        <v>15000</v>
      </c>
      <c r="L143" s="5">
        <v>50000</v>
      </c>
    </row>
    <row r="144" spans="1:12" x14ac:dyDescent="0.3">
      <c r="A144" t="s">
        <v>1890</v>
      </c>
      <c r="B144" t="s">
        <v>113</v>
      </c>
      <c r="C144" t="s">
        <v>783</v>
      </c>
      <c r="D144" t="s">
        <v>121</v>
      </c>
      <c r="E144" t="s">
        <v>781</v>
      </c>
      <c r="F144" t="s">
        <v>782</v>
      </c>
      <c r="G144" t="s">
        <v>785</v>
      </c>
      <c r="H144" s="124">
        <v>1</v>
      </c>
      <c r="I144" s="5">
        <v>20000</v>
      </c>
      <c r="J144" s="5">
        <v>15000</v>
      </c>
      <c r="K144" s="5">
        <v>15000</v>
      </c>
      <c r="L144" s="5">
        <v>50000</v>
      </c>
    </row>
    <row r="145" spans="1:12" x14ac:dyDescent="0.3">
      <c r="A145" t="s">
        <v>1890</v>
      </c>
      <c r="B145" t="s">
        <v>113</v>
      </c>
      <c r="C145" t="s">
        <v>1965</v>
      </c>
      <c r="D145" t="s">
        <v>117</v>
      </c>
      <c r="E145" t="s">
        <v>1963</v>
      </c>
      <c r="F145" t="s">
        <v>1964</v>
      </c>
      <c r="G145" t="s">
        <v>1967</v>
      </c>
      <c r="H145" s="124">
        <v>1</v>
      </c>
      <c r="I145" s="5">
        <v>0</v>
      </c>
      <c r="J145" s="5">
        <v>0</v>
      </c>
      <c r="K145" s="5">
        <v>0</v>
      </c>
      <c r="L145" s="5">
        <v>0</v>
      </c>
    </row>
    <row r="146" spans="1:12" x14ac:dyDescent="0.3">
      <c r="A146" t="s">
        <v>1890</v>
      </c>
      <c r="B146" t="s">
        <v>386</v>
      </c>
      <c r="C146" t="s">
        <v>1644</v>
      </c>
      <c r="D146" t="s">
        <v>121</v>
      </c>
      <c r="E146" t="s">
        <v>1642</v>
      </c>
      <c r="F146" t="s">
        <v>1643</v>
      </c>
      <c r="G146" t="s">
        <v>1646</v>
      </c>
      <c r="H146" s="124">
        <v>1</v>
      </c>
      <c r="I146" s="5">
        <v>20000</v>
      </c>
      <c r="J146" s="5">
        <v>15000</v>
      </c>
      <c r="K146" s="5">
        <v>15000</v>
      </c>
      <c r="L146" s="5">
        <v>50000</v>
      </c>
    </row>
    <row r="147" spans="1:12" x14ac:dyDescent="0.3">
      <c r="A147" t="s">
        <v>1890</v>
      </c>
      <c r="B147" t="s">
        <v>150</v>
      </c>
      <c r="C147" t="s">
        <v>2056</v>
      </c>
      <c r="D147" t="s">
        <v>121</v>
      </c>
      <c r="E147" t="s">
        <v>2054</v>
      </c>
      <c r="F147" t="s">
        <v>2055</v>
      </c>
      <c r="G147" t="s">
        <v>2058</v>
      </c>
      <c r="H147" s="124">
        <v>1</v>
      </c>
      <c r="I147" s="5">
        <v>20000</v>
      </c>
      <c r="J147" s="5">
        <v>15000</v>
      </c>
      <c r="K147" s="5">
        <v>15000</v>
      </c>
      <c r="L147" s="5">
        <v>50000</v>
      </c>
    </row>
    <row r="148" spans="1:12" x14ac:dyDescent="0.3">
      <c r="A148" t="s">
        <v>1890</v>
      </c>
      <c r="B148" t="s">
        <v>150</v>
      </c>
      <c r="C148" t="s">
        <v>2454</v>
      </c>
      <c r="D148" t="s">
        <v>122</v>
      </c>
      <c r="E148" t="s">
        <v>2452</v>
      </c>
      <c r="F148" t="s">
        <v>2453</v>
      </c>
      <c r="G148" t="s">
        <v>2456</v>
      </c>
      <c r="H148" s="124">
        <v>1</v>
      </c>
      <c r="I148" s="5">
        <v>20000</v>
      </c>
      <c r="J148" s="5">
        <v>15000</v>
      </c>
      <c r="K148" s="5">
        <v>15000</v>
      </c>
      <c r="L148" s="5">
        <v>50000</v>
      </c>
    </row>
    <row r="149" spans="1:12" x14ac:dyDescent="0.3">
      <c r="A149" t="s">
        <v>1890</v>
      </c>
      <c r="B149" t="s">
        <v>150</v>
      </c>
      <c r="C149" t="s">
        <v>2064</v>
      </c>
      <c r="D149" t="s">
        <v>122</v>
      </c>
      <c r="E149" t="s">
        <v>2062</v>
      </c>
      <c r="F149" t="s">
        <v>2063</v>
      </c>
      <c r="G149" t="s">
        <v>2066</v>
      </c>
      <c r="H149" s="124">
        <v>1</v>
      </c>
      <c r="I149" s="5">
        <v>20000</v>
      </c>
      <c r="J149" s="5">
        <v>15000</v>
      </c>
      <c r="K149" s="5">
        <v>15000</v>
      </c>
      <c r="L149" s="5">
        <v>50000</v>
      </c>
    </row>
    <row r="150" spans="1:12" x14ac:dyDescent="0.3">
      <c r="A150" t="s">
        <v>1890</v>
      </c>
      <c r="B150" t="s">
        <v>150</v>
      </c>
      <c r="C150" t="s">
        <v>2467</v>
      </c>
      <c r="D150" t="s">
        <v>110</v>
      </c>
      <c r="E150" t="s">
        <v>2465</v>
      </c>
      <c r="F150" t="s">
        <v>2466</v>
      </c>
      <c r="G150" t="s">
        <v>2719</v>
      </c>
      <c r="H150" s="124">
        <v>1</v>
      </c>
      <c r="I150" s="5">
        <v>20000</v>
      </c>
      <c r="J150" s="5">
        <v>15000</v>
      </c>
      <c r="K150" s="5">
        <v>15000</v>
      </c>
      <c r="L150" s="5">
        <v>50000</v>
      </c>
    </row>
    <row r="151" spans="1:12" x14ac:dyDescent="0.3">
      <c r="A151" t="s">
        <v>1890</v>
      </c>
      <c r="B151" t="s">
        <v>150</v>
      </c>
      <c r="C151" t="s">
        <v>2524</v>
      </c>
      <c r="D151" t="s">
        <v>117</v>
      </c>
      <c r="E151" t="s">
        <v>2522</v>
      </c>
      <c r="F151" t="s">
        <v>2523</v>
      </c>
      <c r="G151" t="s">
        <v>2526</v>
      </c>
      <c r="H151" s="124">
        <v>1</v>
      </c>
      <c r="I151" s="5">
        <v>20000</v>
      </c>
      <c r="J151" s="5">
        <v>15000</v>
      </c>
      <c r="K151" s="5">
        <v>15000</v>
      </c>
      <c r="L151" s="5">
        <v>50000</v>
      </c>
    </row>
    <row r="152" spans="1:12" x14ac:dyDescent="0.3">
      <c r="A152" t="s">
        <v>1890</v>
      </c>
      <c r="B152" t="s">
        <v>150</v>
      </c>
      <c r="C152" t="s">
        <v>2441</v>
      </c>
      <c r="D152" t="s">
        <v>121</v>
      </c>
      <c r="E152" t="s">
        <v>2439</v>
      </c>
      <c r="F152" t="s">
        <v>2440</v>
      </c>
      <c r="G152" t="s">
        <v>2443</v>
      </c>
      <c r="H152" s="124">
        <v>1</v>
      </c>
      <c r="I152" s="5">
        <v>20000</v>
      </c>
      <c r="J152" s="5">
        <v>15000</v>
      </c>
      <c r="K152" s="5">
        <v>15000</v>
      </c>
      <c r="L152" s="5">
        <v>50000</v>
      </c>
    </row>
    <row r="153" spans="1:12" x14ac:dyDescent="0.3">
      <c r="A153" t="s">
        <v>1890</v>
      </c>
      <c r="B153" t="s">
        <v>150</v>
      </c>
      <c r="C153" t="s">
        <v>484</v>
      </c>
      <c r="D153" t="s">
        <v>121</v>
      </c>
      <c r="E153" t="s">
        <v>147</v>
      </c>
      <c r="F153" t="s">
        <v>146</v>
      </c>
      <c r="G153" t="s">
        <v>149</v>
      </c>
      <c r="H153" s="124">
        <v>1</v>
      </c>
      <c r="I153" s="5"/>
      <c r="J153" s="5"/>
      <c r="K153" s="5"/>
      <c r="L153" s="5"/>
    </row>
    <row r="154" spans="1:12" x14ac:dyDescent="0.3">
      <c r="A154" t="s">
        <v>1890</v>
      </c>
      <c r="B154" t="s">
        <v>1928</v>
      </c>
      <c r="C154" t="s">
        <v>2020</v>
      </c>
      <c r="D154" t="s">
        <v>117</v>
      </c>
      <c r="E154" t="s">
        <v>2018</v>
      </c>
      <c r="F154" t="s">
        <v>2019</v>
      </c>
      <c r="G154" t="s">
        <v>2022</v>
      </c>
      <c r="H154" s="124">
        <v>1</v>
      </c>
      <c r="I154" s="5">
        <v>6000</v>
      </c>
      <c r="J154" s="5">
        <v>0</v>
      </c>
      <c r="K154" s="5">
        <v>0</v>
      </c>
      <c r="L154" s="5">
        <v>6000</v>
      </c>
    </row>
    <row r="155" spans="1:12" x14ac:dyDescent="0.3">
      <c r="A155" t="s">
        <v>1890</v>
      </c>
      <c r="B155" t="s">
        <v>1928</v>
      </c>
      <c r="C155" t="s">
        <v>1925</v>
      </c>
      <c r="D155" t="s">
        <v>121</v>
      </c>
      <c r="E155" t="s">
        <v>1923</v>
      </c>
      <c r="F155" t="s">
        <v>1924</v>
      </c>
      <c r="G155" t="s">
        <v>1927</v>
      </c>
      <c r="H155" s="124">
        <v>1</v>
      </c>
      <c r="I155" s="5">
        <v>20000</v>
      </c>
      <c r="J155" s="5">
        <v>16500</v>
      </c>
      <c r="K155" s="5">
        <v>0</v>
      </c>
      <c r="L155" s="5">
        <v>36500</v>
      </c>
    </row>
    <row r="156" spans="1:12" x14ac:dyDescent="0.3">
      <c r="A156" t="s">
        <v>1890</v>
      </c>
      <c r="B156" t="s">
        <v>1928</v>
      </c>
      <c r="C156" t="s">
        <v>2239</v>
      </c>
      <c r="D156" t="s">
        <v>122</v>
      </c>
      <c r="E156" t="s">
        <v>2237</v>
      </c>
      <c r="F156" t="s">
        <v>2238</v>
      </c>
      <c r="G156" t="s">
        <v>2241</v>
      </c>
      <c r="H156" s="124">
        <v>1</v>
      </c>
      <c r="I156" s="5">
        <v>20000</v>
      </c>
      <c r="J156" s="5">
        <v>15000</v>
      </c>
      <c r="K156" s="5">
        <v>15000</v>
      </c>
      <c r="L156" s="5">
        <v>50000</v>
      </c>
    </row>
    <row r="157" spans="1:12" x14ac:dyDescent="0.3">
      <c r="A157" t="s">
        <v>1890</v>
      </c>
      <c r="B157" t="s">
        <v>1928</v>
      </c>
      <c r="C157" t="s">
        <v>1944</v>
      </c>
      <c r="D157" t="s">
        <v>110</v>
      </c>
      <c r="E157" t="s">
        <v>1942</v>
      </c>
      <c r="F157" t="s">
        <v>1943</v>
      </c>
      <c r="G157" t="s">
        <v>1946</v>
      </c>
      <c r="H157" s="124">
        <v>1</v>
      </c>
      <c r="I157" s="5">
        <v>20000</v>
      </c>
      <c r="J157" s="5">
        <v>16500</v>
      </c>
      <c r="K157" s="5">
        <v>0</v>
      </c>
      <c r="L157" s="5">
        <v>36500</v>
      </c>
    </row>
    <row r="158" spans="1:12" x14ac:dyDescent="0.3">
      <c r="A158" t="s">
        <v>1890</v>
      </c>
      <c r="B158" t="s">
        <v>1928</v>
      </c>
      <c r="C158" t="s">
        <v>2143</v>
      </c>
      <c r="D158" t="s">
        <v>117</v>
      </c>
      <c r="E158" t="s">
        <v>2141</v>
      </c>
      <c r="F158" t="s">
        <v>2142</v>
      </c>
      <c r="G158" t="s">
        <v>2145</v>
      </c>
      <c r="H158" s="124">
        <v>1</v>
      </c>
      <c r="I158" s="5">
        <v>20000</v>
      </c>
      <c r="J158" s="5">
        <v>16500</v>
      </c>
      <c r="K158" s="5">
        <v>0</v>
      </c>
      <c r="L158" s="5">
        <v>36500</v>
      </c>
    </row>
    <row r="159" spans="1:12" x14ac:dyDescent="0.3">
      <c r="A159" t="s">
        <v>1890</v>
      </c>
      <c r="B159" t="s">
        <v>132</v>
      </c>
      <c r="C159" t="s">
        <v>2580</v>
      </c>
      <c r="D159" t="s">
        <v>104</v>
      </c>
      <c r="E159" t="s">
        <v>2578</v>
      </c>
      <c r="F159" t="s">
        <v>2579</v>
      </c>
      <c r="G159" t="s">
        <v>2582</v>
      </c>
      <c r="H159" s="124">
        <v>1</v>
      </c>
      <c r="I159" s="5">
        <v>20000</v>
      </c>
      <c r="J159" s="5">
        <v>15000</v>
      </c>
      <c r="K159" s="5">
        <v>15000</v>
      </c>
      <c r="L159" s="5">
        <v>50000</v>
      </c>
    </row>
    <row r="160" spans="1:12" x14ac:dyDescent="0.3">
      <c r="A160" t="s">
        <v>1890</v>
      </c>
      <c r="B160" t="s">
        <v>132</v>
      </c>
      <c r="C160" t="s">
        <v>1893</v>
      </c>
      <c r="D160" t="s">
        <v>104</v>
      </c>
      <c r="E160" t="s">
        <v>1891</v>
      </c>
      <c r="F160" t="s">
        <v>1892</v>
      </c>
      <c r="G160" t="s">
        <v>1895</v>
      </c>
      <c r="H160" s="124">
        <v>1</v>
      </c>
      <c r="I160" s="5">
        <v>20000</v>
      </c>
      <c r="J160" s="5">
        <v>15000</v>
      </c>
      <c r="K160" s="5">
        <v>15000</v>
      </c>
      <c r="L160" s="5">
        <v>50000</v>
      </c>
    </row>
    <row r="161" spans="1:12" x14ac:dyDescent="0.3">
      <c r="A161" t="s">
        <v>1890</v>
      </c>
      <c r="B161" t="s">
        <v>132</v>
      </c>
      <c r="C161" t="s">
        <v>2571</v>
      </c>
      <c r="D161" t="s">
        <v>115</v>
      </c>
      <c r="E161" t="s">
        <v>2569</v>
      </c>
      <c r="F161" t="s">
        <v>2570</v>
      </c>
      <c r="G161" t="s">
        <v>2573</v>
      </c>
      <c r="H161" s="124">
        <v>1</v>
      </c>
      <c r="I161" s="5">
        <v>20000</v>
      </c>
      <c r="J161" s="5">
        <v>15000</v>
      </c>
      <c r="K161" s="5">
        <v>15000</v>
      </c>
      <c r="L161" s="5">
        <v>50000</v>
      </c>
    </row>
    <row r="162" spans="1:12" x14ac:dyDescent="0.3">
      <c r="A162" t="s">
        <v>1890</v>
      </c>
      <c r="B162" t="s">
        <v>132</v>
      </c>
      <c r="C162" t="s">
        <v>2983</v>
      </c>
      <c r="D162" t="s">
        <v>110</v>
      </c>
      <c r="E162" t="s">
        <v>388</v>
      </c>
      <c r="F162" t="s">
        <v>389</v>
      </c>
      <c r="G162" t="s">
        <v>469</v>
      </c>
      <c r="H162" s="124">
        <v>1</v>
      </c>
      <c r="I162" s="5"/>
      <c r="J162" s="5"/>
      <c r="K162" s="5"/>
      <c r="L162" s="5"/>
    </row>
    <row r="163" spans="1:12" x14ac:dyDescent="0.3">
      <c r="A163" t="s">
        <v>1890</v>
      </c>
      <c r="B163" t="s">
        <v>132</v>
      </c>
      <c r="C163" t="s">
        <v>1492</v>
      </c>
      <c r="D163" t="s">
        <v>121</v>
      </c>
      <c r="E163" t="s">
        <v>1490</v>
      </c>
      <c r="F163" t="s">
        <v>1491</v>
      </c>
      <c r="G163" t="s">
        <v>1494</v>
      </c>
      <c r="H163" s="124">
        <v>1</v>
      </c>
      <c r="I163" s="5">
        <v>20000</v>
      </c>
      <c r="J163" s="5">
        <v>15000</v>
      </c>
      <c r="K163" s="5">
        <v>15000</v>
      </c>
      <c r="L163" s="5">
        <v>50000</v>
      </c>
    </row>
    <row r="164" spans="1:12" x14ac:dyDescent="0.3">
      <c r="A164" t="s">
        <v>1890</v>
      </c>
      <c r="B164" t="s">
        <v>132</v>
      </c>
      <c r="C164" t="s">
        <v>2895</v>
      </c>
      <c r="D164" t="s">
        <v>104</v>
      </c>
      <c r="E164" t="s">
        <v>2893</v>
      </c>
      <c r="F164" t="s">
        <v>2894</v>
      </c>
      <c r="G164" t="s">
        <v>2897</v>
      </c>
      <c r="H164" s="124">
        <v>1</v>
      </c>
      <c r="I164" s="5"/>
      <c r="J164" s="5"/>
      <c r="K164" s="5"/>
      <c r="L164" s="5"/>
    </row>
    <row r="165" spans="1:12" x14ac:dyDescent="0.3">
      <c r="A165" t="s">
        <v>1890</v>
      </c>
      <c r="B165" t="s">
        <v>132</v>
      </c>
      <c r="C165" t="s">
        <v>2475</v>
      </c>
      <c r="D165" t="s">
        <v>121</v>
      </c>
      <c r="E165" t="s">
        <v>2473</v>
      </c>
      <c r="F165" t="s">
        <v>2474</v>
      </c>
      <c r="G165" t="s">
        <v>2477</v>
      </c>
      <c r="H165" s="124">
        <v>1</v>
      </c>
      <c r="I165" s="5">
        <v>20000</v>
      </c>
      <c r="J165" s="5">
        <v>15000</v>
      </c>
      <c r="K165" s="5">
        <v>15000</v>
      </c>
      <c r="L165" s="5">
        <v>50000</v>
      </c>
    </row>
    <row r="166" spans="1:12" x14ac:dyDescent="0.3">
      <c r="A166" t="s">
        <v>1890</v>
      </c>
      <c r="B166" t="s">
        <v>132</v>
      </c>
      <c r="C166" t="s">
        <v>2199</v>
      </c>
      <c r="D166" t="s">
        <v>104</v>
      </c>
      <c r="E166" t="s">
        <v>2197</v>
      </c>
      <c r="F166" t="s">
        <v>2198</v>
      </c>
      <c r="G166" t="s">
        <v>2201</v>
      </c>
      <c r="H166" s="124">
        <v>1</v>
      </c>
      <c r="I166" s="5">
        <v>20000</v>
      </c>
      <c r="J166" s="5">
        <v>15000</v>
      </c>
      <c r="K166" s="5">
        <v>15000</v>
      </c>
      <c r="L166" s="5">
        <v>50000</v>
      </c>
    </row>
    <row r="167" spans="1:12" x14ac:dyDescent="0.3">
      <c r="A167" t="s">
        <v>1890</v>
      </c>
      <c r="B167" t="s">
        <v>132</v>
      </c>
      <c r="C167" t="s">
        <v>2213</v>
      </c>
      <c r="D167" t="s">
        <v>110</v>
      </c>
      <c r="E167" t="s">
        <v>2211</v>
      </c>
      <c r="F167" t="s">
        <v>2212</v>
      </c>
      <c r="G167" t="s">
        <v>2215</v>
      </c>
      <c r="H167" s="124">
        <v>1</v>
      </c>
      <c r="I167" s="5">
        <v>20000</v>
      </c>
      <c r="J167" s="5">
        <v>15000</v>
      </c>
      <c r="K167" s="5">
        <v>15000</v>
      </c>
      <c r="L167" s="5">
        <v>50000</v>
      </c>
    </row>
    <row r="168" spans="1:12" x14ac:dyDescent="0.3">
      <c r="A168" t="s">
        <v>2807</v>
      </c>
      <c r="B168" t="s">
        <v>2696</v>
      </c>
      <c r="C168" t="s">
        <v>2912</v>
      </c>
      <c r="D168" t="s">
        <v>121</v>
      </c>
      <c r="E168" t="s">
        <v>2910</v>
      </c>
      <c r="F168" t="s">
        <v>2911</v>
      </c>
      <c r="G168" t="s">
        <v>2914</v>
      </c>
      <c r="H168" s="124">
        <v>1</v>
      </c>
      <c r="I168" s="5"/>
      <c r="J168" s="5"/>
      <c r="K168" s="5"/>
      <c r="L168" s="5"/>
    </row>
    <row r="169" spans="1:12" x14ac:dyDescent="0.3">
      <c r="A169" t="s">
        <v>2807</v>
      </c>
      <c r="B169" t="s">
        <v>3055</v>
      </c>
      <c r="C169" t="s">
        <v>2382</v>
      </c>
      <c r="D169" t="s">
        <v>104</v>
      </c>
      <c r="E169" t="s">
        <v>2380</v>
      </c>
      <c r="F169" t="s">
        <v>2381</v>
      </c>
      <c r="G169" t="s">
        <v>2385</v>
      </c>
      <c r="H169" s="124">
        <v>1</v>
      </c>
      <c r="I169" s="5">
        <v>20000</v>
      </c>
      <c r="J169" s="5">
        <v>15000</v>
      </c>
      <c r="K169" s="5">
        <v>15000</v>
      </c>
      <c r="L169" s="5">
        <v>50000</v>
      </c>
    </row>
    <row r="170" spans="1:12" x14ac:dyDescent="0.3">
      <c r="A170" t="s">
        <v>1718</v>
      </c>
      <c r="B170" t="s">
        <v>939</v>
      </c>
      <c r="C170" t="s">
        <v>936</v>
      </c>
      <c r="D170" t="s">
        <v>104</v>
      </c>
      <c r="E170" t="s">
        <v>934</v>
      </c>
      <c r="F170" t="s">
        <v>935</v>
      </c>
      <c r="G170" t="s">
        <v>938</v>
      </c>
      <c r="H170" s="124">
        <v>1</v>
      </c>
      <c r="I170" s="5">
        <v>20000</v>
      </c>
      <c r="J170" s="5">
        <v>15000</v>
      </c>
      <c r="K170" s="5">
        <v>15000</v>
      </c>
      <c r="L170" s="5">
        <v>50000</v>
      </c>
    </row>
    <row r="171" spans="1:12" x14ac:dyDescent="0.3">
      <c r="A171" t="s">
        <v>1718</v>
      </c>
      <c r="B171" t="s">
        <v>2677</v>
      </c>
      <c r="C171" t="s">
        <v>2673</v>
      </c>
      <c r="D171" t="s">
        <v>122</v>
      </c>
      <c r="E171" t="s">
        <v>2671</v>
      </c>
      <c r="F171" t="s">
        <v>2672</v>
      </c>
      <c r="G171" t="s">
        <v>2676</v>
      </c>
      <c r="H171" s="124">
        <v>1</v>
      </c>
      <c r="I171" s="5"/>
      <c r="J171" s="5"/>
      <c r="K171" s="5"/>
      <c r="L171" s="5"/>
    </row>
    <row r="172" spans="1:12" x14ac:dyDescent="0.3">
      <c r="A172" t="s">
        <v>1719</v>
      </c>
      <c r="B172" t="s">
        <v>3054</v>
      </c>
      <c r="C172" t="s">
        <v>921</v>
      </c>
      <c r="D172" t="s">
        <v>104</v>
      </c>
      <c r="E172" t="s">
        <v>919</v>
      </c>
      <c r="F172" t="s">
        <v>920</v>
      </c>
      <c r="G172" t="s">
        <v>924</v>
      </c>
      <c r="H172" s="124">
        <v>1</v>
      </c>
      <c r="I172" s="5">
        <v>0</v>
      </c>
      <c r="J172" s="5">
        <v>0</v>
      </c>
      <c r="K172" s="5">
        <v>0</v>
      </c>
      <c r="L172" s="5">
        <v>0</v>
      </c>
    </row>
    <row r="173" spans="1:12" x14ac:dyDescent="0.3">
      <c r="A173" t="s">
        <v>1719</v>
      </c>
      <c r="B173" t="s">
        <v>3054</v>
      </c>
      <c r="C173" t="s">
        <v>1533</v>
      </c>
      <c r="D173" t="s">
        <v>110</v>
      </c>
      <c r="E173" t="s">
        <v>1531</v>
      </c>
      <c r="F173" t="s">
        <v>1532</v>
      </c>
      <c r="G173" t="s">
        <v>1535</v>
      </c>
      <c r="H173" s="124">
        <v>1</v>
      </c>
      <c r="I173" s="5">
        <v>0</v>
      </c>
      <c r="J173" s="5">
        <v>0</v>
      </c>
      <c r="K173" s="5">
        <v>0</v>
      </c>
      <c r="L173" s="5">
        <v>0</v>
      </c>
    </row>
    <row r="174" spans="1:12" x14ac:dyDescent="0.3">
      <c r="A174" t="s">
        <v>3052</v>
      </c>
      <c r="B174" t="s">
        <v>876</v>
      </c>
      <c r="C174" t="s">
        <v>873</v>
      </c>
      <c r="D174" t="s">
        <v>110</v>
      </c>
      <c r="E174" t="s">
        <v>871</v>
      </c>
      <c r="F174" t="s">
        <v>872</v>
      </c>
      <c r="G174" t="s">
        <v>1562</v>
      </c>
      <c r="H174" s="124">
        <v>1</v>
      </c>
      <c r="I174" s="5">
        <v>20000</v>
      </c>
      <c r="J174" s="5">
        <v>15000</v>
      </c>
      <c r="K174" s="5">
        <v>15000</v>
      </c>
      <c r="L174" s="5">
        <v>50000</v>
      </c>
    </row>
    <row r="175" spans="1:12" x14ac:dyDescent="0.3">
      <c r="A175" t="s">
        <v>3052</v>
      </c>
      <c r="B175" t="s">
        <v>876</v>
      </c>
      <c r="C175" t="s">
        <v>886</v>
      </c>
      <c r="D175" t="s">
        <v>104</v>
      </c>
      <c r="E175" t="s">
        <v>884</v>
      </c>
      <c r="F175" t="s">
        <v>885</v>
      </c>
      <c r="G175" t="s">
        <v>888</v>
      </c>
      <c r="H175" s="124">
        <v>1</v>
      </c>
      <c r="I175" s="5">
        <v>20000</v>
      </c>
      <c r="J175" s="5">
        <v>15000</v>
      </c>
      <c r="K175" s="5">
        <v>15000</v>
      </c>
      <c r="L175" s="5">
        <v>50000</v>
      </c>
    </row>
    <row r="176" spans="1:12" x14ac:dyDescent="0.3">
      <c r="A176" t="s">
        <v>1004</v>
      </c>
      <c r="B176" t="s">
        <v>1003</v>
      </c>
      <c r="C176" t="s">
        <v>1187</v>
      </c>
      <c r="D176" t="s">
        <v>121</v>
      </c>
      <c r="E176" t="s">
        <v>1557</v>
      </c>
      <c r="F176" t="s">
        <v>1186</v>
      </c>
      <c r="G176" t="s">
        <v>1189</v>
      </c>
      <c r="H176" s="124">
        <v>1</v>
      </c>
      <c r="I176" s="5">
        <v>20000</v>
      </c>
      <c r="J176" s="5">
        <v>15000</v>
      </c>
      <c r="K176" s="5">
        <v>15000</v>
      </c>
      <c r="L176" s="5">
        <v>50000</v>
      </c>
    </row>
    <row r="177" spans="1:12" x14ac:dyDescent="0.3">
      <c r="A177" t="s">
        <v>1004</v>
      </c>
      <c r="B177" t="s">
        <v>1003</v>
      </c>
      <c r="C177" t="s">
        <v>999</v>
      </c>
      <c r="D177" t="s">
        <v>122</v>
      </c>
      <c r="E177" t="s">
        <v>1555</v>
      </c>
      <c r="F177" t="s">
        <v>998</v>
      </c>
      <c r="G177" t="s">
        <v>1002</v>
      </c>
      <c r="H177" s="124">
        <v>1</v>
      </c>
      <c r="I177" s="5">
        <v>20000</v>
      </c>
      <c r="J177" s="5">
        <v>15000</v>
      </c>
      <c r="K177" s="5">
        <v>15000</v>
      </c>
      <c r="L177" s="5">
        <v>50000</v>
      </c>
    </row>
    <row r="178" spans="1:12" x14ac:dyDescent="0.3">
      <c r="A178" t="s">
        <v>1004</v>
      </c>
      <c r="B178" t="s">
        <v>1003</v>
      </c>
      <c r="C178" t="s">
        <v>1037</v>
      </c>
      <c r="D178" t="s">
        <v>122</v>
      </c>
      <c r="E178" t="s">
        <v>1035</v>
      </c>
      <c r="F178" t="s">
        <v>1036</v>
      </c>
      <c r="G178" t="s">
        <v>1040</v>
      </c>
      <c r="H178" s="124">
        <v>1</v>
      </c>
      <c r="I178" s="5">
        <v>20000</v>
      </c>
      <c r="J178" s="5">
        <v>15000</v>
      </c>
      <c r="K178" s="5">
        <v>15000</v>
      </c>
      <c r="L178" s="5">
        <v>50000</v>
      </c>
    </row>
    <row r="179" spans="1:12" x14ac:dyDescent="0.3">
      <c r="A179" t="s">
        <v>1004</v>
      </c>
      <c r="B179" t="s">
        <v>1003</v>
      </c>
      <c r="C179" t="s">
        <v>1290</v>
      </c>
      <c r="D179" t="s">
        <v>122</v>
      </c>
      <c r="E179" t="s">
        <v>1288</v>
      </c>
      <c r="F179" t="s">
        <v>1289</v>
      </c>
      <c r="G179" t="s">
        <v>1292</v>
      </c>
      <c r="H179" s="124">
        <v>1</v>
      </c>
      <c r="I179" s="5">
        <v>20000</v>
      </c>
      <c r="J179" s="5">
        <v>15000</v>
      </c>
      <c r="K179" s="5">
        <v>15000</v>
      </c>
      <c r="L179" s="5">
        <v>50000</v>
      </c>
    </row>
    <row r="180" spans="1:12" x14ac:dyDescent="0.3">
      <c r="A180" t="s">
        <v>1004</v>
      </c>
      <c r="B180" t="s">
        <v>1003</v>
      </c>
      <c r="C180" t="s">
        <v>1047</v>
      </c>
      <c r="D180" t="s">
        <v>122</v>
      </c>
      <c r="E180" t="s">
        <v>1045</v>
      </c>
      <c r="F180" t="s">
        <v>1046</v>
      </c>
      <c r="G180" t="s">
        <v>1049</v>
      </c>
      <c r="H180" s="124">
        <v>1</v>
      </c>
      <c r="I180" s="5">
        <v>20000</v>
      </c>
      <c r="J180" s="5">
        <v>15000</v>
      </c>
      <c r="K180" s="5">
        <v>15000</v>
      </c>
      <c r="L180" s="5">
        <v>50000</v>
      </c>
    </row>
    <row r="181" spans="1:12" x14ac:dyDescent="0.3">
      <c r="A181" t="s">
        <v>1004</v>
      </c>
      <c r="B181" t="s">
        <v>1003</v>
      </c>
      <c r="C181" t="s">
        <v>1382</v>
      </c>
      <c r="D181" t="s">
        <v>115</v>
      </c>
      <c r="E181" t="s">
        <v>1380</v>
      </c>
      <c r="F181" t="s">
        <v>1381</v>
      </c>
      <c r="G181" t="s">
        <v>1384</v>
      </c>
      <c r="H181" s="124">
        <v>1</v>
      </c>
      <c r="I181" s="5">
        <v>20000</v>
      </c>
      <c r="J181" s="5">
        <v>15000</v>
      </c>
      <c r="K181" s="5">
        <v>15000</v>
      </c>
      <c r="L181" s="5">
        <v>50000</v>
      </c>
    </row>
    <row r="182" spans="1:12" x14ac:dyDescent="0.3">
      <c r="A182" t="s">
        <v>1004</v>
      </c>
      <c r="B182" t="s">
        <v>1003</v>
      </c>
      <c r="C182" t="s">
        <v>1067</v>
      </c>
      <c r="D182" t="s">
        <v>117</v>
      </c>
      <c r="E182" t="s">
        <v>1065</v>
      </c>
      <c r="F182" t="s">
        <v>1066</v>
      </c>
      <c r="G182" t="s">
        <v>1563</v>
      </c>
      <c r="H182" s="124">
        <v>1</v>
      </c>
      <c r="I182" s="5">
        <v>20000</v>
      </c>
      <c r="J182" s="5">
        <v>15000</v>
      </c>
      <c r="K182" s="5">
        <v>15000</v>
      </c>
      <c r="L182" s="5">
        <v>50000</v>
      </c>
    </row>
    <row r="183" spans="1:12" x14ac:dyDescent="0.3">
      <c r="A183" t="s">
        <v>1004</v>
      </c>
      <c r="B183" t="s">
        <v>1003</v>
      </c>
      <c r="C183" t="s">
        <v>1013</v>
      </c>
      <c r="D183" t="s">
        <v>117</v>
      </c>
      <c r="E183" t="s">
        <v>1556</v>
      </c>
      <c r="F183" t="s">
        <v>1012</v>
      </c>
      <c r="G183" t="s">
        <v>1015</v>
      </c>
      <c r="H183" s="124">
        <v>1</v>
      </c>
      <c r="I183" s="5">
        <v>20000</v>
      </c>
      <c r="J183" s="5">
        <v>15000</v>
      </c>
      <c r="K183" s="5">
        <v>15000</v>
      </c>
      <c r="L183" s="5">
        <v>50000</v>
      </c>
    </row>
    <row r="184" spans="1:12" x14ac:dyDescent="0.3">
      <c r="A184" t="s">
        <v>1004</v>
      </c>
      <c r="B184" t="s">
        <v>1003</v>
      </c>
      <c r="C184" t="s">
        <v>1318</v>
      </c>
      <c r="D184" t="s">
        <v>115</v>
      </c>
      <c r="E184" t="s">
        <v>1316</v>
      </c>
      <c r="F184" t="s">
        <v>1317</v>
      </c>
      <c r="G184" t="s">
        <v>1320</v>
      </c>
      <c r="H184" s="124">
        <v>1</v>
      </c>
      <c r="I184" s="5">
        <v>20000</v>
      </c>
      <c r="J184" s="5">
        <v>15000</v>
      </c>
      <c r="K184" s="5">
        <v>15000</v>
      </c>
      <c r="L184" s="5">
        <v>50000</v>
      </c>
    </row>
    <row r="185" spans="1:12" x14ac:dyDescent="0.3">
      <c r="A185" t="s">
        <v>1004</v>
      </c>
      <c r="B185" t="s">
        <v>1003</v>
      </c>
      <c r="C185" t="s">
        <v>2957</v>
      </c>
      <c r="D185" t="s">
        <v>117</v>
      </c>
      <c r="E185" t="s">
        <v>2955</v>
      </c>
      <c r="F185" t="s">
        <v>2956</v>
      </c>
      <c r="G185" t="s">
        <v>2958</v>
      </c>
      <c r="H185" s="124">
        <v>1</v>
      </c>
      <c r="I185" s="5"/>
      <c r="J185" s="5"/>
      <c r="K185" s="5"/>
      <c r="L185" s="5"/>
    </row>
    <row r="186" spans="1:12" x14ac:dyDescent="0.3">
      <c r="A186" t="s">
        <v>1004</v>
      </c>
      <c r="B186" t="s">
        <v>1003</v>
      </c>
      <c r="C186" t="s">
        <v>1099</v>
      </c>
      <c r="D186" t="s">
        <v>104</v>
      </c>
      <c r="E186" t="s">
        <v>1097</v>
      </c>
      <c r="F186" t="s">
        <v>1098</v>
      </c>
      <c r="G186" t="s">
        <v>1101</v>
      </c>
      <c r="H186" s="124">
        <v>1</v>
      </c>
      <c r="I186" s="5">
        <v>0</v>
      </c>
      <c r="J186" s="5">
        <v>0</v>
      </c>
      <c r="K186" s="5">
        <v>0</v>
      </c>
      <c r="L186" s="5">
        <v>0</v>
      </c>
    </row>
    <row r="187" spans="1:12" x14ac:dyDescent="0.3">
      <c r="A187" t="s">
        <v>1004</v>
      </c>
      <c r="B187" t="s">
        <v>692</v>
      </c>
      <c r="C187" t="s">
        <v>1342</v>
      </c>
      <c r="D187" t="s">
        <v>117</v>
      </c>
      <c r="E187" t="s">
        <v>1340</v>
      </c>
      <c r="F187" t="s">
        <v>1341</v>
      </c>
      <c r="G187" t="s">
        <v>1344</v>
      </c>
      <c r="H187" s="124">
        <v>1</v>
      </c>
      <c r="I187" s="5">
        <v>20000</v>
      </c>
      <c r="J187" s="5">
        <v>16500</v>
      </c>
      <c r="K187" s="5">
        <v>0</v>
      </c>
      <c r="L187" s="5">
        <v>36500</v>
      </c>
    </row>
    <row r="188" spans="1:12" x14ac:dyDescent="0.3">
      <c r="A188" t="s">
        <v>1004</v>
      </c>
      <c r="B188" t="s">
        <v>692</v>
      </c>
      <c r="C188" t="s">
        <v>2116</v>
      </c>
      <c r="D188" t="s">
        <v>110</v>
      </c>
      <c r="E188" t="s">
        <v>2114</v>
      </c>
      <c r="F188" t="s">
        <v>2115</v>
      </c>
      <c r="G188" t="s">
        <v>2118</v>
      </c>
      <c r="H188" s="124">
        <v>1</v>
      </c>
      <c r="I188" s="5">
        <v>20000</v>
      </c>
      <c r="J188" s="5">
        <v>15000</v>
      </c>
      <c r="K188" s="5">
        <v>15000</v>
      </c>
      <c r="L188" s="5">
        <v>50000</v>
      </c>
    </row>
    <row r="189" spans="1:12" x14ac:dyDescent="0.3">
      <c r="A189" t="s">
        <v>1004</v>
      </c>
      <c r="B189" t="s">
        <v>692</v>
      </c>
      <c r="C189" t="s">
        <v>2108</v>
      </c>
      <c r="D189" t="s">
        <v>104</v>
      </c>
      <c r="E189" t="s">
        <v>2106</v>
      </c>
      <c r="F189" t="s">
        <v>2107</v>
      </c>
      <c r="G189" t="s">
        <v>2110</v>
      </c>
      <c r="H189" s="124">
        <v>1</v>
      </c>
      <c r="I189" s="5">
        <v>20000</v>
      </c>
      <c r="J189" s="5">
        <v>16500</v>
      </c>
      <c r="K189" s="5">
        <v>0</v>
      </c>
      <c r="L189" s="5">
        <v>36500</v>
      </c>
    </row>
    <row r="190" spans="1:12" x14ac:dyDescent="0.3">
      <c r="A190" t="s">
        <v>1004</v>
      </c>
      <c r="B190" t="s">
        <v>692</v>
      </c>
      <c r="C190" t="s">
        <v>688</v>
      </c>
      <c r="D190" t="s">
        <v>110</v>
      </c>
      <c r="E190" t="s">
        <v>686</v>
      </c>
      <c r="F190" t="s">
        <v>687</v>
      </c>
      <c r="G190" t="s">
        <v>1858</v>
      </c>
      <c r="H190" s="124">
        <v>1</v>
      </c>
      <c r="I190" s="5"/>
      <c r="J190" s="5"/>
      <c r="K190" s="5"/>
      <c r="L190" s="5"/>
    </row>
    <row r="191" spans="1:12" x14ac:dyDescent="0.3">
      <c r="A191" t="s">
        <v>1004</v>
      </c>
      <c r="B191" t="s">
        <v>692</v>
      </c>
      <c r="C191" t="s">
        <v>2089</v>
      </c>
      <c r="D191" t="s">
        <v>117</v>
      </c>
      <c r="E191" t="s">
        <v>2087</v>
      </c>
      <c r="F191" t="s">
        <v>2088</v>
      </c>
      <c r="G191" t="s">
        <v>2091</v>
      </c>
      <c r="H191" s="124">
        <v>1</v>
      </c>
      <c r="I191" s="5">
        <v>0</v>
      </c>
      <c r="J191" s="5">
        <v>0</v>
      </c>
      <c r="K191" s="5">
        <v>0</v>
      </c>
      <c r="L191" s="5">
        <v>0</v>
      </c>
    </row>
    <row r="192" spans="1:12" x14ac:dyDescent="0.3">
      <c r="A192" t="s">
        <v>1004</v>
      </c>
      <c r="B192" t="s">
        <v>692</v>
      </c>
      <c r="C192" t="s">
        <v>2347</v>
      </c>
      <c r="D192" t="s">
        <v>104</v>
      </c>
      <c r="E192" t="s">
        <v>2346</v>
      </c>
      <c r="F192" t="s">
        <v>3031</v>
      </c>
      <c r="G192" t="s">
        <v>2349</v>
      </c>
      <c r="H192" s="124">
        <v>1</v>
      </c>
      <c r="I192" s="5">
        <v>0</v>
      </c>
      <c r="J192" s="5">
        <v>0</v>
      </c>
      <c r="K192" s="5">
        <v>0</v>
      </c>
      <c r="L192" s="5">
        <v>0</v>
      </c>
    </row>
    <row r="193" spans="1:12" x14ac:dyDescent="0.3">
      <c r="A193" t="s">
        <v>1004</v>
      </c>
      <c r="B193" t="s">
        <v>692</v>
      </c>
      <c r="C193" t="s">
        <v>1391</v>
      </c>
      <c r="D193" t="s">
        <v>122</v>
      </c>
      <c r="E193" t="s">
        <v>1389</v>
      </c>
      <c r="F193" t="s">
        <v>1390</v>
      </c>
      <c r="G193" t="s">
        <v>1566</v>
      </c>
      <c r="H193" s="124">
        <v>1</v>
      </c>
      <c r="I193" s="5">
        <v>20000</v>
      </c>
      <c r="J193" s="5">
        <v>16500</v>
      </c>
      <c r="K193" s="5">
        <v>0</v>
      </c>
      <c r="L193" s="5">
        <v>36500</v>
      </c>
    </row>
    <row r="194" spans="1:12" x14ac:dyDescent="0.3">
      <c r="A194" t="s">
        <v>1004</v>
      </c>
      <c r="B194" t="s">
        <v>692</v>
      </c>
      <c r="C194" t="s">
        <v>1371</v>
      </c>
      <c r="D194" t="s">
        <v>117</v>
      </c>
      <c r="E194" t="s">
        <v>1369</v>
      </c>
      <c r="F194" t="s">
        <v>1370</v>
      </c>
      <c r="G194" t="s">
        <v>1373</v>
      </c>
      <c r="H194" s="124">
        <v>1</v>
      </c>
      <c r="I194" s="5">
        <v>20000</v>
      </c>
      <c r="J194" s="5">
        <v>16500</v>
      </c>
      <c r="K194" s="5">
        <v>0</v>
      </c>
      <c r="L194" s="5">
        <v>36500</v>
      </c>
    </row>
    <row r="195" spans="1:12" x14ac:dyDescent="0.3">
      <c r="A195" t="s">
        <v>1004</v>
      </c>
      <c r="B195" t="s">
        <v>692</v>
      </c>
      <c r="C195" t="s">
        <v>1955</v>
      </c>
      <c r="D195" t="s">
        <v>110</v>
      </c>
      <c r="E195" t="s">
        <v>1953</v>
      </c>
      <c r="F195" t="s">
        <v>1954</v>
      </c>
      <c r="G195" t="s">
        <v>1957</v>
      </c>
      <c r="H195" s="124">
        <v>1</v>
      </c>
      <c r="I195" s="5">
        <v>20000</v>
      </c>
      <c r="J195" s="5">
        <v>15000</v>
      </c>
      <c r="K195" s="5">
        <v>15000</v>
      </c>
      <c r="L195" s="5">
        <v>50000</v>
      </c>
    </row>
    <row r="196" spans="1:12" x14ac:dyDescent="0.3">
      <c r="A196" t="s">
        <v>1004</v>
      </c>
      <c r="B196" t="s">
        <v>692</v>
      </c>
      <c r="C196" t="s">
        <v>1408</v>
      </c>
      <c r="D196" t="s">
        <v>115</v>
      </c>
      <c r="E196" t="s">
        <v>1406</v>
      </c>
      <c r="F196" t="s">
        <v>1407</v>
      </c>
      <c r="G196" t="s">
        <v>1410</v>
      </c>
      <c r="H196" s="124">
        <v>1</v>
      </c>
      <c r="I196" s="5">
        <v>20000</v>
      </c>
      <c r="J196" s="5">
        <v>16500</v>
      </c>
      <c r="K196" s="5">
        <v>0</v>
      </c>
      <c r="L196" s="5">
        <v>36500</v>
      </c>
    </row>
    <row r="197" spans="1:12" x14ac:dyDescent="0.3">
      <c r="A197" t="s">
        <v>1004</v>
      </c>
      <c r="B197" t="s">
        <v>692</v>
      </c>
      <c r="C197" t="s">
        <v>2079</v>
      </c>
      <c r="D197" t="s">
        <v>115</v>
      </c>
      <c r="E197" t="s">
        <v>2077</v>
      </c>
      <c r="F197" t="s">
        <v>2078</v>
      </c>
      <c r="G197" t="s">
        <v>2081</v>
      </c>
      <c r="H197" s="124">
        <v>1</v>
      </c>
      <c r="I197" s="5">
        <v>20000</v>
      </c>
      <c r="J197" s="5">
        <v>15000</v>
      </c>
      <c r="K197" s="5">
        <v>15000</v>
      </c>
      <c r="L197" s="5">
        <v>50000</v>
      </c>
    </row>
    <row r="198" spans="1:12" x14ac:dyDescent="0.3">
      <c r="A198" t="s">
        <v>1004</v>
      </c>
      <c r="B198" t="s">
        <v>692</v>
      </c>
      <c r="C198" t="s">
        <v>1398</v>
      </c>
      <c r="D198" t="s">
        <v>117</v>
      </c>
      <c r="E198" t="s">
        <v>1396</v>
      </c>
      <c r="F198" t="s">
        <v>1397</v>
      </c>
      <c r="G198" t="s">
        <v>1400</v>
      </c>
      <c r="H198" s="124">
        <v>1</v>
      </c>
      <c r="I198" s="5">
        <v>20000</v>
      </c>
      <c r="J198" s="5">
        <v>16500</v>
      </c>
      <c r="K198" s="5">
        <v>0</v>
      </c>
      <c r="L198" s="5">
        <v>36500</v>
      </c>
    </row>
    <row r="199" spans="1:12" x14ac:dyDescent="0.3">
      <c r="A199" t="s">
        <v>1004</v>
      </c>
      <c r="B199" t="s">
        <v>692</v>
      </c>
      <c r="C199" t="s">
        <v>1417</v>
      </c>
      <c r="D199" t="s">
        <v>115</v>
      </c>
      <c r="E199" t="s">
        <v>1415</v>
      </c>
      <c r="F199" t="s">
        <v>1416</v>
      </c>
      <c r="G199" t="s">
        <v>1419</v>
      </c>
      <c r="H199" s="124">
        <v>1</v>
      </c>
      <c r="I199" s="5">
        <v>20000</v>
      </c>
      <c r="J199" s="5">
        <v>16500</v>
      </c>
      <c r="K199" s="5">
        <v>0</v>
      </c>
      <c r="L199" s="5">
        <v>36500</v>
      </c>
    </row>
    <row r="200" spans="1:12" x14ac:dyDescent="0.3">
      <c r="A200" t="s">
        <v>1004</v>
      </c>
      <c r="B200" t="s">
        <v>692</v>
      </c>
      <c r="C200" t="s">
        <v>2324</v>
      </c>
      <c r="D200" t="s">
        <v>121</v>
      </c>
      <c r="E200" t="s">
        <v>2322</v>
      </c>
      <c r="F200" t="s">
        <v>2323</v>
      </c>
      <c r="G200" t="s">
        <v>2326</v>
      </c>
      <c r="H200" s="124">
        <v>1</v>
      </c>
      <c r="I200" s="5">
        <v>20000</v>
      </c>
      <c r="J200" s="5">
        <v>15000</v>
      </c>
      <c r="K200" s="5">
        <v>15000</v>
      </c>
      <c r="L200" s="5">
        <v>50000</v>
      </c>
    </row>
    <row r="201" spans="1:12" x14ac:dyDescent="0.3">
      <c r="A201" t="s">
        <v>1004</v>
      </c>
      <c r="B201" t="s">
        <v>692</v>
      </c>
      <c r="C201" t="s">
        <v>2563</v>
      </c>
      <c r="D201" t="s">
        <v>104</v>
      </c>
      <c r="E201" t="s">
        <v>2561</v>
      </c>
      <c r="F201" t="s">
        <v>2562</v>
      </c>
      <c r="G201" t="s">
        <v>2565</v>
      </c>
      <c r="H201" s="124">
        <v>1</v>
      </c>
      <c r="I201" s="5">
        <v>20000</v>
      </c>
      <c r="J201" s="5">
        <v>15000</v>
      </c>
      <c r="K201" s="5">
        <v>15000</v>
      </c>
      <c r="L201" s="5">
        <v>50000</v>
      </c>
    </row>
    <row r="202" spans="1:12" x14ac:dyDescent="0.3">
      <c r="A202" t="s">
        <v>1004</v>
      </c>
      <c r="B202" t="s">
        <v>1476</v>
      </c>
      <c r="C202" t="s">
        <v>1473</v>
      </c>
      <c r="D202" t="s">
        <v>110</v>
      </c>
      <c r="E202" t="s">
        <v>1471</v>
      </c>
      <c r="F202" t="s">
        <v>1472</v>
      </c>
      <c r="G202" t="s">
        <v>1475</v>
      </c>
      <c r="H202" s="124">
        <v>1</v>
      </c>
      <c r="I202" s="5">
        <v>20000</v>
      </c>
      <c r="J202" s="5">
        <v>15000</v>
      </c>
      <c r="K202" s="5">
        <v>15000</v>
      </c>
      <c r="L202" s="5">
        <v>50000</v>
      </c>
    </row>
    <row r="203" spans="1:12" x14ac:dyDescent="0.3">
      <c r="A203" t="s">
        <v>1004</v>
      </c>
      <c r="B203" t="s">
        <v>1476</v>
      </c>
      <c r="C203" t="s">
        <v>2553</v>
      </c>
      <c r="D203" t="s">
        <v>104</v>
      </c>
      <c r="E203" t="s">
        <v>2551</v>
      </c>
      <c r="F203" t="s">
        <v>2552</v>
      </c>
      <c r="G203" t="s">
        <v>2555</v>
      </c>
      <c r="H203" s="124">
        <v>1</v>
      </c>
      <c r="I203" s="5">
        <v>0</v>
      </c>
      <c r="J203" s="5">
        <v>0</v>
      </c>
      <c r="K203" s="5">
        <v>0</v>
      </c>
      <c r="L203" s="5">
        <v>0</v>
      </c>
    </row>
    <row r="204" spans="1:12" x14ac:dyDescent="0.3">
      <c r="A204" t="s">
        <v>1004</v>
      </c>
      <c r="B204" t="s">
        <v>1476</v>
      </c>
      <c r="C204" t="s">
        <v>2810</v>
      </c>
      <c r="D204" t="s">
        <v>104</v>
      </c>
      <c r="E204" t="s">
        <v>2808</v>
      </c>
      <c r="F204" t="s">
        <v>2809</v>
      </c>
      <c r="G204" t="s">
        <v>2812</v>
      </c>
      <c r="H204" s="124">
        <v>1</v>
      </c>
      <c r="I204" s="5">
        <v>20000</v>
      </c>
      <c r="J204" s="5">
        <v>15000</v>
      </c>
      <c r="K204" s="5">
        <v>15000</v>
      </c>
      <c r="L204" s="5">
        <v>50000</v>
      </c>
    </row>
    <row r="205" spans="1:12" x14ac:dyDescent="0.3">
      <c r="A205" t="s">
        <v>1004</v>
      </c>
      <c r="B205" t="s">
        <v>1476</v>
      </c>
      <c r="C205" t="s">
        <v>1992</v>
      </c>
      <c r="D205" t="s">
        <v>117</v>
      </c>
      <c r="E205" t="s">
        <v>1990</v>
      </c>
      <c r="F205" t="s">
        <v>1991</v>
      </c>
      <c r="G205" t="s">
        <v>1994</v>
      </c>
      <c r="H205" s="124">
        <v>1</v>
      </c>
      <c r="I205" s="5"/>
      <c r="J205" s="5"/>
      <c r="K205" s="5"/>
      <c r="L205" s="5"/>
    </row>
    <row r="206" spans="1:12" x14ac:dyDescent="0.3">
      <c r="A206" t="s">
        <v>1004</v>
      </c>
      <c r="B206" t="s">
        <v>1476</v>
      </c>
      <c r="C206" t="s">
        <v>2154</v>
      </c>
      <c r="D206" t="s">
        <v>117</v>
      </c>
      <c r="E206" t="s">
        <v>2152</v>
      </c>
      <c r="F206" t="s">
        <v>2153</v>
      </c>
      <c r="G206" t="s">
        <v>2156</v>
      </c>
      <c r="H206" s="124">
        <v>1</v>
      </c>
      <c r="I206" s="5"/>
      <c r="J206" s="5"/>
      <c r="K206" s="5"/>
      <c r="L206" s="5"/>
    </row>
    <row r="207" spans="1:12" x14ac:dyDescent="0.3">
      <c r="A207" t="s">
        <v>1004</v>
      </c>
      <c r="B207" t="s">
        <v>235</v>
      </c>
      <c r="C207" t="s">
        <v>2485</v>
      </c>
      <c r="D207" t="s">
        <v>122</v>
      </c>
      <c r="E207" t="s">
        <v>2483</v>
      </c>
      <c r="F207" t="s">
        <v>2484</v>
      </c>
      <c r="G207" t="s">
        <v>2487</v>
      </c>
      <c r="H207" s="124">
        <v>1</v>
      </c>
      <c r="I207" s="5">
        <v>20000</v>
      </c>
      <c r="J207" s="5">
        <v>15000</v>
      </c>
      <c r="K207" s="5">
        <v>15000</v>
      </c>
      <c r="L207" s="5">
        <v>50000</v>
      </c>
    </row>
    <row r="208" spans="1:12" x14ac:dyDescent="0.3">
      <c r="A208" t="s">
        <v>1004</v>
      </c>
      <c r="B208" t="s">
        <v>235</v>
      </c>
      <c r="C208" t="s">
        <v>2732</v>
      </c>
      <c r="D208" t="s">
        <v>121</v>
      </c>
      <c r="E208" t="s">
        <v>2730</v>
      </c>
      <c r="F208" t="s">
        <v>2731</v>
      </c>
      <c r="G208" t="s">
        <v>2734</v>
      </c>
      <c r="H208" s="124">
        <v>1</v>
      </c>
      <c r="I208" s="5">
        <v>20000</v>
      </c>
      <c r="J208" s="5">
        <v>15000</v>
      </c>
      <c r="K208" s="5">
        <v>15000</v>
      </c>
      <c r="L208" s="5">
        <v>50000</v>
      </c>
    </row>
    <row r="209" spans="1:12" x14ac:dyDescent="0.3">
      <c r="A209" t="s">
        <v>1004</v>
      </c>
      <c r="B209" t="s">
        <v>235</v>
      </c>
      <c r="C209" t="s">
        <v>230</v>
      </c>
      <c r="D209" t="s">
        <v>117</v>
      </c>
      <c r="E209" t="s">
        <v>228</v>
      </c>
      <c r="F209" t="s">
        <v>229</v>
      </c>
      <c r="G209" t="s">
        <v>232</v>
      </c>
      <c r="H209" s="124">
        <v>1</v>
      </c>
      <c r="I209" s="5"/>
      <c r="J209" s="5"/>
      <c r="K209" s="5"/>
      <c r="L209" s="5"/>
    </row>
    <row r="210" spans="1:12" x14ac:dyDescent="0.3">
      <c r="A210" t="s">
        <v>1004</v>
      </c>
      <c r="B210" t="s">
        <v>2712</v>
      </c>
      <c r="C210" t="s">
        <v>2864</v>
      </c>
      <c r="D210" t="s">
        <v>115</v>
      </c>
      <c r="E210" t="s">
        <v>2862</v>
      </c>
      <c r="F210" t="s">
        <v>2863</v>
      </c>
      <c r="G210" t="s">
        <v>2866</v>
      </c>
      <c r="H210" s="124">
        <v>1</v>
      </c>
      <c r="I210" s="5">
        <v>20000</v>
      </c>
      <c r="J210" s="5">
        <v>15000</v>
      </c>
      <c r="K210" s="5">
        <v>15000</v>
      </c>
      <c r="L210" s="5">
        <v>50000</v>
      </c>
    </row>
    <row r="211" spans="1:12" x14ac:dyDescent="0.3">
      <c r="A211" t="s">
        <v>1004</v>
      </c>
      <c r="B211" t="s">
        <v>2712</v>
      </c>
      <c r="C211" t="s">
        <v>2709</v>
      </c>
      <c r="D211" t="s">
        <v>117</v>
      </c>
      <c r="E211" t="s">
        <v>2707</v>
      </c>
      <c r="F211" t="s">
        <v>2708</v>
      </c>
      <c r="G211" t="s">
        <v>2711</v>
      </c>
      <c r="H211" s="124">
        <v>1</v>
      </c>
      <c r="I211" s="5">
        <v>20000</v>
      </c>
      <c r="J211" s="5">
        <v>15000</v>
      </c>
      <c r="K211" s="5">
        <v>15000</v>
      </c>
      <c r="L211" s="5">
        <v>50000</v>
      </c>
    </row>
    <row r="212" spans="1:12" x14ac:dyDescent="0.3">
      <c r="A212" t="s">
        <v>1004</v>
      </c>
      <c r="B212" t="s">
        <v>2712</v>
      </c>
      <c r="C212" t="s">
        <v>2751</v>
      </c>
      <c r="D212" t="s">
        <v>122</v>
      </c>
      <c r="E212" t="s">
        <v>2749</v>
      </c>
      <c r="F212" t="s">
        <v>2750</v>
      </c>
      <c r="G212" t="s">
        <v>2753</v>
      </c>
      <c r="H212" s="124">
        <v>1</v>
      </c>
      <c r="I212" s="5">
        <v>0</v>
      </c>
      <c r="J212" s="5">
        <v>0</v>
      </c>
      <c r="K212" s="5">
        <v>0</v>
      </c>
      <c r="L212" s="5">
        <v>0</v>
      </c>
    </row>
    <row r="213" spans="1:12" x14ac:dyDescent="0.3">
      <c r="A213" t="s">
        <v>717</v>
      </c>
      <c r="B213" t="s">
        <v>717</v>
      </c>
      <c r="C213" t="s">
        <v>717</v>
      </c>
      <c r="D213" t="s">
        <v>717</v>
      </c>
      <c r="E213" t="s">
        <v>717</v>
      </c>
      <c r="F213" t="s">
        <v>717</v>
      </c>
      <c r="G213" t="s">
        <v>717</v>
      </c>
      <c r="H213" s="124"/>
      <c r="I213" s="5">
        <v>0</v>
      </c>
      <c r="J213" s="5">
        <v>0</v>
      </c>
      <c r="K213" s="5">
        <v>0</v>
      </c>
      <c r="L213" s="5">
        <v>0</v>
      </c>
    </row>
    <row r="214" spans="1:12" x14ac:dyDescent="0.3">
      <c r="A214" t="s">
        <v>182</v>
      </c>
      <c r="H214" s="124">
        <v>207</v>
      </c>
      <c r="I214" s="5">
        <v>2881000</v>
      </c>
      <c r="J214" s="5">
        <v>2181000</v>
      </c>
      <c r="K214" s="5">
        <v>1620000</v>
      </c>
      <c r="L214" s="5">
        <v>6682000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F1A80-31C8-4729-AC15-653491A82F5B}">
  <sheetPr codeName="Hoja21">
    <tabColor rgb="FF0070C0"/>
  </sheetPr>
  <dimension ref="A1:E145"/>
  <sheetViews>
    <sheetView workbookViewId="0">
      <selection activeCell="D11" sqref="D11"/>
    </sheetView>
  </sheetViews>
  <sheetFormatPr baseColWidth="10" defaultRowHeight="14.4" x14ac:dyDescent="0.3"/>
  <cols>
    <col min="1" max="1" width="44.6640625" bestFit="1" customWidth="1"/>
    <col min="2" max="2" width="36.6640625" bestFit="1" customWidth="1"/>
    <col min="3" max="5" width="11.6640625" bestFit="1" customWidth="1"/>
  </cols>
  <sheetData>
    <row r="1" spans="1:5" x14ac:dyDescent="0.3">
      <c r="A1" s="10" t="s">
        <v>76</v>
      </c>
      <c r="B1" t="s">
        <v>77</v>
      </c>
    </row>
    <row r="3" spans="1:5" x14ac:dyDescent="0.3">
      <c r="A3" s="10" t="s">
        <v>2928</v>
      </c>
      <c r="B3" s="10" t="s">
        <v>447</v>
      </c>
      <c r="C3" t="s">
        <v>2929</v>
      </c>
      <c r="D3" t="s">
        <v>2930</v>
      </c>
      <c r="E3" t="s">
        <v>2931</v>
      </c>
    </row>
    <row r="4" spans="1:5" x14ac:dyDescent="0.3">
      <c r="A4" t="s">
        <v>1473</v>
      </c>
      <c r="B4" t="s">
        <v>1472</v>
      </c>
      <c r="C4" s="5">
        <v>20000</v>
      </c>
      <c r="D4" s="5">
        <v>15000</v>
      </c>
      <c r="E4" s="5">
        <v>15000</v>
      </c>
    </row>
    <row r="5" spans="1:5" x14ac:dyDescent="0.3">
      <c r="A5" t="s">
        <v>1902</v>
      </c>
      <c r="B5" t="s">
        <v>1901</v>
      </c>
      <c r="C5" s="5">
        <v>20000</v>
      </c>
      <c r="D5" s="5">
        <v>15000</v>
      </c>
      <c r="E5" s="5">
        <v>15000</v>
      </c>
    </row>
    <row r="6" spans="1:5" x14ac:dyDescent="0.3">
      <c r="A6" t="s">
        <v>805</v>
      </c>
      <c r="B6" t="s">
        <v>804</v>
      </c>
      <c r="C6" s="5">
        <v>20000</v>
      </c>
      <c r="D6" s="5">
        <v>15000</v>
      </c>
      <c r="E6" s="5">
        <v>15000</v>
      </c>
    </row>
    <row r="7" spans="1:5" x14ac:dyDescent="0.3">
      <c r="A7" t="s">
        <v>1084</v>
      </c>
      <c r="B7" t="s">
        <v>1083</v>
      </c>
      <c r="C7" s="5">
        <v>20000</v>
      </c>
      <c r="D7" s="5">
        <v>15000</v>
      </c>
      <c r="E7" s="5">
        <v>15000</v>
      </c>
    </row>
    <row r="8" spans="1:5" x14ac:dyDescent="0.3">
      <c r="A8" t="s">
        <v>1465</v>
      </c>
      <c r="B8" t="s">
        <v>1464</v>
      </c>
      <c r="C8" s="5">
        <v>20000</v>
      </c>
      <c r="D8" s="5">
        <v>16500</v>
      </c>
      <c r="E8" s="5">
        <v>0</v>
      </c>
    </row>
    <row r="9" spans="1:5" x14ac:dyDescent="0.3">
      <c r="A9" t="s">
        <v>1187</v>
      </c>
      <c r="B9" t="s">
        <v>1186</v>
      </c>
      <c r="C9" s="5">
        <v>20000</v>
      </c>
      <c r="D9" s="5">
        <v>15000</v>
      </c>
      <c r="E9" s="5">
        <v>15000</v>
      </c>
    </row>
    <row r="10" spans="1:5" x14ac:dyDescent="0.3">
      <c r="A10" t="s">
        <v>2580</v>
      </c>
      <c r="B10" t="s">
        <v>2579</v>
      </c>
      <c r="C10" s="5">
        <v>20000</v>
      </c>
      <c r="D10" s="5">
        <v>15000</v>
      </c>
      <c r="E10" s="5">
        <v>15000</v>
      </c>
    </row>
    <row r="11" spans="1:5" x14ac:dyDescent="0.3">
      <c r="A11" t="s">
        <v>999</v>
      </c>
      <c r="B11" t="s">
        <v>998</v>
      </c>
      <c r="C11" s="5">
        <v>20000</v>
      </c>
      <c r="D11" s="5">
        <v>15000</v>
      </c>
      <c r="E11" s="5">
        <v>15000</v>
      </c>
    </row>
    <row r="12" spans="1:5" x14ac:dyDescent="0.3">
      <c r="A12" t="s">
        <v>936</v>
      </c>
      <c r="B12" t="s">
        <v>935</v>
      </c>
      <c r="C12" s="5">
        <v>20000</v>
      </c>
      <c r="D12" s="5">
        <v>15000</v>
      </c>
      <c r="E12" s="5">
        <v>15000</v>
      </c>
    </row>
    <row r="13" spans="1:5" x14ac:dyDescent="0.3">
      <c r="A13" t="s">
        <v>724</v>
      </c>
      <c r="B13" t="s">
        <v>723</v>
      </c>
      <c r="C13" s="5">
        <v>20000</v>
      </c>
      <c r="D13" s="5">
        <v>15000</v>
      </c>
      <c r="E13" s="5">
        <v>15000</v>
      </c>
    </row>
    <row r="14" spans="1:5" x14ac:dyDescent="0.3">
      <c r="A14" t="s">
        <v>2056</v>
      </c>
      <c r="B14" t="s">
        <v>2055</v>
      </c>
      <c r="C14" s="5">
        <v>20000</v>
      </c>
      <c r="D14" s="5">
        <v>15000</v>
      </c>
      <c r="E14" s="5">
        <v>15000</v>
      </c>
    </row>
    <row r="15" spans="1:5" x14ac:dyDescent="0.3">
      <c r="A15" t="s">
        <v>2129</v>
      </c>
      <c r="B15" t="s">
        <v>2128</v>
      </c>
      <c r="C15" s="5">
        <v>20000</v>
      </c>
      <c r="D15" s="5">
        <v>15000</v>
      </c>
      <c r="E15" s="5">
        <v>15000</v>
      </c>
    </row>
    <row r="16" spans="1:5" x14ac:dyDescent="0.3">
      <c r="A16" t="s">
        <v>1055</v>
      </c>
      <c r="B16" t="s">
        <v>1054</v>
      </c>
      <c r="C16" s="5">
        <v>20000</v>
      </c>
      <c r="D16" s="5">
        <v>15000</v>
      </c>
      <c r="E16" s="5">
        <v>15000</v>
      </c>
    </row>
    <row r="17" spans="1:5" x14ac:dyDescent="0.3">
      <c r="A17" t="s">
        <v>1178</v>
      </c>
      <c r="B17" t="s">
        <v>1177</v>
      </c>
      <c r="C17" s="5">
        <v>20000</v>
      </c>
      <c r="D17" s="5">
        <v>16500</v>
      </c>
      <c r="E17" s="5">
        <v>0</v>
      </c>
    </row>
    <row r="18" spans="1:5" x14ac:dyDescent="0.3">
      <c r="A18" t="s">
        <v>1037</v>
      </c>
      <c r="B18" t="s">
        <v>1036</v>
      </c>
      <c r="C18" s="5">
        <v>20000</v>
      </c>
      <c r="D18" s="5">
        <v>15000</v>
      </c>
      <c r="E18" s="5">
        <v>15000</v>
      </c>
    </row>
    <row r="19" spans="1:5" x14ac:dyDescent="0.3">
      <c r="A19" t="s">
        <v>1782</v>
      </c>
      <c r="B19" t="s">
        <v>1781</v>
      </c>
      <c r="C19" s="5">
        <v>20000</v>
      </c>
      <c r="D19" s="5">
        <v>16500</v>
      </c>
      <c r="E19" s="5">
        <v>0</v>
      </c>
    </row>
    <row r="20" spans="1:5" x14ac:dyDescent="0.3">
      <c r="A20" t="s">
        <v>1290</v>
      </c>
      <c r="B20" t="s">
        <v>1289</v>
      </c>
      <c r="C20" s="5">
        <v>20000</v>
      </c>
      <c r="D20" s="5">
        <v>15000</v>
      </c>
      <c r="E20" s="5">
        <v>15000</v>
      </c>
    </row>
    <row r="21" spans="1:5" x14ac:dyDescent="0.3">
      <c r="A21" t="s">
        <v>1047</v>
      </c>
      <c r="B21" t="s">
        <v>1046</v>
      </c>
      <c r="C21" s="5">
        <v>20000</v>
      </c>
      <c r="D21" s="5">
        <v>15000</v>
      </c>
      <c r="E21" s="5">
        <v>15000</v>
      </c>
    </row>
    <row r="22" spans="1:5" x14ac:dyDescent="0.3">
      <c r="A22" t="s">
        <v>1143</v>
      </c>
      <c r="B22" t="s">
        <v>1142</v>
      </c>
      <c r="C22" s="5">
        <v>20000</v>
      </c>
      <c r="D22" s="5">
        <v>15000</v>
      </c>
      <c r="E22" s="5">
        <v>15000</v>
      </c>
    </row>
    <row r="23" spans="1:5" x14ac:dyDescent="0.3">
      <c r="A23" t="s">
        <v>2382</v>
      </c>
      <c r="B23" t="s">
        <v>2381</v>
      </c>
      <c r="C23" s="5">
        <v>20000</v>
      </c>
      <c r="D23" s="5">
        <v>15000</v>
      </c>
      <c r="E23" s="5">
        <v>15000</v>
      </c>
    </row>
    <row r="24" spans="1:5" x14ac:dyDescent="0.3">
      <c r="A24" t="s">
        <v>2180</v>
      </c>
      <c r="B24" t="s">
        <v>2179</v>
      </c>
      <c r="C24" s="5">
        <v>20000</v>
      </c>
      <c r="D24" s="5">
        <v>15000</v>
      </c>
      <c r="E24" s="5">
        <v>15000</v>
      </c>
    </row>
    <row r="25" spans="1:5" x14ac:dyDescent="0.3">
      <c r="A25" t="s">
        <v>1893</v>
      </c>
      <c r="B25" t="s">
        <v>1892</v>
      </c>
      <c r="C25" s="5">
        <v>20000</v>
      </c>
      <c r="D25" s="5">
        <v>15000</v>
      </c>
      <c r="E25" s="5">
        <v>15000</v>
      </c>
    </row>
    <row r="26" spans="1:5" x14ac:dyDescent="0.3">
      <c r="A26" t="s">
        <v>840</v>
      </c>
      <c r="B26" t="s">
        <v>839</v>
      </c>
      <c r="C26" s="5">
        <v>20000</v>
      </c>
      <c r="D26" s="5">
        <v>15000</v>
      </c>
      <c r="E26" s="5">
        <v>15000</v>
      </c>
    </row>
    <row r="27" spans="1:5" x14ac:dyDescent="0.3">
      <c r="A27" t="s">
        <v>2571</v>
      </c>
      <c r="B27" t="s">
        <v>2570</v>
      </c>
      <c r="C27" s="5">
        <v>20000</v>
      </c>
      <c r="D27" s="5">
        <v>15000</v>
      </c>
      <c r="E27" s="5">
        <v>15000</v>
      </c>
    </row>
    <row r="28" spans="1:5" x14ac:dyDescent="0.3">
      <c r="A28" t="s">
        <v>1910</v>
      </c>
      <c r="B28" t="s">
        <v>1909</v>
      </c>
      <c r="C28" s="5">
        <v>20000</v>
      </c>
      <c r="D28" s="5">
        <v>15000</v>
      </c>
      <c r="E28" s="5">
        <v>15000</v>
      </c>
    </row>
    <row r="29" spans="1:5" x14ac:dyDescent="0.3">
      <c r="A29" t="s">
        <v>1206</v>
      </c>
      <c r="B29" t="s">
        <v>1205</v>
      </c>
      <c r="C29" s="5">
        <v>20000</v>
      </c>
      <c r="D29" s="5">
        <v>16500</v>
      </c>
      <c r="E29" s="5">
        <v>0</v>
      </c>
    </row>
    <row r="30" spans="1:5" x14ac:dyDescent="0.3">
      <c r="A30" t="s">
        <v>1196</v>
      </c>
      <c r="B30" t="s">
        <v>1195</v>
      </c>
      <c r="C30" s="5">
        <v>20000</v>
      </c>
      <c r="D30" s="5">
        <v>16500</v>
      </c>
      <c r="E30" s="5">
        <v>0</v>
      </c>
    </row>
    <row r="31" spans="1:5" x14ac:dyDescent="0.3">
      <c r="A31" t="s">
        <v>873</v>
      </c>
      <c r="B31" t="s">
        <v>872</v>
      </c>
      <c r="C31" s="5">
        <v>20000</v>
      </c>
      <c r="D31" s="5">
        <v>15000</v>
      </c>
      <c r="E31" s="5">
        <v>15000</v>
      </c>
    </row>
    <row r="32" spans="1:5" x14ac:dyDescent="0.3">
      <c r="A32" t="s">
        <v>1342</v>
      </c>
      <c r="B32" t="s">
        <v>1341</v>
      </c>
      <c r="C32" s="5">
        <v>20000</v>
      </c>
      <c r="D32" s="5">
        <v>16500</v>
      </c>
      <c r="E32" s="5">
        <v>0</v>
      </c>
    </row>
    <row r="33" spans="1:5" x14ac:dyDescent="0.3">
      <c r="A33" t="s">
        <v>2116</v>
      </c>
      <c r="B33" t="s">
        <v>2115</v>
      </c>
      <c r="C33" s="5">
        <v>20000</v>
      </c>
      <c r="D33" s="5">
        <v>15000</v>
      </c>
      <c r="E33" s="5">
        <v>15000</v>
      </c>
    </row>
    <row r="34" spans="1:5" x14ac:dyDescent="0.3">
      <c r="A34" t="s">
        <v>1153</v>
      </c>
      <c r="B34" t="s">
        <v>1152</v>
      </c>
      <c r="C34" s="5">
        <v>20000</v>
      </c>
      <c r="D34" s="5">
        <v>16500</v>
      </c>
      <c r="E34" s="5">
        <v>0</v>
      </c>
    </row>
    <row r="35" spans="1:5" x14ac:dyDescent="0.3">
      <c r="A35" t="s">
        <v>795</v>
      </c>
      <c r="B35" t="s">
        <v>794</v>
      </c>
      <c r="C35" s="5">
        <v>20000</v>
      </c>
      <c r="D35" s="5">
        <v>15000</v>
      </c>
      <c r="E35" s="5">
        <v>15000</v>
      </c>
    </row>
    <row r="36" spans="1:5" x14ac:dyDescent="0.3">
      <c r="A36" t="s">
        <v>769</v>
      </c>
      <c r="B36" t="s">
        <v>768</v>
      </c>
      <c r="C36" s="5">
        <v>20000</v>
      </c>
      <c r="D36" s="5">
        <v>15000</v>
      </c>
      <c r="E36" s="5">
        <v>15000</v>
      </c>
    </row>
    <row r="37" spans="1:5" x14ac:dyDescent="0.3">
      <c r="A37" t="s">
        <v>2454</v>
      </c>
      <c r="B37" t="s">
        <v>2453</v>
      </c>
      <c r="C37" s="5">
        <v>20000</v>
      </c>
      <c r="D37" s="5">
        <v>15000</v>
      </c>
      <c r="E37" s="5">
        <v>15000</v>
      </c>
    </row>
    <row r="38" spans="1:5" x14ac:dyDescent="0.3">
      <c r="A38" t="s">
        <v>1259</v>
      </c>
      <c r="B38" t="s">
        <v>1258</v>
      </c>
      <c r="C38" s="5">
        <v>20000</v>
      </c>
      <c r="D38" s="5">
        <v>16500</v>
      </c>
      <c r="E38" s="5">
        <v>0</v>
      </c>
    </row>
    <row r="39" spans="1:5" x14ac:dyDescent="0.3">
      <c r="A39" t="s">
        <v>2097</v>
      </c>
      <c r="B39" t="s">
        <v>2096</v>
      </c>
      <c r="C39" s="5">
        <v>20000</v>
      </c>
      <c r="D39" s="5">
        <v>15000</v>
      </c>
      <c r="E39" s="5">
        <v>15000</v>
      </c>
    </row>
    <row r="40" spans="1:5" x14ac:dyDescent="0.3">
      <c r="A40" t="s">
        <v>2839</v>
      </c>
      <c r="B40" t="s">
        <v>2838</v>
      </c>
      <c r="C40" s="5">
        <v>20000</v>
      </c>
      <c r="D40" s="5">
        <v>16500</v>
      </c>
      <c r="E40" s="5">
        <v>0</v>
      </c>
    </row>
    <row r="41" spans="1:5" x14ac:dyDescent="0.3">
      <c r="A41" t="s">
        <v>2064</v>
      </c>
      <c r="B41" t="s">
        <v>2063</v>
      </c>
      <c r="C41" s="5">
        <v>20000</v>
      </c>
      <c r="D41" s="5">
        <v>15000</v>
      </c>
      <c r="E41" s="5">
        <v>15000</v>
      </c>
    </row>
    <row r="42" spans="1:5" x14ac:dyDescent="0.3">
      <c r="A42" t="s">
        <v>2742</v>
      </c>
      <c r="B42" t="s">
        <v>2741</v>
      </c>
      <c r="C42" s="5">
        <v>20000</v>
      </c>
      <c r="D42" s="5">
        <v>16500</v>
      </c>
      <c r="E42" s="5">
        <v>0</v>
      </c>
    </row>
    <row r="43" spans="1:5" x14ac:dyDescent="0.3">
      <c r="A43" t="s">
        <v>2269</v>
      </c>
      <c r="B43" t="s">
        <v>2268</v>
      </c>
      <c r="C43" s="5">
        <v>20000</v>
      </c>
      <c r="D43" s="5">
        <v>15000</v>
      </c>
      <c r="E43" s="5">
        <v>15000</v>
      </c>
    </row>
    <row r="44" spans="1:5" x14ac:dyDescent="0.3">
      <c r="A44" t="s">
        <v>2810</v>
      </c>
      <c r="B44" t="s">
        <v>2809</v>
      </c>
      <c r="C44" s="5">
        <v>20000</v>
      </c>
      <c r="D44" s="5">
        <v>15000</v>
      </c>
      <c r="E44" s="5">
        <v>15000</v>
      </c>
    </row>
    <row r="45" spans="1:5" x14ac:dyDescent="0.3">
      <c r="A45" t="s">
        <v>2260</v>
      </c>
      <c r="B45" t="s">
        <v>2259</v>
      </c>
      <c r="C45" s="5">
        <v>20000</v>
      </c>
      <c r="D45" s="5">
        <v>15000</v>
      </c>
      <c r="E45" s="5">
        <v>15000</v>
      </c>
    </row>
    <row r="46" spans="1:5" x14ac:dyDescent="0.3">
      <c r="A46" t="s">
        <v>2309</v>
      </c>
      <c r="B46" t="s">
        <v>2308</v>
      </c>
      <c r="C46" s="5">
        <v>20000</v>
      </c>
      <c r="D46" s="5">
        <v>15000</v>
      </c>
      <c r="E46" s="5">
        <v>15000</v>
      </c>
    </row>
    <row r="47" spans="1:5" x14ac:dyDescent="0.3">
      <c r="A47" t="s">
        <v>2542</v>
      </c>
      <c r="B47" t="s">
        <v>2541</v>
      </c>
      <c r="C47" s="5">
        <v>20000</v>
      </c>
      <c r="D47" s="5">
        <v>15000</v>
      </c>
      <c r="E47" s="5">
        <v>15000</v>
      </c>
    </row>
    <row r="48" spans="1:5" x14ac:dyDescent="0.3">
      <c r="A48" t="s">
        <v>1492</v>
      </c>
      <c r="B48" t="s">
        <v>1491</v>
      </c>
      <c r="C48" s="5">
        <v>20000</v>
      </c>
      <c r="D48" s="5">
        <v>15000</v>
      </c>
      <c r="E48" s="5">
        <v>15000</v>
      </c>
    </row>
    <row r="49" spans="1:5" x14ac:dyDescent="0.3">
      <c r="A49" t="s">
        <v>1111</v>
      </c>
      <c r="B49" t="s">
        <v>1110</v>
      </c>
      <c r="C49" s="5">
        <v>20000</v>
      </c>
      <c r="D49" s="5">
        <v>16500</v>
      </c>
      <c r="E49" s="5">
        <v>0</v>
      </c>
    </row>
    <row r="50" spans="1:5" x14ac:dyDescent="0.3">
      <c r="A50" t="s">
        <v>1239</v>
      </c>
      <c r="B50" t="s">
        <v>1238</v>
      </c>
      <c r="C50" s="5">
        <v>20000</v>
      </c>
      <c r="D50" s="5">
        <v>16500</v>
      </c>
      <c r="E50" s="5">
        <v>0</v>
      </c>
    </row>
    <row r="51" spans="1:5" x14ac:dyDescent="0.3">
      <c r="A51" t="s">
        <v>974</v>
      </c>
      <c r="B51" t="s">
        <v>973</v>
      </c>
      <c r="C51" s="5">
        <v>20000</v>
      </c>
      <c r="D51" s="5">
        <v>15000</v>
      </c>
      <c r="E51" s="5">
        <v>15000</v>
      </c>
    </row>
    <row r="52" spans="1:5" x14ac:dyDescent="0.3">
      <c r="A52" t="s">
        <v>1122</v>
      </c>
      <c r="B52" t="s">
        <v>1121</v>
      </c>
      <c r="C52" s="5">
        <v>20000</v>
      </c>
      <c r="D52" s="5">
        <v>15000</v>
      </c>
      <c r="E52" s="5">
        <v>15000</v>
      </c>
    </row>
    <row r="53" spans="1:5" x14ac:dyDescent="0.3">
      <c r="A53" t="s">
        <v>1382</v>
      </c>
      <c r="B53" t="s">
        <v>1381</v>
      </c>
      <c r="C53" s="5">
        <v>20000</v>
      </c>
      <c r="D53" s="5">
        <v>15000</v>
      </c>
      <c r="E53" s="5">
        <v>15000</v>
      </c>
    </row>
    <row r="54" spans="1:5" x14ac:dyDescent="0.3">
      <c r="A54" t="s">
        <v>2371</v>
      </c>
      <c r="B54" t="s">
        <v>2370</v>
      </c>
      <c r="C54" s="5">
        <v>20000</v>
      </c>
      <c r="D54" s="5">
        <v>15000</v>
      </c>
      <c r="E54" s="5">
        <v>15000</v>
      </c>
    </row>
    <row r="55" spans="1:5" x14ac:dyDescent="0.3">
      <c r="A55" t="s">
        <v>2864</v>
      </c>
      <c r="B55" t="s">
        <v>2863</v>
      </c>
      <c r="C55" s="5">
        <v>20000</v>
      </c>
      <c r="D55" s="5">
        <v>15000</v>
      </c>
      <c r="E55" s="5">
        <v>15000</v>
      </c>
    </row>
    <row r="56" spans="1:5" x14ac:dyDescent="0.3">
      <c r="A56" t="s">
        <v>2485</v>
      </c>
      <c r="B56" t="s">
        <v>2484</v>
      </c>
      <c r="C56" s="5">
        <v>20000</v>
      </c>
      <c r="D56" s="5">
        <v>15000</v>
      </c>
      <c r="E56" s="5">
        <v>15000</v>
      </c>
    </row>
    <row r="57" spans="1:5" x14ac:dyDescent="0.3">
      <c r="A57" t="s">
        <v>2206</v>
      </c>
      <c r="B57" t="s">
        <v>2205</v>
      </c>
      <c r="C57" s="5">
        <v>20000</v>
      </c>
      <c r="D57" s="5">
        <v>15000</v>
      </c>
      <c r="E57" s="5">
        <v>15000</v>
      </c>
    </row>
    <row r="58" spans="1:5" x14ac:dyDescent="0.3">
      <c r="A58" t="s">
        <v>1165</v>
      </c>
      <c r="B58" t="s">
        <v>1164</v>
      </c>
      <c r="C58" s="5">
        <v>20000</v>
      </c>
      <c r="D58" s="5">
        <v>16500</v>
      </c>
      <c r="E58" s="5">
        <v>0</v>
      </c>
    </row>
    <row r="59" spans="1:5" x14ac:dyDescent="0.3">
      <c r="A59" t="s">
        <v>1297</v>
      </c>
      <c r="B59" t="s">
        <v>1296</v>
      </c>
      <c r="C59" s="5">
        <v>20000</v>
      </c>
      <c r="D59" s="5">
        <v>15000</v>
      </c>
      <c r="E59" s="5">
        <v>15000</v>
      </c>
    </row>
    <row r="60" spans="1:5" x14ac:dyDescent="0.3">
      <c r="A60" t="s">
        <v>2531</v>
      </c>
      <c r="B60" t="s">
        <v>2530</v>
      </c>
      <c r="C60" s="5">
        <v>20000</v>
      </c>
      <c r="D60" s="5">
        <v>15000</v>
      </c>
      <c r="E60" s="5">
        <v>15000</v>
      </c>
    </row>
    <row r="61" spans="1:5" x14ac:dyDescent="0.3">
      <c r="A61" t="s">
        <v>1809</v>
      </c>
      <c r="B61" t="s">
        <v>1808</v>
      </c>
      <c r="C61" s="5">
        <v>20000</v>
      </c>
      <c r="D61" s="5">
        <v>15000</v>
      </c>
      <c r="E61" s="5">
        <v>15000</v>
      </c>
    </row>
    <row r="62" spans="1:5" x14ac:dyDescent="0.3">
      <c r="A62" t="s">
        <v>2620</v>
      </c>
      <c r="B62" t="s">
        <v>2619</v>
      </c>
      <c r="C62" s="5">
        <v>20000</v>
      </c>
      <c r="D62" s="5">
        <v>15000</v>
      </c>
      <c r="E62" s="5">
        <v>15000</v>
      </c>
    </row>
    <row r="63" spans="1:5" x14ac:dyDescent="0.3">
      <c r="A63" t="s">
        <v>2515</v>
      </c>
      <c r="B63" t="s">
        <v>2514</v>
      </c>
      <c r="C63" s="5">
        <v>20000</v>
      </c>
      <c r="D63" s="5">
        <v>15000</v>
      </c>
      <c r="E63" s="5">
        <v>15000</v>
      </c>
    </row>
    <row r="64" spans="1:5" x14ac:dyDescent="0.3">
      <c r="A64" t="s">
        <v>2709</v>
      </c>
      <c r="B64" t="s">
        <v>2708</v>
      </c>
      <c r="C64" s="5">
        <v>20000</v>
      </c>
      <c r="D64" s="5">
        <v>15000</v>
      </c>
      <c r="E64" s="5">
        <v>15000</v>
      </c>
    </row>
    <row r="65" spans="1:5" x14ac:dyDescent="0.3">
      <c r="A65" t="s">
        <v>950</v>
      </c>
      <c r="B65" t="s">
        <v>949</v>
      </c>
      <c r="C65" s="5">
        <v>20000</v>
      </c>
      <c r="D65" s="5">
        <v>15000</v>
      </c>
      <c r="E65" s="5">
        <v>15000</v>
      </c>
    </row>
    <row r="66" spans="1:5" x14ac:dyDescent="0.3">
      <c r="A66" t="s">
        <v>2108</v>
      </c>
      <c r="B66" t="s">
        <v>2107</v>
      </c>
      <c r="C66" s="5">
        <v>20000</v>
      </c>
      <c r="D66" s="5">
        <v>16500</v>
      </c>
      <c r="E66" s="5">
        <v>0</v>
      </c>
    </row>
    <row r="67" spans="1:5" x14ac:dyDescent="0.3">
      <c r="A67" t="s">
        <v>2291</v>
      </c>
      <c r="B67" t="s">
        <v>2290</v>
      </c>
      <c r="C67" s="5">
        <v>20000</v>
      </c>
      <c r="D67" s="5">
        <v>15000</v>
      </c>
      <c r="E67" s="5">
        <v>15000</v>
      </c>
    </row>
    <row r="68" spans="1:5" x14ac:dyDescent="0.3">
      <c r="A68" t="s">
        <v>817</v>
      </c>
      <c r="B68" t="s">
        <v>816</v>
      </c>
      <c r="C68" s="5">
        <v>20000</v>
      </c>
      <c r="D68" s="5">
        <v>15000</v>
      </c>
      <c r="E68" s="5">
        <v>15000</v>
      </c>
    </row>
    <row r="69" spans="1:5" x14ac:dyDescent="0.3">
      <c r="A69" t="s">
        <v>2467</v>
      </c>
      <c r="B69" t="s">
        <v>2466</v>
      </c>
      <c r="C69" s="5">
        <v>20000</v>
      </c>
      <c r="D69" s="5">
        <v>15000</v>
      </c>
      <c r="E69" s="5">
        <v>15000</v>
      </c>
    </row>
    <row r="70" spans="1:5" x14ac:dyDescent="0.3">
      <c r="A70" t="s">
        <v>2221</v>
      </c>
      <c r="B70" t="s">
        <v>2220</v>
      </c>
      <c r="C70" s="5">
        <v>20000</v>
      </c>
      <c r="D70" s="5">
        <v>15000</v>
      </c>
      <c r="E70" s="5">
        <v>15000</v>
      </c>
    </row>
    <row r="71" spans="1:5" x14ac:dyDescent="0.3">
      <c r="A71" t="s">
        <v>862</v>
      </c>
      <c r="B71" t="s">
        <v>861</v>
      </c>
      <c r="C71" s="5">
        <v>20000</v>
      </c>
      <c r="D71" s="5">
        <v>15000</v>
      </c>
      <c r="E71" s="5">
        <v>15000</v>
      </c>
    </row>
    <row r="72" spans="1:5" x14ac:dyDescent="0.3">
      <c r="A72" t="s">
        <v>564</v>
      </c>
      <c r="B72" t="s">
        <v>562</v>
      </c>
      <c r="C72" s="5">
        <v>20000</v>
      </c>
      <c r="D72" s="5">
        <v>16500</v>
      </c>
      <c r="E72" s="5">
        <v>0</v>
      </c>
    </row>
    <row r="73" spans="1:5" x14ac:dyDescent="0.3">
      <c r="A73" t="s">
        <v>2524</v>
      </c>
      <c r="B73" t="s">
        <v>2523</v>
      </c>
      <c r="C73" s="5">
        <v>20000</v>
      </c>
      <c r="D73" s="5">
        <v>15000</v>
      </c>
      <c r="E73" s="5">
        <v>15000</v>
      </c>
    </row>
    <row r="74" spans="1:5" x14ac:dyDescent="0.3">
      <c r="A74" t="s">
        <v>1067</v>
      </c>
      <c r="B74" t="s">
        <v>1066</v>
      </c>
      <c r="C74" s="5">
        <v>20000</v>
      </c>
      <c r="D74" s="5">
        <v>15000</v>
      </c>
      <c r="E74" s="5">
        <v>15000</v>
      </c>
    </row>
    <row r="75" spans="1:5" x14ac:dyDescent="0.3">
      <c r="A75" t="s">
        <v>1352</v>
      </c>
      <c r="B75" t="s">
        <v>1351</v>
      </c>
      <c r="C75" s="5">
        <v>20000</v>
      </c>
      <c r="D75" s="5">
        <v>15000</v>
      </c>
      <c r="E75" s="5">
        <v>15000</v>
      </c>
    </row>
    <row r="76" spans="1:5" x14ac:dyDescent="0.3">
      <c r="A76" t="s">
        <v>2282</v>
      </c>
      <c r="B76" t="s">
        <v>2281</v>
      </c>
      <c r="C76" s="5">
        <v>20000</v>
      </c>
      <c r="D76" s="5">
        <v>15000</v>
      </c>
      <c r="E76" s="5">
        <v>15000</v>
      </c>
    </row>
    <row r="77" spans="1:5" x14ac:dyDescent="0.3">
      <c r="A77" t="s">
        <v>2357</v>
      </c>
      <c r="B77" t="s">
        <v>2356</v>
      </c>
      <c r="C77" s="5">
        <v>20000</v>
      </c>
      <c r="D77" s="5">
        <v>15000</v>
      </c>
      <c r="E77" s="5">
        <v>15000</v>
      </c>
    </row>
    <row r="78" spans="1:5" x14ac:dyDescent="0.3">
      <c r="A78" t="s">
        <v>2441</v>
      </c>
      <c r="B78" t="s">
        <v>2440</v>
      </c>
      <c r="C78" s="5">
        <v>20000</v>
      </c>
      <c r="D78" s="5">
        <v>15000</v>
      </c>
      <c r="E78" s="5">
        <v>15000</v>
      </c>
    </row>
    <row r="79" spans="1:5" x14ac:dyDescent="0.3">
      <c r="A79" t="s">
        <v>1074</v>
      </c>
      <c r="B79" t="s">
        <v>1073</v>
      </c>
      <c r="C79" s="5">
        <v>20000</v>
      </c>
      <c r="D79" s="5">
        <v>15000</v>
      </c>
      <c r="E79" s="5">
        <v>15000</v>
      </c>
    </row>
    <row r="80" spans="1:5" x14ac:dyDescent="0.3">
      <c r="A80" t="s">
        <v>2191</v>
      </c>
      <c r="B80" t="s">
        <v>2190</v>
      </c>
      <c r="C80" s="5">
        <v>20000</v>
      </c>
      <c r="D80" s="5">
        <v>15000</v>
      </c>
      <c r="E80" s="5">
        <v>15000</v>
      </c>
    </row>
    <row r="81" spans="1:5" x14ac:dyDescent="0.3">
      <c r="A81" t="s">
        <v>909</v>
      </c>
      <c r="B81" t="s">
        <v>908</v>
      </c>
      <c r="C81" s="5">
        <v>20000</v>
      </c>
      <c r="D81" s="5">
        <v>15000</v>
      </c>
      <c r="E81" s="5">
        <v>15000</v>
      </c>
    </row>
    <row r="82" spans="1:5" x14ac:dyDescent="0.3">
      <c r="A82" t="s">
        <v>2336</v>
      </c>
      <c r="B82" t="s">
        <v>2335</v>
      </c>
      <c r="C82" s="5">
        <v>20000</v>
      </c>
      <c r="D82" s="5">
        <v>15000</v>
      </c>
      <c r="E82" s="5">
        <v>15000</v>
      </c>
    </row>
    <row r="83" spans="1:5" x14ac:dyDescent="0.3">
      <c r="A83" t="s">
        <v>1515</v>
      </c>
      <c r="B83" t="s">
        <v>1514</v>
      </c>
      <c r="C83" s="5">
        <v>20000</v>
      </c>
      <c r="D83" s="5">
        <v>15000</v>
      </c>
      <c r="E83" s="5">
        <v>15000</v>
      </c>
    </row>
    <row r="84" spans="1:5" x14ac:dyDescent="0.3">
      <c r="A84" t="s">
        <v>1024</v>
      </c>
      <c r="B84" t="s">
        <v>1023</v>
      </c>
      <c r="C84" s="5">
        <v>20000</v>
      </c>
      <c r="D84" s="5">
        <v>15000</v>
      </c>
      <c r="E84" s="5">
        <v>15000</v>
      </c>
    </row>
    <row r="85" spans="1:5" x14ac:dyDescent="0.3">
      <c r="A85" t="s">
        <v>1250</v>
      </c>
      <c r="B85" t="s">
        <v>1249</v>
      </c>
      <c r="C85" s="5">
        <v>20000</v>
      </c>
      <c r="D85" s="5">
        <v>15000</v>
      </c>
      <c r="E85" s="5">
        <v>15000</v>
      </c>
    </row>
    <row r="86" spans="1:5" x14ac:dyDescent="0.3">
      <c r="A86" t="s">
        <v>1013</v>
      </c>
      <c r="B86" t="s">
        <v>1012</v>
      </c>
      <c r="C86" s="5">
        <v>20000</v>
      </c>
      <c r="D86" s="5">
        <v>15000</v>
      </c>
      <c r="E86" s="5">
        <v>15000</v>
      </c>
    </row>
    <row r="87" spans="1:5" x14ac:dyDescent="0.3">
      <c r="A87" t="s">
        <v>2475</v>
      </c>
      <c r="B87" t="s">
        <v>2474</v>
      </c>
      <c r="C87" s="5">
        <v>20000</v>
      </c>
      <c r="D87" s="5">
        <v>15000</v>
      </c>
      <c r="E87" s="5">
        <v>15000</v>
      </c>
    </row>
    <row r="88" spans="1:5" x14ac:dyDescent="0.3">
      <c r="A88" t="s">
        <v>2607</v>
      </c>
      <c r="B88" t="s">
        <v>2606</v>
      </c>
      <c r="C88" s="5">
        <v>20000</v>
      </c>
      <c r="D88" s="5">
        <v>15000</v>
      </c>
      <c r="E88" s="5">
        <v>15000</v>
      </c>
    </row>
    <row r="89" spans="1:5" x14ac:dyDescent="0.3">
      <c r="A89" t="s">
        <v>1760</v>
      </c>
      <c r="B89" t="s">
        <v>1759</v>
      </c>
      <c r="C89" s="5">
        <v>20000</v>
      </c>
      <c r="D89" s="5">
        <v>15000</v>
      </c>
      <c r="E89" s="5">
        <v>15000</v>
      </c>
    </row>
    <row r="90" spans="1:5" x14ac:dyDescent="0.3">
      <c r="A90" t="s">
        <v>1925</v>
      </c>
      <c r="B90" t="s">
        <v>1924</v>
      </c>
      <c r="C90" s="5">
        <v>20000</v>
      </c>
      <c r="D90" s="5">
        <v>16500</v>
      </c>
      <c r="E90" s="5">
        <v>0</v>
      </c>
    </row>
    <row r="91" spans="1:5" x14ac:dyDescent="0.3">
      <c r="A91" t="s">
        <v>2593</v>
      </c>
      <c r="B91" t="s">
        <v>2592</v>
      </c>
      <c r="C91" s="5">
        <v>20000</v>
      </c>
      <c r="D91" s="5">
        <v>15000</v>
      </c>
      <c r="E91" s="5">
        <v>15000</v>
      </c>
    </row>
    <row r="92" spans="1:5" x14ac:dyDescent="0.3">
      <c r="A92" t="s">
        <v>2239</v>
      </c>
      <c r="B92" t="s">
        <v>2238</v>
      </c>
      <c r="C92" s="5">
        <v>20000</v>
      </c>
      <c r="D92" s="5">
        <v>15000</v>
      </c>
      <c r="E92" s="5">
        <v>15000</v>
      </c>
    </row>
    <row r="93" spans="1:5" x14ac:dyDescent="0.3">
      <c r="A93" t="s">
        <v>991</v>
      </c>
      <c r="B93" t="s">
        <v>990</v>
      </c>
      <c r="C93" s="5">
        <v>20000</v>
      </c>
      <c r="D93" s="5">
        <v>16500</v>
      </c>
      <c r="E93" s="5">
        <v>0</v>
      </c>
    </row>
    <row r="94" spans="1:5" x14ac:dyDescent="0.3">
      <c r="A94" t="s">
        <v>1318</v>
      </c>
      <c r="B94" t="s">
        <v>1317</v>
      </c>
      <c r="C94" s="5">
        <v>20000</v>
      </c>
      <c r="D94" s="5">
        <v>15000</v>
      </c>
      <c r="E94" s="5">
        <v>15000</v>
      </c>
    </row>
    <row r="95" spans="1:5" x14ac:dyDescent="0.3">
      <c r="A95" t="s">
        <v>1391</v>
      </c>
      <c r="B95" t="s">
        <v>1390</v>
      </c>
      <c r="C95" s="5">
        <v>20000</v>
      </c>
      <c r="D95" s="5">
        <v>16500</v>
      </c>
      <c r="E95" s="5">
        <v>0</v>
      </c>
    </row>
    <row r="96" spans="1:5" x14ac:dyDescent="0.3">
      <c r="A96" t="s">
        <v>2399</v>
      </c>
      <c r="B96" t="s">
        <v>2398</v>
      </c>
      <c r="C96" s="5">
        <v>20000</v>
      </c>
      <c r="D96" s="5">
        <v>15000</v>
      </c>
      <c r="E96" s="5">
        <v>15000</v>
      </c>
    </row>
    <row r="97" spans="1:5" x14ac:dyDescent="0.3">
      <c r="A97" t="s">
        <v>2199</v>
      </c>
      <c r="B97" t="s">
        <v>2198</v>
      </c>
      <c r="C97" s="5">
        <v>20000</v>
      </c>
      <c r="D97" s="5">
        <v>15000</v>
      </c>
      <c r="E97" s="5">
        <v>15000</v>
      </c>
    </row>
    <row r="98" spans="1:5" x14ac:dyDescent="0.3">
      <c r="A98" t="s">
        <v>2506</v>
      </c>
      <c r="B98" t="s">
        <v>2505</v>
      </c>
      <c r="C98" s="5">
        <v>20000</v>
      </c>
      <c r="D98" s="5">
        <v>15000</v>
      </c>
      <c r="E98" s="5">
        <v>15000</v>
      </c>
    </row>
    <row r="99" spans="1:5" x14ac:dyDescent="0.3">
      <c r="A99" t="s">
        <v>1371</v>
      </c>
      <c r="B99" t="s">
        <v>1370</v>
      </c>
      <c r="C99" s="5">
        <v>20000</v>
      </c>
      <c r="D99" s="5">
        <v>16500</v>
      </c>
      <c r="E99" s="5">
        <v>0</v>
      </c>
    </row>
    <row r="100" spans="1:5" x14ac:dyDescent="0.3">
      <c r="A100" t="s">
        <v>1955</v>
      </c>
      <c r="B100" t="s">
        <v>1954</v>
      </c>
      <c r="C100" s="5">
        <v>20000</v>
      </c>
      <c r="D100" s="5">
        <v>15000</v>
      </c>
      <c r="E100" s="5">
        <v>15000</v>
      </c>
    </row>
    <row r="101" spans="1:5" x14ac:dyDescent="0.3">
      <c r="A101" t="s">
        <v>783</v>
      </c>
      <c r="B101" t="s">
        <v>782</v>
      </c>
      <c r="C101" s="5">
        <v>20000</v>
      </c>
      <c r="D101" s="5">
        <v>15000</v>
      </c>
      <c r="E101" s="5">
        <v>15000</v>
      </c>
    </row>
    <row r="102" spans="1:5" x14ac:dyDescent="0.3">
      <c r="A102" t="s">
        <v>2299</v>
      </c>
      <c r="B102" t="s">
        <v>2298</v>
      </c>
      <c r="C102" s="5">
        <v>20000</v>
      </c>
      <c r="D102" s="5">
        <v>15000</v>
      </c>
      <c r="E102" s="5">
        <v>15000</v>
      </c>
    </row>
    <row r="103" spans="1:5" x14ac:dyDescent="0.3">
      <c r="A103" t="s">
        <v>886</v>
      </c>
      <c r="B103" t="s">
        <v>885</v>
      </c>
      <c r="C103" s="5">
        <v>20000</v>
      </c>
      <c r="D103" s="5">
        <v>15000</v>
      </c>
      <c r="E103" s="5">
        <v>15000</v>
      </c>
    </row>
    <row r="104" spans="1:5" x14ac:dyDescent="0.3">
      <c r="A104" t="s">
        <v>1408</v>
      </c>
      <c r="B104" t="s">
        <v>1407</v>
      </c>
      <c r="C104" s="5">
        <v>20000</v>
      </c>
      <c r="D104" s="5">
        <v>16500</v>
      </c>
      <c r="E104" s="5">
        <v>0</v>
      </c>
    </row>
    <row r="105" spans="1:5" x14ac:dyDescent="0.3">
      <c r="A105" t="s">
        <v>1308</v>
      </c>
      <c r="B105" t="s">
        <v>1307</v>
      </c>
      <c r="C105" s="5">
        <v>20000</v>
      </c>
      <c r="D105" s="5">
        <v>16500</v>
      </c>
      <c r="E105" s="5">
        <v>0</v>
      </c>
    </row>
    <row r="106" spans="1:5" x14ac:dyDescent="0.3">
      <c r="A106" t="s">
        <v>758</v>
      </c>
      <c r="B106" t="s">
        <v>757</v>
      </c>
      <c r="C106" s="5">
        <v>20000</v>
      </c>
      <c r="D106" s="5">
        <v>15000</v>
      </c>
      <c r="E106" s="5">
        <v>15000</v>
      </c>
    </row>
    <row r="107" spans="1:5" x14ac:dyDescent="0.3">
      <c r="A107" t="s">
        <v>1278</v>
      </c>
      <c r="B107" t="s">
        <v>1277</v>
      </c>
      <c r="C107" s="5">
        <v>20000</v>
      </c>
      <c r="D107" s="5">
        <v>15000</v>
      </c>
      <c r="E107" s="5">
        <v>15000</v>
      </c>
    </row>
    <row r="108" spans="1:5" x14ac:dyDescent="0.3">
      <c r="A108" t="s">
        <v>1630</v>
      </c>
      <c r="B108" t="s">
        <v>1629</v>
      </c>
      <c r="C108" s="5">
        <v>20000</v>
      </c>
      <c r="D108" s="5">
        <v>15000</v>
      </c>
      <c r="E108" s="5">
        <v>15000</v>
      </c>
    </row>
    <row r="109" spans="1:5" x14ac:dyDescent="0.3">
      <c r="A109" t="s">
        <v>742</v>
      </c>
      <c r="B109" t="s">
        <v>741</v>
      </c>
      <c r="C109" s="5">
        <v>20000</v>
      </c>
      <c r="D109" s="5">
        <v>15000</v>
      </c>
      <c r="E109" s="5">
        <v>15000</v>
      </c>
    </row>
    <row r="110" spans="1:5" x14ac:dyDescent="0.3">
      <c r="A110" t="s">
        <v>2079</v>
      </c>
      <c r="B110" t="s">
        <v>2078</v>
      </c>
      <c r="C110" s="5">
        <v>20000</v>
      </c>
      <c r="D110" s="5">
        <v>15000</v>
      </c>
      <c r="E110" s="5">
        <v>15000</v>
      </c>
    </row>
    <row r="111" spans="1:5" x14ac:dyDescent="0.3">
      <c r="A111" t="s">
        <v>2732</v>
      </c>
      <c r="B111" t="s">
        <v>2731</v>
      </c>
      <c r="C111" s="5">
        <v>20000</v>
      </c>
      <c r="D111" s="5">
        <v>15000</v>
      </c>
      <c r="E111" s="5">
        <v>15000</v>
      </c>
    </row>
    <row r="112" spans="1:5" x14ac:dyDescent="0.3">
      <c r="A112" t="s">
        <v>1484</v>
      </c>
      <c r="B112" t="s">
        <v>1483</v>
      </c>
      <c r="C112" s="5">
        <v>20000</v>
      </c>
      <c r="D112" s="5">
        <v>15000</v>
      </c>
      <c r="E112" s="5">
        <v>15000</v>
      </c>
    </row>
    <row r="113" spans="1:5" x14ac:dyDescent="0.3">
      <c r="A113" t="s">
        <v>1266</v>
      </c>
      <c r="B113" t="s">
        <v>1265</v>
      </c>
      <c r="C113" s="5">
        <v>20000</v>
      </c>
      <c r="D113" s="5">
        <v>15000</v>
      </c>
      <c r="E113" s="5">
        <v>15000</v>
      </c>
    </row>
    <row r="114" spans="1:5" x14ac:dyDescent="0.3">
      <c r="A114" t="s">
        <v>1398</v>
      </c>
      <c r="B114" t="s">
        <v>1397</v>
      </c>
      <c r="C114" s="5">
        <v>20000</v>
      </c>
      <c r="D114" s="5">
        <v>16500</v>
      </c>
      <c r="E114" s="5">
        <v>0</v>
      </c>
    </row>
    <row r="115" spans="1:5" x14ac:dyDescent="0.3">
      <c r="A115" t="s">
        <v>2629</v>
      </c>
      <c r="B115" t="s">
        <v>2628</v>
      </c>
      <c r="C115" s="5">
        <v>20000</v>
      </c>
      <c r="D115" s="5">
        <v>15000</v>
      </c>
      <c r="E115" s="5">
        <v>15000</v>
      </c>
    </row>
    <row r="116" spans="1:5" x14ac:dyDescent="0.3">
      <c r="A116" t="s">
        <v>1613</v>
      </c>
      <c r="B116" t="s">
        <v>1612</v>
      </c>
      <c r="C116" s="5">
        <v>20000</v>
      </c>
      <c r="D116" s="5">
        <v>15000</v>
      </c>
      <c r="E116" s="5">
        <v>15000</v>
      </c>
    </row>
    <row r="117" spans="1:5" x14ac:dyDescent="0.3">
      <c r="A117" t="s">
        <v>896</v>
      </c>
      <c r="B117" t="s">
        <v>895</v>
      </c>
      <c r="C117" s="5">
        <v>20000</v>
      </c>
      <c r="D117" s="5">
        <v>15000</v>
      </c>
      <c r="E117" s="5">
        <v>15000</v>
      </c>
    </row>
    <row r="118" spans="1:5" x14ac:dyDescent="0.3">
      <c r="A118" t="s">
        <v>1327</v>
      </c>
      <c r="B118" t="s">
        <v>1326</v>
      </c>
      <c r="C118" s="5">
        <v>20000</v>
      </c>
      <c r="D118" s="5">
        <v>16500</v>
      </c>
      <c r="E118" s="5">
        <v>0</v>
      </c>
    </row>
    <row r="119" spans="1:5" x14ac:dyDescent="0.3">
      <c r="A119" t="s">
        <v>1217</v>
      </c>
      <c r="B119" t="s">
        <v>1216</v>
      </c>
      <c r="C119" s="5">
        <v>20000</v>
      </c>
      <c r="D119" s="5">
        <v>16500</v>
      </c>
      <c r="E119" s="5">
        <v>0</v>
      </c>
    </row>
    <row r="120" spans="1:5" x14ac:dyDescent="0.3">
      <c r="A120" t="s">
        <v>1944</v>
      </c>
      <c r="B120" t="s">
        <v>1943</v>
      </c>
      <c r="C120" s="5">
        <v>20000</v>
      </c>
      <c r="D120" s="5">
        <v>16500</v>
      </c>
      <c r="E120" s="5">
        <v>0</v>
      </c>
    </row>
    <row r="121" spans="1:5" x14ac:dyDescent="0.3">
      <c r="A121" t="s">
        <v>1417</v>
      </c>
      <c r="B121" t="s">
        <v>1416</v>
      </c>
      <c r="C121" s="5">
        <v>20000</v>
      </c>
      <c r="D121" s="5">
        <v>16500</v>
      </c>
      <c r="E121" s="5">
        <v>0</v>
      </c>
    </row>
    <row r="122" spans="1:5" x14ac:dyDescent="0.3">
      <c r="A122" t="s">
        <v>959</v>
      </c>
      <c r="B122" t="s">
        <v>958</v>
      </c>
      <c r="C122" s="5">
        <v>20000</v>
      </c>
      <c r="D122" s="5">
        <v>16500</v>
      </c>
      <c r="E122" s="5">
        <v>0</v>
      </c>
    </row>
    <row r="123" spans="1:5" x14ac:dyDescent="0.3">
      <c r="A123" t="s">
        <v>1644</v>
      </c>
      <c r="B123" t="s">
        <v>1643</v>
      </c>
      <c r="C123" s="5">
        <v>20000</v>
      </c>
      <c r="D123" s="5">
        <v>15000</v>
      </c>
      <c r="E123" s="5">
        <v>15000</v>
      </c>
    </row>
    <row r="124" spans="1:5" x14ac:dyDescent="0.3">
      <c r="A124" t="s">
        <v>2830</v>
      </c>
      <c r="B124" t="s">
        <v>2829</v>
      </c>
      <c r="C124" s="5">
        <v>20000</v>
      </c>
      <c r="D124" s="5">
        <v>16500</v>
      </c>
      <c r="E124" s="5">
        <v>0</v>
      </c>
    </row>
    <row r="125" spans="1:5" x14ac:dyDescent="0.3">
      <c r="A125" t="s">
        <v>1134</v>
      </c>
      <c r="B125" t="s">
        <v>1133</v>
      </c>
      <c r="C125" s="5">
        <v>20000</v>
      </c>
      <c r="D125" s="5">
        <v>16500</v>
      </c>
      <c r="E125" s="5">
        <v>0</v>
      </c>
    </row>
    <row r="126" spans="1:5" x14ac:dyDescent="0.3">
      <c r="A126" t="s">
        <v>1800</v>
      </c>
      <c r="B126" t="s">
        <v>1799</v>
      </c>
      <c r="C126" s="5">
        <v>20000</v>
      </c>
      <c r="D126" s="5">
        <v>15000</v>
      </c>
      <c r="E126" s="5">
        <v>15000</v>
      </c>
    </row>
    <row r="127" spans="1:5" x14ac:dyDescent="0.3">
      <c r="A127" t="s">
        <v>1544</v>
      </c>
      <c r="B127" t="s">
        <v>1543</v>
      </c>
      <c r="C127" s="5">
        <v>20000</v>
      </c>
      <c r="D127" s="5">
        <v>16500</v>
      </c>
      <c r="E127" s="5">
        <v>0</v>
      </c>
    </row>
    <row r="128" spans="1:5" x14ac:dyDescent="0.3">
      <c r="A128" t="s">
        <v>2213</v>
      </c>
      <c r="B128" t="s">
        <v>2212</v>
      </c>
      <c r="C128" s="5">
        <v>20000</v>
      </c>
      <c r="D128" s="5">
        <v>15000</v>
      </c>
      <c r="E128" s="5">
        <v>15000</v>
      </c>
    </row>
    <row r="129" spans="1:5" x14ac:dyDescent="0.3">
      <c r="A129" t="s">
        <v>1503</v>
      </c>
      <c r="B129" t="s">
        <v>1502</v>
      </c>
      <c r="C129" s="5">
        <v>20000</v>
      </c>
      <c r="D129" s="5">
        <v>15000</v>
      </c>
      <c r="E129" s="5">
        <v>15000</v>
      </c>
    </row>
    <row r="130" spans="1:5" x14ac:dyDescent="0.3">
      <c r="A130" t="s">
        <v>1604</v>
      </c>
      <c r="B130" t="s">
        <v>1603</v>
      </c>
      <c r="C130" s="5">
        <v>20000</v>
      </c>
      <c r="D130" s="5">
        <v>15000</v>
      </c>
      <c r="E130" s="5">
        <v>15000</v>
      </c>
    </row>
    <row r="131" spans="1:5" x14ac:dyDescent="0.3">
      <c r="A131" t="s">
        <v>1427</v>
      </c>
      <c r="B131" t="s">
        <v>1426</v>
      </c>
      <c r="C131" s="5">
        <v>20000</v>
      </c>
      <c r="D131" s="5">
        <v>16500</v>
      </c>
      <c r="E131" s="5">
        <v>0</v>
      </c>
    </row>
    <row r="132" spans="1:5" x14ac:dyDescent="0.3">
      <c r="A132" t="s">
        <v>1833</v>
      </c>
      <c r="B132" t="s">
        <v>1832</v>
      </c>
      <c r="C132" s="5">
        <v>20000</v>
      </c>
      <c r="D132" s="5">
        <v>15000</v>
      </c>
      <c r="E132" s="5">
        <v>15000</v>
      </c>
    </row>
    <row r="133" spans="1:5" x14ac:dyDescent="0.3">
      <c r="A133" t="s">
        <v>2324</v>
      </c>
      <c r="B133" t="s">
        <v>2323</v>
      </c>
      <c r="C133" s="5">
        <v>20000</v>
      </c>
      <c r="D133" s="5">
        <v>15000</v>
      </c>
      <c r="E133" s="5">
        <v>15000</v>
      </c>
    </row>
    <row r="134" spans="1:5" x14ac:dyDescent="0.3">
      <c r="A134" t="s">
        <v>2563</v>
      </c>
      <c r="B134" t="s">
        <v>2562</v>
      </c>
      <c r="C134" s="5">
        <v>20000</v>
      </c>
      <c r="D134" s="5">
        <v>15000</v>
      </c>
      <c r="E134" s="5">
        <v>15000</v>
      </c>
    </row>
    <row r="135" spans="1:5" x14ac:dyDescent="0.3">
      <c r="A135" t="s">
        <v>1440</v>
      </c>
      <c r="B135" t="s">
        <v>1439</v>
      </c>
      <c r="C135" s="5">
        <v>20000</v>
      </c>
      <c r="D135" s="5">
        <v>16500</v>
      </c>
      <c r="E135" s="5">
        <v>0</v>
      </c>
    </row>
    <row r="136" spans="1:5" x14ac:dyDescent="0.3">
      <c r="A136" t="s">
        <v>2432</v>
      </c>
      <c r="B136" t="s">
        <v>2431</v>
      </c>
      <c r="C136" s="5">
        <v>20000</v>
      </c>
      <c r="D136" s="5">
        <v>15000</v>
      </c>
      <c r="E136" s="5">
        <v>15000</v>
      </c>
    </row>
    <row r="137" spans="1:5" x14ac:dyDescent="0.3">
      <c r="A137" t="s">
        <v>2143</v>
      </c>
      <c r="B137" t="s">
        <v>2142</v>
      </c>
      <c r="C137" s="5">
        <v>20000</v>
      </c>
      <c r="D137" s="5">
        <v>16500</v>
      </c>
      <c r="E137" s="5">
        <v>0</v>
      </c>
    </row>
    <row r="138" spans="1:5" x14ac:dyDescent="0.3">
      <c r="A138" t="s">
        <v>1453</v>
      </c>
      <c r="B138" t="s">
        <v>1452</v>
      </c>
      <c r="C138" s="5">
        <v>20000</v>
      </c>
      <c r="D138" s="5">
        <v>15000</v>
      </c>
      <c r="E138" s="5">
        <v>15000</v>
      </c>
    </row>
    <row r="139" spans="1:5" x14ac:dyDescent="0.3">
      <c r="A139" t="s">
        <v>2938</v>
      </c>
      <c r="B139" t="s">
        <v>2937</v>
      </c>
      <c r="C139" s="5">
        <v>20000</v>
      </c>
      <c r="D139" s="5">
        <v>16500</v>
      </c>
      <c r="E139" s="5">
        <v>0</v>
      </c>
    </row>
    <row r="140" spans="1:5" x14ac:dyDescent="0.3">
      <c r="A140" t="s">
        <v>3004</v>
      </c>
      <c r="B140" t="s">
        <v>1522</v>
      </c>
      <c r="C140" s="5">
        <v>20000</v>
      </c>
      <c r="D140" s="5">
        <v>15000</v>
      </c>
      <c r="E140" s="5">
        <v>15000</v>
      </c>
    </row>
    <row r="141" spans="1:5" x14ac:dyDescent="0.3">
      <c r="A141" t="s">
        <v>2993</v>
      </c>
      <c r="B141" t="s">
        <v>2992</v>
      </c>
      <c r="C141" s="5">
        <v>20000</v>
      </c>
      <c r="D141" s="5">
        <v>15000</v>
      </c>
      <c r="E141" s="5">
        <v>15000</v>
      </c>
    </row>
    <row r="142" spans="1:5" x14ac:dyDescent="0.3">
      <c r="A142" t="s">
        <v>3007</v>
      </c>
      <c r="B142" t="s">
        <v>3006</v>
      </c>
      <c r="C142" s="5">
        <v>20000</v>
      </c>
      <c r="D142" s="5">
        <v>15000</v>
      </c>
      <c r="E142" s="5">
        <v>15000</v>
      </c>
    </row>
    <row r="143" spans="1:5" x14ac:dyDescent="0.3">
      <c r="A143" t="s">
        <v>3020</v>
      </c>
      <c r="B143" t="s">
        <v>3019</v>
      </c>
      <c r="C143" s="5">
        <v>20000</v>
      </c>
      <c r="D143" s="5">
        <v>15000</v>
      </c>
      <c r="E143" s="5">
        <v>15000</v>
      </c>
    </row>
    <row r="144" spans="1:5" x14ac:dyDescent="0.3">
      <c r="A144" t="s">
        <v>3045</v>
      </c>
      <c r="B144" t="s">
        <v>3044</v>
      </c>
      <c r="C144" s="5">
        <v>20000</v>
      </c>
      <c r="D144" s="5">
        <v>15000</v>
      </c>
      <c r="E144" s="5">
        <v>15000</v>
      </c>
    </row>
    <row r="145" spans="1:5" x14ac:dyDescent="0.3">
      <c r="A145" t="s">
        <v>3234</v>
      </c>
      <c r="B145" t="s">
        <v>3233</v>
      </c>
      <c r="C145" s="5">
        <v>20000</v>
      </c>
      <c r="D145" s="5">
        <v>15000</v>
      </c>
      <c r="E145" s="5">
        <v>15000</v>
      </c>
    </row>
  </sheetData>
  <autoFilter ref="A3:E191" xr:uid="{A39F1A80-31C8-4729-AC15-653491A82F5B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B255E-48A6-4F70-BFA5-4797601B23BB}">
  <sheetPr codeName="Hoja12">
    <tabColor theme="8"/>
  </sheetPr>
  <dimension ref="A1:D40"/>
  <sheetViews>
    <sheetView zoomScale="75" zoomScaleNormal="75" workbookViewId="0">
      <selection activeCell="A3" sqref="A3:D39"/>
    </sheetView>
  </sheetViews>
  <sheetFormatPr baseColWidth="10" defaultRowHeight="14.4" x14ac:dyDescent="0.3"/>
  <cols>
    <col min="1" max="1" width="16" bestFit="1" customWidth="1"/>
    <col min="2" max="2" width="18.5546875" bestFit="1" customWidth="1"/>
    <col min="3" max="3" width="32.88671875" bestFit="1" customWidth="1"/>
    <col min="4" max="4" width="8.5546875" bestFit="1" customWidth="1"/>
  </cols>
  <sheetData>
    <row r="1" spans="1:4" x14ac:dyDescent="0.3">
      <c r="A1" s="10" t="s">
        <v>275</v>
      </c>
      <c r="B1" t="s" vm="4">
        <v>2026</v>
      </c>
    </row>
    <row r="3" spans="1:4" x14ac:dyDescent="0.3">
      <c r="A3" s="10" t="s">
        <v>278</v>
      </c>
      <c r="B3" s="10" t="s">
        <v>17</v>
      </c>
      <c r="C3" s="10" t="s">
        <v>273</v>
      </c>
      <c r="D3" t="s">
        <v>281</v>
      </c>
    </row>
    <row r="4" spans="1:4" x14ac:dyDescent="0.3">
      <c r="A4" t="s">
        <v>121</v>
      </c>
      <c r="B4" t="s">
        <v>717</v>
      </c>
      <c r="C4" t="s">
        <v>526</v>
      </c>
      <c r="D4" s="123">
        <v>1</v>
      </c>
    </row>
    <row r="5" spans="1:4" x14ac:dyDescent="0.3">
      <c r="B5" t="s">
        <v>717</v>
      </c>
      <c r="C5" t="s">
        <v>2912</v>
      </c>
      <c r="D5" s="123">
        <v>1</v>
      </c>
    </row>
    <row r="6" spans="1:4" x14ac:dyDescent="0.3">
      <c r="B6" t="s">
        <v>717</v>
      </c>
      <c r="C6" t="s">
        <v>2693</v>
      </c>
      <c r="D6" s="123">
        <v>1</v>
      </c>
    </row>
    <row r="7" spans="1:4" x14ac:dyDescent="0.3">
      <c r="B7" t="s">
        <v>717</v>
      </c>
      <c r="C7" t="s">
        <v>2847</v>
      </c>
      <c r="D7" s="123">
        <v>1</v>
      </c>
    </row>
    <row r="8" spans="1:4" x14ac:dyDescent="0.3">
      <c r="B8" t="s">
        <v>717</v>
      </c>
      <c r="C8" t="s">
        <v>484</v>
      </c>
      <c r="D8" s="123">
        <v>1</v>
      </c>
    </row>
    <row r="9" spans="1:4" x14ac:dyDescent="0.3">
      <c r="A9" t="s">
        <v>2009</v>
      </c>
      <c r="D9" s="123">
        <v>5</v>
      </c>
    </row>
    <row r="10" spans="1:4" x14ac:dyDescent="0.3">
      <c r="A10" t="s">
        <v>110</v>
      </c>
      <c r="B10" t="s">
        <v>717</v>
      </c>
      <c r="C10" t="s">
        <v>1840</v>
      </c>
      <c r="D10" s="123">
        <v>1</v>
      </c>
    </row>
    <row r="11" spans="1:4" x14ac:dyDescent="0.3">
      <c r="B11" t="s">
        <v>717</v>
      </c>
      <c r="C11" t="s">
        <v>2983</v>
      </c>
      <c r="D11" s="123">
        <v>1</v>
      </c>
    </row>
    <row r="12" spans="1:4" x14ac:dyDescent="0.3">
      <c r="B12" t="s">
        <v>717</v>
      </c>
      <c r="C12" t="s">
        <v>547</v>
      </c>
      <c r="D12" s="123">
        <v>1</v>
      </c>
    </row>
    <row r="13" spans="1:4" x14ac:dyDescent="0.3">
      <c r="B13" t="s">
        <v>717</v>
      </c>
      <c r="C13" t="s">
        <v>688</v>
      </c>
      <c r="D13" s="123">
        <v>1</v>
      </c>
    </row>
    <row r="14" spans="1:4" x14ac:dyDescent="0.3">
      <c r="B14" t="s">
        <v>717</v>
      </c>
      <c r="C14" t="s">
        <v>263</v>
      </c>
      <c r="D14" s="123">
        <v>1</v>
      </c>
    </row>
    <row r="15" spans="1:4" x14ac:dyDescent="0.3">
      <c r="A15" t="s">
        <v>1889</v>
      </c>
      <c r="D15" s="123">
        <v>5</v>
      </c>
    </row>
    <row r="16" spans="1:4" x14ac:dyDescent="0.3">
      <c r="A16" t="s">
        <v>117</v>
      </c>
      <c r="B16" t="s">
        <v>717</v>
      </c>
      <c r="C16" t="s">
        <v>2682</v>
      </c>
      <c r="D16" s="123">
        <v>1</v>
      </c>
    </row>
    <row r="17" spans="1:4" x14ac:dyDescent="0.3">
      <c r="B17" t="s">
        <v>717</v>
      </c>
      <c r="C17" t="s">
        <v>560</v>
      </c>
      <c r="D17" s="123">
        <v>1</v>
      </c>
    </row>
    <row r="18" spans="1:4" x14ac:dyDescent="0.3">
      <c r="B18" t="s">
        <v>717</v>
      </c>
      <c r="C18" t="s">
        <v>1992</v>
      </c>
      <c r="D18" s="123">
        <v>1</v>
      </c>
    </row>
    <row r="19" spans="1:4" x14ac:dyDescent="0.3">
      <c r="B19" t="s">
        <v>717</v>
      </c>
      <c r="C19" t="s">
        <v>2154</v>
      </c>
      <c r="D19" s="123">
        <v>1</v>
      </c>
    </row>
    <row r="20" spans="1:4" x14ac:dyDescent="0.3">
      <c r="B20" t="s">
        <v>717</v>
      </c>
      <c r="C20" t="s">
        <v>230</v>
      </c>
      <c r="D20" s="123">
        <v>1</v>
      </c>
    </row>
    <row r="21" spans="1:4" x14ac:dyDescent="0.3">
      <c r="A21" t="s">
        <v>2010</v>
      </c>
      <c r="D21" s="123">
        <v>5</v>
      </c>
    </row>
    <row r="22" spans="1:4" x14ac:dyDescent="0.3">
      <c r="A22" t="s">
        <v>122</v>
      </c>
      <c r="B22" t="s">
        <v>717</v>
      </c>
      <c r="C22" t="s">
        <v>223</v>
      </c>
      <c r="D22" s="123">
        <v>1</v>
      </c>
    </row>
    <row r="23" spans="1:4" x14ac:dyDescent="0.3">
      <c r="B23" t="s">
        <v>717</v>
      </c>
      <c r="C23" t="s">
        <v>2673</v>
      </c>
      <c r="D23" s="123">
        <v>1</v>
      </c>
    </row>
    <row r="24" spans="1:4" x14ac:dyDescent="0.3">
      <c r="B24" t="s">
        <v>717</v>
      </c>
      <c r="C24" t="s">
        <v>219</v>
      </c>
      <c r="D24" s="123">
        <v>1</v>
      </c>
    </row>
    <row r="25" spans="1:4" x14ac:dyDescent="0.3">
      <c r="B25" t="s">
        <v>717</v>
      </c>
      <c r="C25" t="s">
        <v>289</v>
      </c>
      <c r="D25" s="123">
        <v>1</v>
      </c>
    </row>
    <row r="26" spans="1:4" x14ac:dyDescent="0.3">
      <c r="A26" t="s">
        <v>1599</v>
      </c>
      <c r="D26" s="123">
        <v>4</v>
      </c>
    </row>
    <row r="27" spans="1:4" x14ac:dyDescent="0.3">
      <c r="A27" t="s">
        <v>104</v>
      </c>
      <c r="B27" t="s">
        <v>717</v>
      </c>
      <c r="C27" t="s">
        <v>573</v>
      </c>
      <c r="D27" s="123">
        <v>1</v>
      </c>
    </row>
    <row r="28" spans="1:4" x14ac:dyDescent="0.3">
      <c r="B28" t="s">
        <v>717</v>
      </c>
      <c r="C28" t="s">
        <v>1876</v>
      </c>
      <c r="D28" s="123">
        <v>1</v>
      </c>
    </row>
    <row r="29" spans="1:4" x14ac:dyDescent="0.3">
      <c r="B29" t="s">
        <v>717</v>
      </c>
      <c r="C29" t="s">
        <v>2895</v>
      </c>
      <c r="D29" s="123">
        <v>1</v>
      </c>
    </row>
    <row r="30" spans="1:4" x14ac:dyDescent="0.3">
      <c r="B30" t="s">
        <v>717</v>
      </c>
      <c r="C30" t="s">
        <v>266</v>
      </c>
      <c r="D30" s="123">
        <v>1</v>
      </c>
    </row>
    <row r="31" spans="1:4" x14ac:dyDescent="0.3">
      <c r="B31" t="s">
        <v>717</v>
      </c>
      <c r="C31" t="s">
        <v>1680</v>
      </c>
      <c r="D31" s="123">
        <v>1</v>
      </c>
    </row>
    <row r="32" spans="1:4" x14ac:dyDescent="0.3">
      <c r="B32" t="s">
        <v>717</v>
      </c>
      <c r="C32" t="s">
        <v>3034</v>
      </c>
      <c r="D32" s="123">
        <v>1</v>
      </c>
    </row>
    <row r="33" spans="1:4" x14ac:dyDescent="0.3">
      <c r="A33" t="s">
        <v>1600</v>
      </c>
      <c r="D33" s="123">
        <v>6</v>
      </c>
    </row>
    <row r="34" spans="1:4" x14ac:dyDescent="0.3">
      <c r="A34" t="s">
        <v>115</v>
      </c>
      <c r="B34" t="s">
        <v>717</v>
      </c>
      <c r="C34" t="s">
        <v>1722</v>
      </c>
      <c r="D34" s="123">
        <v>1</v>
      </c>
    </row>
    <row r="35" spans="1:4" x14ac:dyDescent="0.3">
      <c r="B35" t="s">
        <v>717</v>
      </c>
      <c r="C35" t="s">
        <v>137</v>
      </c>
      <c r="D35" s="123">
        <v>1</v>
      </c>
    </row>
    <row r="36" spans="1:4" x14ac:dyDescent="0.3">
      <c r="B36" t="s">
        <v>717</v>
      </c>
      <c r="C36" t="s">
        <v>1729</v>
      </c>
      <c r="D36" s="123">
        <v>1</v>
      </c>
    </row>
    <row r="37" spans="1:4" x14ac:dyDescent="0.3">
      <c r="B37" t="s">
        <v>717</v>
      </c>
      <c r="C37" t="s">
        <v>195</v>
      </c>
      <c r="D37" s="123">
        <v>1</v>
      </c>
    </row>
    <row r="38" spans="1:4" x14ac:dyDescent="0.3">
      <c r="B38" t="s">
        <v>717</v>
      </c>
      <c r="C38" t="s">
        <v>536</v>
      </c>
      <c r="D38" s="123">
        <v>1</v>
      </c>
    </row>
    <row r="39" spans="1:4" x14ac:dyDescent="0.3">
      <c r="A39" t="s">
        <v>1601</v>
      </c>
      <c r="D39" s="123">
        <v>5</v>
      </c>
    </row>
    <row r="40" spans="1:4" x14ac:dyDescent="0.3">
      <c r="A40" t="s">
        <v>182</v>
      </c>
      <c r="D40" s="123">
        <v>30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07D2A-3585-485F-A524-CE08FD60D41A}">
  <sheetPr codeName="Hoja22">
    <tabColor theme="8"/>
  </sheetPr>
  <dimension ref="A1:H184"/>
  <sheetViews>
    <sheetView topLeftCell="A60" workbookViewId="0">
      <selection activeCell="D184" sqref="D184"/>
    </sheetView>
  </sheetViews>
  <sheetFormatPr baseColWidth="10" defaultRowHeight="14.4" x14ac:dyDescent="0.3"/>
  <cols>
    <col min="1" max="1" width="44.6640625" bestFit="1" customWidth="1"/>
    <col min="2" max="2" width="21.88671875" bestFit="1" customWidth="1"/>
    <col min="3" max="3" width="12.6640625" bestFit="1" customWidth="1"/>
    <col min="4" max="4" width="36.44140625" bestFit="1" customWidth="1"/>
    <col min="5" max="5" width="25.88671875" bestFit="1" customWidth="1"/>
    <col min="6" max="6" width="19.6640625" bestFit="1" customWidth="1"/>
    <col min="7" max="7" width="141.6640625" bestFit="1" customWidth="1"/>
    <col min="8" max="8" width="18" bestFit="1" customWidth="1"/>
  </cols>
  <sheetData>
    <row r="1" spans="1:8" x14ac:dyDescent="0.3">
      <c r="A1" s="10" t="s">
        <v>68</v>
      </c>
      <c r="B1" t="s">
        <v>77</v>
      </c>
    </row>
    <row r="3" spans="1:8" x14ac:dyDescent="0.3">
      <c r="A3" s="10" t="s">
        <v>39</v>
      </c>
      <c r="B3" s="10" t="s">
        <v>441</v>
      </c>
      <c r="C3" s="10" t="s">
        <v>37</v>
      </c>
      <c r="D3" s="10" t="s">
        <v>46</v>
      </c>
      <c r="E3" s="10" t="s">
        <v>48</v>
      </c>
      <c r="F3" s="10" t="s">
        <v>97</v>
      </c>
      <c r="G3" s="10" t="s">
        <v>49</v>
      </c>
      <c r="H3" s="10" t="s">
        <v>45</v>
      </c>
    </row>
    <row r="4" spans="1:8" x14ac:dyDescent="0.3">
      <c r="A4" t="s">
        <v>1473</v>
      </c>
      <c r="B4" t="s">
        <v>1480</v>
      </c>
      <c r="C4" t="s">
        <v>1471</v>
      </c>
      <c r="D4" t="s">
        <v>1476</v>
      </c>
      <c r="E4" t="s">
        <v>713</v>
      </c>
      <c r="F4" t="s">
        <v>110</v>
      </c>
      <c r="G4" t="s">
        <v>731</v>
      </c>
      <c r="H4" t="s">
        <v>4</v>
      </c>
    </row>
    <row r="5" spans="1:8" x14ac:dyDescent="0.3">
      <c r="A5" t="s">
        <v>223</v>
      </c>
      <c r="B5" t="s">
        <v>1697</v>
      </c>
      <c r="C5" t="s">
        <v>221</v>
      </c>
      <c r="D5" t="s">
        <v>226</v>
      </c>
      <c r="E5" t="s">
        <v>713</v>
      </c>
      <c r="F5" t="s">
        <v>122</v>
      </c>
      <c r="G5" t="s">
        <v>731</v>
      </c>
      <c r="H5" t="s">
        <v>5</v>
      </c>
    </row>
    <row r="6" spans="1:8" x14ac:dyDescent="0.3">
      <c r="A6" t="s">
        <v>1902</v>
      </c>
      <c r="B6" t="s">
        <v>1906</v>
      </c>
      <c r="C6" t="s">
        <v>1900</v>
      </c>
      <c r="D6" t="s">
        <v>113</v>
      </c>
      <c r="E6" t="s">
        <v>713</v>
      </c>
      <c r="F6" t="s">
        <v>110</v>
      </c>
      <c r="G6" t="s">
        <v>731</v>
      </c>
      <c r="H6" t="s">
        <v>4</v>
      </c>
    </row>
    <row r="7" spans="1:8" x14ac:dyDescent="0.3">
      <c r="A7" t="s">
        <v>805</v>
      </c>
      <c r="B7" t="s">
        <v>813</v>
      </c>
      <c r="C7" t="s">
        <v>803</v>
      </c>
      <c r="D7" t="s">
        <v>745</v>
      </c>
      <c r="E7" t="s">
        <v>713</v>
      </c>
      <c r="F7" t="s">
        <v>121</v>
      </c>
      <c r="G7" t="s">
        <v>731</v>
      </c>
      <c r="H7" t="s">
        <v>4</v>
      </c>
    </row>
    <row r="8" spans="1:8" x14ac:dyDescent="0.3">
      <c r="A8" t="s">
        <v>2874</v>
      </c>
      <c r="B8" t="s">
        <v>2875</v>
      </c>
      <c r="C8" t="s">
        <v>2872</v>
      </c>
      <c r="D8" t="s">
        <v>2878</v>
      </c>
      <c r="E8" t="s">
        <v>713</v>
      </c>
      <c r="F8" t="s">
        <v>6</v>
      </c>
      <c r="G8" t="s">
        <v>731</v>
      </c>
      <c r="H8" t="s">
        <v>6</v>
      </c>
    </row>
    <row r="9" spans="1:8" x14ac:dyDescent="0.3">
      <c r="A9" t="s">
        <v>526</v>
      </c>
      <c r="B9" t="s">
        <v>2042</v>
      </c>
      <c r="C9" t="s">
        <v>525</v>
      </c>
      <c r="D9" t="s">
        <v>2035</v>
      </c>
      <c r="E9" t="s">
        <v>713</v>
      </c>
      <c r="F9" t="s">
        <v>121</v>
      </c>
      <c r="G9" t="s">
        <v>731</v>
      </c>
      <c r="H9" t="s">
        <v>5</v>
      </c>
    </row>
    <row r="10" spans="1:8" x14ac:dyDescent="0.3">
      <c r="A10" t="s">
        <v>1084</v>
      </c>
      <c r="B10" t="s">
        <v>1095</v>
      </c>
      <c r="C10" t="s">
        <v>1082</v>
      </c>
      <c r="D10" t="s">
        <v>226</v>
      </c>
      <c r="E10" t="s">
        <v>713</v>
      </c>
      <c r="F10" t="s">
        <v>115</v>
      </c>
      <c r="G10" t="s">
        <v>731</v>
      </c>
      <c r="H10" t="s">
        <v>4</v>
      </c>
    </row>
    <row r="11" spans="1:8" x14ac:dyDescent="0.3">
      <c r="A11" t="s">
        <v>1465</v>
      </c>
      <c r="B11" t="s">
        <v>1469</v>
      </c>
      <c r="C11" t="s">
        <v>1463</v>
      </c>
      <c r="D11" t="s">
        <v>123</v>
      </c>
      <c r="E11" t="s">
        <v>730</v>
      </c>
      <c r="F11" t="s">
        <v>115</v>
      </c>
      <c r="G11" t="s">
        <v>731</v>
      </c>
      <c r="H11" t="s">
        <v>4</v>
      </c>
    </row>
    <row r="12" spans="1:8" x14ac:dyDescent="0.3">
      <c r="A12" t="s">
        <v>1722</v>
      </c>
      <c r="B12" t="s">
        <v>1727</v>
      </c>
      <c r="C12" t="s">
        <v>1720</v>
      </c>
      <c r="D12" t="s">
        <v>245</v>
      </c>
      <c r="E12" t="s">
        <v>713</v>
      </c>
      <c r="F12" t="s">
        <v>115</v>
      </c>
      <c r="G12" t="s">
        <v>731</v>
      </c>
      <c r="H12" t="s">
        <v>1744</v>
      </c>
    </row>
    <row r="13" spans="1:8" x14ac:dyDescent="0.3">
      <c r="A13" t="s">
        <v>1187</v>
      </c>
      <c r="B13" t="s">
        <v>1192</v>
      </c>
      <c r="C13" t="s">
        <v>1557</v>
      </c>
      <c r="D13" t="s">
        <v>1003</v>
      </c>
      <c r="E13" t="s">
        <v>120</v>
      </c>
      <c r="F13" t="s">
        <v>121</v>
      </c>
      <c r="G13" t="s">
        <v>731</v>
      </c>
      <c r="H13" t="s">
        <v>4</v>
      </c>
    </row>
    <row r="14" spans="1:8" x14ac:dyDescent="0.3">
      <c r="A14" t="s">
        <v>2580</v>
      </c>
      <c r="B14" t="s">
        <v>2589</v>
      </c>
      <c r="C14" t="s">
        <v>2578</v>
      </c>
      <c r="D14" t="s">
        <v>132</v>
      </c>
      <c r="E14" t="s">
        <v>713</v>
      </c>
      <c r="F14" t="s">
        <v>104</v>
      </c>
      <c r="G14" t="s">
        <v>731</v>
      </c>
      <c r="H14" t="s">
        <v>4</v>
      </c>
    </row>
    <row r="15" spans="1:8" x14ac:dyDescent="0.3">
      <c r="A15" t="s">
        <v>999</v>
      </c>
      <c r="B15" t="s">
        <v>1010</v>
      </c>
      <c r="C15" t="s">
        <v>1555</v>
      </c>
      <c r="D15" t="s">
        <v>1003</v>
      </c>
      <c r="E15" t="s">
        <v>713</v>
      </c>
      <c r="F15" t="s">
        <v>122</v>
      </c>
      <c r="G15" t="s">
        <v>1005</v>
      </c>
      <c r="H15" t="s">
        <v>4</v>
      </c>
    </row>
    <row r="16" spans="1:8" x14ac:dyDescent="0.3">
      <c r="A16" t="s">
        <v>3020</v>
      </c>
      <c r="B16" t="s">
        <v>3025</v>
      </c>
      <c r="C16" t="s">
        <v>3018</v>
      </c>
      <c r="D16" t="s">
        <v>557</v>
      </c>
      <c r="E16" t="s">
        <v>120</v>
      </c>
      <c r="F16" t="s">
        <v>117</v>
      </c>
      <c r="G16" t="s">
        <v>731</v>
      </c>
      <c r="H16" t="s">
        <v>4</v>
      </c>
    </row>
    <row r="17" spans="1:8" x14ac:dyDescent="0.3">
      <c r="A17" t="s">
        <v>1840</v>
      </c>
      <c r="B17" t="s">
        <v>1043</v>
      </c>
      <c r="C17" t="s">
        <v>303</v>
      </c>
      <c r="D17" t="s">
        <v>109</v>
      </c>
      <c r="E17" t="s">
        <v>713</v>
      </c>
      <c r="F17" t="s">
        <v>110</v>
      </c>
      <c r="G17" t="s">
        <v>731</v>
      </c>
      <c r="H17" t="s">
        <v>5</v>
      </c>
    </row>
    <row r="18" spans="1:8" x14ac:dyDescent="0.3">
      <c r="A18" t="s">
        <v>936</v>
      </c>
      <c r="B18" t="s">
        <v>946</v>
      </c>
      <c r="C18" t="s">
        <v>934</v>
      </c>
      <c r="D18" t="s">
        <v>939</v>
      </c>
      <c r="E18" t="s">
        <v>713</v>
      </c>
      <c r="F18" t="s">
        <v>104</v>
      </c>
      <c r="G18" t="s">
        <v>941</v>
      </c>
      <c r="H18" t="s">
        <v>4</v>
      </c>
    </row>
    <row r="19" spans="1:8" x14ac:dyDescent="0.3">
      <c r="A19" t="s">
        <v>724</v>
      </c>
      <c r="B19" t="s">
        <v>738</v>
      </c>
      <c r="C19" t="s">
        <v>722</v>
      </c>
      <c r="D19" t="s">
        <v>226</v>
      </c>
      <c r="E19" t="s">
        <v>713</v>
      </c>
      <c r="F19" t="s">
        <v>117</v>
      </c>
      <c r="G19" t="s">
        <v>731</v>
      </c>
      <c r="H19" t="s">
        <v>4</v>
      </c>
    </row>
    <row r="20" spans="1:8" x14ac:dyDescent="0.3">
      <c r="A20" t="s">
        <v>2056</v>
      </c>
      <c r="B20" t="s">
        <v>2060</v>
      </c>
      <c r="C20" t="s">
        <v>2054</v>
      </c>
      <c r="D20" t="s">
        <v>150</v>
      </c>
      <c r="E20" t="s">
        <v>713</v>
      </c>
      <c r="F20" t="s">
        <v>121</v>
      </c>
      <c r="G20" t="s">
        <v>731</v>
      </c>
      <c r="H20" t="s">
        <v>4</v>
      </c>
    </row>
    <row r="21" spans="1:8" x14ac:dyDescent="0.3">
      <c r="A21" t="s">
        <v>2129</v>
      </c>
      <c r="B21" t="s">
        <v>1184</v>
      </c>
      <c r="C21" t="s">
        <v>2127</v>
      </c>
      <c r="D21" t="s">
        <v>2132</v>
      </c>
      <c r="E21" t="s">
        <v>713</v>
      </c>
      <c r="F21" t="s">
        <v>110</v>
      </c>
      <c r="G21" t="s">
        <v>2133</v>
      </c>
      <c r="H21" t="s">
        <v>4</v>
      </c>
    </row>
    <row r="22" spans="1:8" x14ac:dyDescent="0.3">
      <c r="A22" t="s">
        <v>1055</v>
      </c>
      <c r="B22" t="s">
        <v>1063</v>
      </c>
      <c r="C22" t="s">
        <v>1053</v>
      </c>
      <c r="D22" t="s">
        <v>135</v>
      </c>
      <c r="E22" t="s">
        <v>120</v>
      </c>
      <c r="F22" t="s">
        <v>110</v>
      </c>
      <c r="G22" t="s">
        <v>1059</v>
      </c>
      <c r="H22" t="s">
        <v>4</v>
      </c>
    </row>
    <row r="23" spans="1:8" x14ac:dyDescent="0.3">
      <c r="A23" t="s">
        <v>1178</v>
      </c>
      <c r="B23" t="s">
        <v>1184</v>
      </c>
      <c r="C23" t="s">
        <v>1176</v>
      </c>
      <c r="D23" t="s">
        <v>123</v>
      </c>
      <c r="E23" t="s">
        <v>730</v>
      </c>
      <c r="F23" t="s">
        <v>104</v>
      </c>
      <c r="G23" t="s">
        <v>731</v>
      </c>
      <c r="H23" t="s">
        <v>4</v>
      </c>
    </row>
    <row r="24" spans="1:8" x14ac:dyDescent="0.3">
      <c r="A24" t="s">
        <v>1037</v>
      </c>
      <c r="B24" t="s">
        <v>1043</v>
      </c>
      <c r="C24" t="s">
        <v>1035</v>
      </c>
      <c r="D24" t="s">
        <v>1003</v>
      </c>
      <c r="E24" t="s">
        <v>713</v>
      </c>
      <c r="F24" t="s">
        <v>122</v>
      </c>
      <c r="G24" t="s">
        <v>731</v>
      </c>
      <c r="H24" t="s">
        <v>4</v>
      </c>
    </row>
    <row r="25" spans="1:8" x14ac:dyDescent="0.3">
      <c r="A25" t="s">
        <v>1782</v>
      </c>
      <c r="B25" t="s">
        <v>1786</v>
      </c>
      <c r="C25" t="s">
        <v>1780</v>
      </c>
      <c r="D25" t="s">
        <v>135</v>
      </c>
      <c r="E25" t="s">
        <v>730</v>
      </c>
      <c r="F25" t="s">
        <v>122</v>
      </c>
      <c r="G25" t="s">
        <v>731</v>
      </c>
      <c r="H25" t="s">
        <v>4</v>
      </c>
    </row>
    <row r="26" spans="1:8" x14ac:dyDescent="0.3">
      <c r="A26" t="s">
        <v>1290</v>
      </c>
      <c r="B26" t="s">
        <v>1149</v>
      </c>
      <c r="C26" t="s">
        <v>1288</v>
      </c>
      <c r="D26" t="s">
        <v>1003</v>
      </c>
      <c r="E26" t="s">
        <v>713</v>
      </c>
      <c r="F26" t="s">
        <v>122</v>
      </c>
      <c r="G26" t="s">
        <v>731</v>
      </c>
      <c r="H26" t="s">
        <v>4</v>
      </c>
    </row>
    <row r="27" spans="1:8" x14ac:dyDescent="0.3">
      <c r="A27" t="s">
        <v>1047</v>
      </c>
      <c r="B27" t="s">
        <v>1051</v>
      </c>
      <c r="C27" t="s">
        <v>1045</v>
      </c>
      <c r="D27" t="s">
        <v>1003</v>
      </c>
      <c r="E27" t="s">
        <v>713</v>
      </c>
      <c r="F27" t="s">
        <v>122</v>
      </c>
      <c r="G27" t="s">
        <v>731</v>
      </c>
      <c r="H27" t="s">
        <v>4</v>
      </c>
    </row>
    <row r="28" spans="1:8" x14ac:dyDescent="0.3">
      <c r="A28" t="s">
        <v>1143</v>
      </c>
      <c r="B28" t="s">
        <v>1149</v>
      </c>
      <c r="C28" t="s">
        <v>1141</v>
      </c>
      <c r="D28" t="s">
        <v>1125</v>
      </c>
      <c r="E28" t="s">
        <v>713</v>
      </c>
      <c r="F28" t="s">
        <v>117</v>
      </c>
      <c r="G28" t="s">
        <v>731</v>
      </c>
      <c r="H28" t="s">
        <v>4</v>
      </c>
    </row>
    <row r="29" spans="1:8" x14ac:dyDescent="0.3">
      <c r="A29" t="s">
        <v>2938</v>
      </c>
      <c r="B29" t="s">
        <v>2943</v>
      </c>
      <c r="C29" t="s">
        <v>2936</v>
      </c>
      <c r="D29" t="s">
        <v>123</v>
      </c>
      <c r="E29" t="s">
        <v>713</v>
      </c>
      <c r="F29" t="s">
        <v>110</v>
      </c>
      <c r="G29" t="s">
        <v>731</v>
      </c>
      <c r="H29" t="s">
        <v>4</v>
      </c>
    </row>
    <row r="30" spans="1:8" x14ac:dyDescent="0.3">
      <c r="A30" t="s">
        <v>2382</v>
      </c>
      <c r="B30" t="s">
        <v>2391</v>
      </c>
      <c r="C30" t="s">
        <v>2380</v>
      </c>
      <c r="D30" t="s">
        <v>3055</v>
      </c>
      <c r="E30" t="s">
        <v>713</v>
      </c>
      <c r="F30" t="s">
        <v>104</v>
      </c>
      <c r="G30" t="s">
        <v>2388</v>
      </c>
      <c r="H30" t="s">
        <v>4</v>
      </c>
    </row>
    <row r="31" spans="1:8" x14ac:dyDescent="0.3">
      <c r="A31" t="s">
        <v>2682</v>
      </c>
      <c r="B31" t="s">
        <v>2187</v>
      </c>
      <c r="C31" t="s">
        <v>544</v>
      </c>
      <c r="D31" t="s">
        <v>134</v>
      </c>
      <c r="E31" t="s">
        <v>120</v>
      </c>
      <c r="F31" t="s">
        <v>117</v>
      </c>
      <c r="G31" t="s">
        <v>2687</v>
      </c>
      <c r="H31" t="s">
        <v>5</v>
      </c>
    </row>
    <row r="32" spans="1:8" x14ac:dyDescent="0.3">
      <c r="A32" t="s">
        <v>2180</v>
      </c>
      <c r="B32" t="s">
        <v>2187</v>
      </c>
      <c r="C32" t="s">
        <v>2178</v>
      </c>
      <c r="D32" t="s">
        <v>1125</v>
      </c>
      <c r="E32" t="s">
        <v>713</v>
      </c>
      <c r="F32" t="s">
        <v>110</v>
      </c>
      <c r="G32" t="s">
        <v>731</v>
      </c>
      <c r="H32" t="s">
        <v>4</v>
      </c>
    </row>
    <row r="33" spans="1:8" x14ac:dyDescent="0.3">
      <c r="A33" t="s">
        <v>2947</v>
      </c>
      <c r="B33" t="s">
        <v>2953</v>
      </c>
      <c r="C33" t="s">
        <v>2945</v>
      </c>
      <c r="D33" t="s">
        <v>413</v>
      </c>
      <c r="E33" t="s">
        <v>120</v>
      </c>
      <c r="F33" t="s">
        <v>110</v>
      </c>
      <c r="G33" t="s">
        <v>2340</v>
      </c>
      <c r="H33" t="s">
        <v>2949</v>
      </c>
    </row>
    <row r="34" spans="1:8" x14ac:dyDescent="0.3">
      <c r="A34" t="s">
        <v>1893</v>
      </c>
      <c r="B34" t="s">
        <v>1898</v>
      </c>
      <c r="C34" t="s">
        <v>1891</v>
      </c>
      <c r="D34" t="s">
        <v>132</v>
      </c>
      <c r="E34" t="s">
        <v>713</v>
      </c>
      <c r="F34" t="s">
        <v>104</v>
      </c>
      <c r="G34" t="s">
        <v>731</v>
      </c>
      <c r="H34" t="s">
        <v>4</v>
      </c>
    </row>
    <row r="35" spans="1:8" x14ac:dyDescent="0.3">
      <c r="A35" t="s">
        <v>840</v>
      </c>
      <c r="B35" t="s">
        <v>849</v>
      </c>
      <c r="C35" t="s">
        <v>838</v>
      </c>
      <c r="D35" t="s">
        <v>413</v>
      </c>
      <c r="E35" t="s">
        <v>713</v>
      </c>
      <c r="F35" t="s">
        <v>122</v>
      </c>
      <c r="G35" t="s">
        <v>845</v>
      </c>
      <c r="H35" t="s">
        <v>4</v>
      </c>
    </row>
    <row r="36" spans="1:8" x14ac:dyDescent="0.3">
      <c r="A36" t="s">
        <v>137</v>
      </c>
      <c r="B36" t="s">
        <v>1874</v>
      </c>
      <c r="C36" t="s">
        <v>138</v>
      </c>
      <c r="D36" t="s">
        <v>1866</v>
      </c>
      <c r="E36" t="s">
        <v>713</v>
      </c>
      <c r="F36" t="s">
        <v>115</v>
      </c>
      <c r="G36" t="s">
        <v>731</v>
      </c>
      <c r="H36" t="s">
        <v>5</v>
      </c>
    </row>
    <row r="37" spans="1:8" x14ac:dyDescent="0.3">
      <c r="A37" t="s">
        <v>2571</v>
      </c>
      <c r="B37" t="s">
        <v>2576</v>
      </c>
      <c r="C37" t="s">
        <v>2569</v>
      </c>
      <c r="D37" t="s">
        <v>132</v>
      </c>
      <c r="E37" t="s">
        <v>713</v>
      </c>
      <c r="F37" t="s">
        <v>115</v>
      </c>
      <c r="G37" t="s">
        <v>731</v>
      </c>
      <c r="H37" t="s">
        <v>4</v>
      </c>
    </row>
    <row r="38" spans="1:8" x14ac:dyDescent="0.3">
      <c r="A38" t="s">
        <v>1910</v>
      </c>
      <c r="B38" t="s">
        <v>1778</v>
      </c>
      <c r="C38" t="s">
        <v>1908</v>
      </c>
      <c r="D38" t="s">
        <v>1914</v>
      </c>
      <c r="E38" t="s">
        <v>713</v>
      </c>
      <c r="F38" t="s">
        <v>110</v>
      </c>
      <c r="G38" t="s">
        <v>1916</v>
      </c>
      <c r="H38" t="s">
        <v>4</v>
      </c>
    </row>
    <row r="39" spans="1:8" x14ac:dyDescent="0.3">
      <c r="A39" t="s">
        <v>1206</v>
      </c>
      <c r="B39" t="s">
        <v>1213</v>
      </c>
      <c r="C39" t="s">
        <v>1204</v>
      </c>
      <c r="D39" t="s">
        <v>123</v>
      </c>
      <c r="E39" t="s">
        <v>730</v>
      </c>
      <c r="F39" t="s">
        <v>117</v>
      </c>
      <c r="G39" t="s">
        <v>1210</v>
      </c>
      <c r="H39" t="s">
        <v>4</v>
      </c>
    </row>
    <row r="40" spans="1:8" x14ac:dyDescent="0.3">
      <c r="A40" t="s">
        <v>2983</v>
      </c>
      <c r="B40" t="s">
        <v>2988</v>
      </c>
      <c r="C40" t="s">
        <v>388</v>
      </c>
      <c r="D40" t="s">
        <v>132</v>
      </c>
      <c r="E40" t="s">
        <v>713</v>
      </c>
      <c r="F40" t="s">
        <v>110</v>
      </c>
      <c r="G40" t="s">
        <v>731</v>
      </c>
      <c r="H40" t="s">
        <v>5</v>
      </c>
    </row>
    <row r="41" spans="1:8" x14ac:dyDescent="0.3">
      <c r="A41" t="s">
        <v>1196</v>
      </c>
      <c r="B41" t="s">
        <v>1202</v>
      </c>
      <c r="C41" t="s">
        <v>1194</v>
      </c>
      <c r="D41" t="s">
        <v>123</v>
      </c>
      <c r="E41" t="s">
        <v>730</v>
      </c>
      <c r="F41" t="s">
        <v>122</v>
      </c>
      <c r="G41" t="s">
        <v>731</v>
      </c>
      <c r="H41" t="s">
        <v>4</v>
      </c>
    </row>
    <row r="42" spans="1:8" x14ac:dyDescent="0.3">
      <c r="A42" t="s">
        <v>873</v>
      </c>
      <c r="B42" t="s">
        <v>882</v>
      </c>
      <c r="C42" t="s">
        <v>871</v>
      </c>
      <c r="D42" t="s">
        <v>876</v>
      </c>
      <c r="E42" t="s">
        <v>713</v>
      </c>
      <c r="F42" t="s">
        <v>110</v>
      </c>
      <c r="G42" t="s">
        <v>877</v>
      </c>
      <c r="H42" t="s">
        <v>4</v>
      </c>
    </row>
    <row r="43" spans="1:8" x14ac:dyDescent="0.3">
      <c r="A43" t="s">
        <v>1342</v>
      </c>
      <c r="B43" t="s">
        <v>882</v>
      </c>
      <c r="C43" t="s">
        <v>1340</v>
      </c>
      <c r="D43" t="s">
        <v>692</v>
      </c>
      <c r="E43" t="s">
        <v>730</v>
      </c>
      <c r="F43" t="s">
        <v>117</v>
      </c>
      <c r="G43" t="s">
        <v>731</v>
      </c>
      <c r="H43" t="s">
        <v>4</v>
      </c>
    </row>
    <row r="44" spans="1:8" x14ac:dyDescent="0.3">
      <c r="A44" t="s">
        <v>1729</v>
      </c>
      <c r="B44" t="s">
        <v>1737</v>
      </c>
      <c r="C44" t="s">
        <v>203</v>
      </c>
      <c r="D44" t="s">
        <v>109</v>
      </c>
      <c r="E44" t="s">
        <v>713</v>
      </c>
      <c r="F44" t="s">
        <v>115</v>
      </c>
      <c r="G44" t="s">
        <v>1732</v>
      </c>
      <c r="H44" t="s">
        <v>5</v>
      </c>
    </row>
    <row r="45" spans="1:8" x14ac:dyDescent="0.3">
      <c r="A45" t="s">
        <v>2116</v>
      </c>
      <c r="B45" t="s">
        <v>2124</v>
      </c>
      <c r="C45" t="s">
        <v>2114</v>
      </c>
      <c r="D45" t="s">
        <v>692</v>
      </c>
      <c r="E45" t="s">
        <v>713</v>
      </c>
      <c r="F45" t="s">
        <v>110</v>
      </c>
      <c r="G45" t="s">
        <v>2119</v>
      </c>
      <c r="H45" t="s">
        <v>4</v>
      </c>
    </row>
    <row r="46" spans="1:8" x14ac:dyDescent="0.3">
      <c r="A46" t="s">
        <v>1153</v>
      </c>
      <c r="B46" t="s">
        <v>1161</v>
      </c>
      <c r="C46" t="s">
        <v>1151</v>
      </c>
      <c r="D46" t="s">
        <v>123</v>
      </c>
      <c r="E46" t="s">
        <v>730</v>
      </c>
      <c r="F46" t="s">
        <v>117</v>
      </c>
      <c r="G46" t="s">
        <v>1156</v>
      </c>
      <c r="H46" t="s">
        <v>4</v>
      </c>
    </row>
    <row r="47" spans="1:8" x14ac:dyDescent="0.3">
      <c r="A47" t="s">
        <v>795</v>
      </c>
      <c r="B47" t="s">
        <v>779</v>
      </c>
      <c r="C47" t="s">
        <v>793</v>
      </c>
      <c r="D47" t="s">
        <v>162</v>
      </c>
      <c r="E47" t="s">
        <v>713</v>
      </c>
      <c r="F47" t="s">
        <v>117</v>
      </c>
      <c r="G47" t="s">
        <v>731</v>
      </c>
      <c r="H47" t="s">
        <v>4</v>
      </c>
    </row>
    <row r="48" spans="1:8" x14ac:dyDescent="0.3">
      <c r="A48" t="s">
        <v>769</v>
      </c>
      <c r="B48" t="s">
        <v>779</v>
      </c>
      <c r="C48" t="s">
        <v>767</v>
      </c>
      <c r="D48" t="s">
        <v>162</v>
      </c>
      <c r="E48" t="s">
        <v>713</v>
      </c>
      <c r="F48" t="s">
        <v>104</v>
      </c>
      <c r="G48" t="s">
        <v>731</v>
      </c>
      <c r="H48" t="s">
        <v>4</v>
      </c>
    </row>
    <row r="49" spans="1:8" x14ac:dyDescent="0.3">
      <c r="A49" t="s">
        <v>2454</v>
      </c>
      <c r="B49" t="s">
        <v>2463</v>
      </c>
      <c r="C49" t="s">
        <v>2452</v>
      </c>
      <c r="D49" t="s">
        <v>150</v>
      </c>
      <c r="E49" t="s">
        <v>713</v>
      </c>
      <c r="F49" t="s">
        <v>122</v>
      </c>
      <c r="G49" t="s">
        <v>2460</v>
      </c>
      <c r="H49" t="s">
        <v>4</v>
      </c>
    </row>
    <row r="50" spans="1:8" x14ac:dyDescent="0.3">
      <c r="A50" t="s">
        <v>1259</v>
      </c>
      <c r="B50" t="s">
        <v>779</v>
      </c>
      <c r="C50" t="s">
        <v>1257</v>
      </c>
      <c r="D50" t="s">
        <v>1253</v>
      </c>
      <c r="E50" t="s">
        <v>730</v>
      </c>
      <c r="F50" t="s">
        <v>117</v>
      </c>
      <c r="G50" t="s">
        <v>731</v>
      </c>
      <c r="H50" t="s">
        <v>4</v>
      </c>
    </row>
    <row r="51" spans="1:8" x14ac:dyDescent="0.3">
      <c r="A51" t="s">
        <v>2097</v>
      </c>
      <c r="B51" t="s">
        <v>2104</v>
      </c>
      <c r="C51" t="s">
        <v>2095</v>
      </c>
      <c r="D51" t="s">
        <v>2101</v>
      </c>
      <c r="E51" t="s">
        <v>120</v>
      </c>
      <c r="F51" t="s">
        <v>117</v>
      </c>
      <c r="G51" t="s">
        <v>731</v>
      </c>
      <c r="H51" t="s">
        <v>4</v>
      </c>
    </row>
    <row r="52" spans="1:8" x14ac:dyDescent="0.3">
      <c r="A52" t="s">
        <v>2839</v>
      </c>
      <c r="B52" t="s">
        <v>2843</v>
      </c>
      <c r="C52" t="s">
        <v>2837</v>
      </c>
      <c r="D52" t="s">
        <v>135</v>
      </c>
      <c r="E52" t="s">
        <v>730</v>
      </c>
      <c r="F52" t="s">
        <v>122</v>
      </c>
      <c r="G52" t="s">
        <v>731</v>
      </c>
      <c r="H52" t="s">
        <v>4</v>
      </c>
    </row>
    <row r="53" spans="1:8" x14ac:dyDescent="0.3">
      <c r="A53" t="s">
        <v>2064</v>
      </c>
      <c r="B53" t="s">
        <v>2075</v>
      </c>
      <c r="C53" t="s">
        <v>2062</v>
      </c>
      <c r="D53" t="s">
        <v>150</v>
      </c>
      <c r="E53" t="s">
        <v>120</v>
      </c>
      <c r="F53" t="s">
        <v>122</v>
      </c>
      <c r="G53" t="s">
        <v>731</v>
      </c>
      <c r="H53" t="s">
        <v>4</v>
      </c>
    </row>
    <row r="54" spans="1:8" x14ac:dyDescent="0.3">
      <c r="A54" t="s">
        <v>2742</v>
      </c>
      <c r="B54" t="s">
        <v>2747</v>
      </c>
      <c r="C54" t="s">
        <v>2740</v>
      </c>
      <c r="D54" t="s">
        <v>114</v>
      </c>
      <c r="E54" t="s">
        <v>730</v>
      </c>
      <c r="F54" t="s">
        <v>104</v>
      </c>
      <c r="G54" t="s">
        <v>731</v>
      </c>
      <c r="H54" t="s">
        <v>4</v>
      </c>
    </row>
    <row r="55" spans="1:8" x14ac:dyDescent="0.3">
      <c r="A55" t="s">
        <v>2269</v>
      </c>
      <c r="B55" t="s">
        <v>2278</v>
      </c>
      <c r="C55" t="s">
        <v>2267</v>
      </c>
      <c r="D55" t="s">
        <v>1125</v>
      </c>
      <c r="E55" t="s">
        <v>713</v>
      </c>
      <c r="F55" t="s">
        <v>115</v>
      </c>
      <c r="G55" t="s">
        <v>731</v>
      </c>
      <c r="H55" t="s">
        <v>4</v>
      </c>
    </row>
    <row r="56" spans="1:8" x14ac:dyDescent="0.3">
      <c r="A56" t="s">
        <v>2810</v>
      </c>
      <c r="B56" t="s">
        <v>2816</v>
      </c>
      <c r="C56" t="s">
        <v>2808</v>
      </c>
      <c r="D56" t="s">
        <v>1476</v>
      </c>
      <c r="E56" t="s">
        <v>713</v>
      </c>
      <c r="F56" t="s">
        <v>104</v>
      </c>
      <c r="G56" t="s">
        <v>731</v>
      </c>
      <c r="H56" t="s">
        <v>4</v>
      </c>
    </row>
    <row r="57" spans="1:8" x14ac:dyDescent="0.3">
      <c r="A57" t="s">
        <v>573</v>
      </c>
      <c r="B57" t="s">
        <v>1707</v>
      </c>
      <c r="C57" t="s">
        <v>501</v>
      </c>
      <c r="D57" t="s">
        <v>398</v>
      </c>
      <c r="E57" t="s">
        <v>713</v>
      </c>
      <c r="F57" t="s">
        <v>104</v>
      </c>
      <c r="G57" t="s">
        <v>731</v>
      </c>
      <c r="H57" t="s">
        <v>5</v>
      </c>
    </row>
    <row r="58" spans="1:8" x14ac:dyDescent="0.3">
      <c r="A58" t="s">
        <v>2260</v>
      </c>
      <c r="B58" t="s">
        <v>2265</v>
      </c>
      <c r="C58" t="s">
        <v>2258</v>
      </c>
      <c r="D58" t="s">
        <v>745</v>
      </c>
      <c r="E58" t="s">
        <v>713</v>
      </c>
      <c r="F58" t="s">
        <v>115</v>
      </c>
      <c r="G58" t="s">
        <v>731</v>
      </c>
      <c r="H58" t="s">
        <v>4</v>
      </c>
    </row>
    <row r="59" spans="1:8" x14ac:dyDescent="0.3">
      <c r="A59" t="s">
        <v>2309</v>
      </c>
      <c r="B59" t="s">
        <v>2319</v>
      </c>
      <c r="C59" t="s">
        <v>2307</v>
      </c>
      <c r="D59" t="s">
        <v>745</v>
      </c>
      <c r="E59" t="s">
        <v>713</v>
      </c>
      <c r="F59" t="s">
        <v>115</v>
      </c>
      <c r="G59" t="s">
        <v>731</v>
      </c>
      <c r="H59" t="s">
        <v>4</v>
      </c>
    </row>
    <row r="60" spans="1:8" x14ac:dyDescent="0.3">
      <c r="A60" t="s">
        <v>2542</v>
      </c>
      <c r="B60" t="s">
        <v>2549</v>
      </c>
      <c r="C60" t="s">
        <v>2540</v>
      </c>
      <c r="D60" t="s">
        <v>1125</v>
      </c>
      <c r="E60" t="s">
        <v>713</v>
      </c>
      <c r="F60" t="s">
        <v>110</v>
      </c>
      <c r="G60" t="s">
        <v>731</v>
      </c>
      <c r="H60" t="s">
        <v>4</v>
      </c>
    </row>
    <row r="61" spans="1:8" x14ac:dyDescent="0.3">
      <c r="A61" t="s">
        <v>547</v>
      </c>
      <c r="B61" t="s">
        <v>1979</v>
      </c>
      <c r="C61" t="s">
        <v>546</v>
      </c>
      <c r="D61" t="s">
        <v>1972</v>
      </c>
      <c r="E61" t="s">
        <v>713</v>
      </c>
      <c r="F61" t="s">
        <v>110</v>
      </c>
      <c r="G61" t="s">
        <v>731</v>
      </c>
      <c r="H61" t="s">
        <v>5</v>
      </c>
    </row>
    <row r="62" spans="1:8" x14ac:dyDescent="0.3">
      <c r="A62" t="s">
        <v>1492</v>
      </c>
      <c r="B62" t="s">
        <v>1499</v>
      </c>
      <c r="C62" t="s">
        <v>1490</v>
      </c>
      <c r="D62" t="s">
        <v>132</v>
      </c>
      <c r="E62" t="s">
        <v>713</v>
      </c>
      <c r="F62" t="s">
        <v>121</v>
      </c>
      <c r="G62" t="s">
        <v>1495</v>
      </c>
      <c r="H62" t="s">
        <v>4</v>
      </c>
    </row>
    <row r="63" spans="1:8" x14ac:dyDescent="0.3">
      <c r="A63" t="s">
        <v>560</v>
      </c>
      <c r="B63" t="s">
        <v>2176</v>
      </c>
      <c r="C63" t="s">
        <v>559</v>
      </c>
      <c r="D63" t="s">
        <v>413</v>
      </c>
      <c r="E63" t="s">
        <v>713</v>
      </c>
      <c r="F63" t="s">
        <v>117</v>
      </c>
      <c r="G63" t="s">
        <v>731</v>
      </c>
      <c r="H63" t="s">
        <v>5</v>
      </c>
    </row>
    <row r="64" spans="1:8" x14ac:dyDescent="0.3">
      <c r="A64" t="s">
        <v>1111</v>
      </c>
      <c r="B64" t="s">
        <v>1118</v>
      </c>
      <c r="C64" t="s">
        <v>1109</v>
      </c>
      <c r="D64" t="s">
        <v>123</v>
      </c>
      <c r="E64" t="s">
        <v>730</v>
      </c>
      <c r="F64" t="s">
        <v>117</v>
      </c>
      <c r="G64" t="s">
        <v>731</v>
      </c>
      <c r="H64" t="s">
        <v>4</v>
      </c>
    </row>
    <row r="65" spans="1:8" x14ac:dyDescent="0.3">
      <c r="A65" t="s">
        <v>1239</v>
      </c>
      <c r="B65" t="s">
        <v>1246</v>
      </c>
      <c r="C65" t="s">
        <v>1558</v>
      </c>
      <c r="D65" t="s">
        <v>123</v>
      </c>
      <c r="E65" t="s">
        <v>730</v>
      </c>
      <c r="F65" t="s">
        <v>121</v>
      </c>
      <c r="G65" t="s">
        <v>761</v>
      </c>
      <c r="H65" t="s">
        <v>4</v>
      </c>
    </row>
    <row r="66" spans="1:8" x14ac:dyDescent="0.3">
      <c r="A66" t="s">
        <v>974</v>
      </c>
      <c r="B66" t="s">
        <v>982</v>
      </c>
      <c r="C66" t="s">
        <v>1554</v>
      </c>
      <c r="D66" t="s">
        <v>135</v>
      </c>
      <c r="E66" t="s">
        <v>713</v>
      </c>
      <c r="F66" t="s">
        <v>121</v>
      </c>
      <c r="G66" t="s">
        <v>731</v>
      </c>
      <c r="H66" t="s">
        <v>4</v>
      </c>
    </row>
    <row r="67" spans="1:8" x14ac:dyDescent="0.3">
      <c r="A67" t="s">
        <v>1122</v>
      </c>
      <c r="B67" t="s">
        <v>1130</v>
      </c>
      <c r="C67" t="s">
        <v>1120</v>
      </c>
      <c r="D67" t="s">
        <v>1125</v>
      </c>
      <c r="E67" t="s">
        <v>120</v>
      </c>
      <c r="F67" t="s">
        <v>117</v>
      </c>
      <c r="G67" t="s">
        <v>731</v>
      </c>
      <c r="H67" t="s">
        <v>4</v>
      </c>
    </row>
    <row r="68" spans="1:8" x14ac:dyDescent="0.3">
      <c r="A68" t="s">
        <v>1876</v>
      </c>
      <c r="B68" t="s">
        <v>1880</v>
      </c>
      <c r="C68" t="s">
        <v>251</v>
      </c>
      <c r="D68" t="s">
        <v>135</v>
      </c>
      <c r="E68" t="s">
        <v>713</v>
      </c>
      <c r="F68" t="s">
        <v>104</v>
      </c>
      <c r="G68" t="s">
        <v>731</v>
      </c>
      <c r="H68" t="s">
        <v>5</v>
      </c>
    </row>
    <row r="69" spans="1:8" x14ac:dyDescent="0.3">
      <c r="A69" t="s">
        <v>1382</v>
      </c>
      <c r="B69" t="s">
        <v>1387</v>
      </c>
      <c r="C69" t="s">
        <v>1380</v>
      </c>
      <c r="D69" t="s">
        <v>1003</v>
      </c>
      <c r="E69" t="s">
        <v>713</v>
      </c>
      <c r="F69" t="s">
        <v>115</v>
      </c>
      <c r="G69" t="s">
        <v>731</v>
      </c>
      <c r="H69" t="s">
        <v>4</v>
      </c>
    </row>
    <row r="70" spans="1:8" x14ac:dyDescent="0.3">
      <c r="A70" t="s">
        <v>2371</v>
      </c>
      <c r="B70" t="s">
        <v>2378</v>
      </c>
      <c r="C70" t="s">
        <v>2369</v>
      </c>
      <c r="D70" t="s">
        <v>745</v>
      </c>
      <c r="E70" t="s">
        <v>713</v>
      </c>
      <c r="F70" t="s">
        <v>121</v>
      </c>
      <c r="G70" t="s">
        <v>2375</v>
      </c>
      <c r="H70" t="s">
        <v>4</v>
      </c>
    </row>
    <row r="71" spans="1:8" x14ac:dyDescent="0.3">
      <c r="A71" t="s">
        <v>2864</v>
      </c>
      <c r="B71" t="s">
        <v>2870</v>
      </c>
      <c r="C71" t="s">
        <v>2862</v>
      </c>
      <c r="D71" t="s">
        <v>2712</v>
      </c>
      <c r="E71" t="s">
        <v>713</v>
      </c>
      <c r="F71" t="s">
        <v>115</v>
      </c>
      <c r="G71" t="s">
        <v>731</v>
      </c>
      <c r="H71" t="s">
        <v>4</v>
      </c>
    </row>
    <row r="72" spans="1:8" x14ac:dyDescent="0.3">
      <c r="A72" t="s">
        <v>2912</v>
      </c>
      <c r="B72" t="s">
        <v>2923</v>
      </c>
      <c r="C72" t="s">
        <v>2910</v>
      </c>
      <c r="D72" t="s">
        <v>2696</v>
      </c>
      <c r="E72" t="s">
        <v>713</v>
      </c>
      <c r="F72" t="s">
        <v>121</v>
      </c>
      <c r="G72" t="s">
        <v>2918</v>
      </c>
      <c r="H72" t="s">
        <v>5</v>
      </c>
    </row>
    <row r="73" spans="1:8" x14ac:dyDescent="0.3">
      <c r="A73" t="s">
        <v>2485</v>
      </c>
      <c r="B73" t="s">
        <v>2492</v>
      </c>
      <c r="C73" t="s">
        <v>2483</v>
      </c>
      <c r="D73" t="s">
        <v>235</v>
      </c>
      <c r="E73" t="s">
        <v>713</v>
      </c>
      <c r="F73" t="s">
        <v>122</v>
      </c>
      <c r="G73" t="s">
        <v>731</v>
      </c>
      <c r="H73" t="s">
        <v>4</v>
      </c>
    </row>
    <row r="74" spans="1:8" x14ac:dyDescent="0.3">
      <c r="A74" t="s">
        <v>2673</v>
      </c>
      <c r="B74" t="s">
        <v>2492</v>
      </c>
      <c r="C74" t="s">
        <v>2671</v>
      </c>
      <c r="D74" t="s">
        <v>2677</v>
      </c>
      <c r="E74" t="s">
        <v>713</v>
      </c>
      <c r="F74" t="s">
        <v>122</v>
      </c>
      <c r="G74" t="s">
        <v>731</v>
      </c>
      <c r="H74" t="s">
        <v>5</v>
      </c>
    </row>
    <row r="75" spans="1:8" x14ac:dyDescent="0.3">
      <c r="A75" t="s">
        <v>2206</v>
      </c>
      <c r="B75" t="s">
        <v>1304</v>
      </c>
      <c r="C75" t="s">
        <v>2204</v>
      </c>
      <c r="D75" t="s">
        <v>1125</v>
      </c>
      <c r="E75" t="s">
        <v>713</v>
      </c>
      <c r="F75" t="s">
        <v>122</v>
      </c>
      <c r="G75" t="s">
        <v>731</v>
      </c>
      <c r="H75" t="s">
        <v>4</v>
      </c>
    </row>
    <row r="76" spans="1:8" x14ac:dyDescent="0.3">
      <c r="A76" t="s">
        <v>1165</v>
      </c>
      <c r="B76" t="s">
        <v>1174</v>
      </c>
      <c r="C76" t="s">
        <v>1163</v>
      </c>
      <c r="D76" t="s">
        <v>123</v>
      </c>
      <c r="E76" t="s">
        <v>730</v>
      </c>
      <c r="F76" t="s">
        <v>122</v>
      </c>
      <c r="G76" t="s">
        <v>1170</v>
      </c>
      <c r="H76" t="s">
        <v>4</v>
      </c>
    </row>
    <row r="77" spans="1:8" x14ac:dyDescent="0.3">
      <c r="A77" t="s">
        <v>1297</v>
      </c>
      <c r="B77" t="s">
        <v>1304</v>
      </c>
      <c r="C77" t="s">
        <v>1295</v>
      </c>
      <c r="D77" t="s">
        <v>1300</v>
      </c>
      <c r="E77" t="s">
        <v>713</v>
      </c>
      <c r="F77" t="s">
        <v>122</v>
      </c>
      <c r="G77" t="s">
        <v>731</v>
      </c>
      <c r="H77" t="s">
        <v>4</v>
      </c>
    </row>
    <row r="78" spans="1:8" x14ac:dyDescent="0.3">
      <c r="A78" t="s">
        <v>2531</v>
      </c>
      <c r="B78" t="s">
        <v>2538</v>
      </c>
      <c r="C78" t="s">
        <v>2720</v>
      </c>
      <c r="D78" t="s">
        <v>1125</v>
      </c>
      <c r="E78" t="s">
        <v>120</v>
      </c>
      <c r="F78" t="s">
        <v>104</v>
      </c>
      <c r="G78" t="s">
        <v>731</v>
      </c>
      <c r="H78" t="s">
        <v>4</v>
      </c>
    </row>
    <row r="79" spans="1:8" x14ac:dyDescent="0.3">
      <c r="A79" t="s">
        <v>2693</v>
      </c>
      <c r="B79" t="s">
        <v>1304</v>
      </c>
      <c r="C79" t="s">
        <v>2691</v>
      </c>
      <c r="D79" t="s">
        <v>2696</v>
      </c>
      <c r="E79" t="s">
        <v>713</v>
      </c>
      <c r="F79" t="s">
        <v>121</v>
      </c>
      <c r="G79" t="s">
        <v>731</v>
      </c>
      <c r="H79" t="s">
        <v>5</v>
      </c>
    </row>
    <row r="80" spans="1:8" x14ac:dyDescent="0.3">
      <c r="A80" t="s">
        <v>1809</v>
      </c>
      <c r="B80" t="s">
        <v>1814</v>
      </c>
      <c r="C80" t="s">
        <v>1807</v>
      </c>
      <c r="D80" t="s">
        <v>162</v>
      </c>
      <c r="E80" t="s">
        <v>120</v>
      </c>
      <c r="F80" t="s">
        <v>115</v>
      </c>
      <c r="G80" t="s">
        <v>731</v>
      </c>
      <c r="H80" t="s">
        <v>4</v>
      </c>
    </row>
    <row r="81" spans="1:8" x14ac:dyDescent="0.3">
      <c r="A81" t="s">
        <v>2620</v>
      </c>
      <c r="B81" t="s">
        <v>2520</v>
      </c>
      <c r="C81" t="s">
        <v>2618</v>
      </c>
      <c r="D81" t="s">
        <v>1125</v>
      </c>
      <c r="E81" t="s">
        <v>120</v>
      </c>
      <c r="F81" t="s">
        <v>104</v>
      </c>
      <c r="G81" t="s">
        <v>731</v>
      </c>
      <c r="H81" t="s">
        <v>4</v>
      </c>
    </row>
    <row r="82" spans="1:8" x14ac:dyDescent="0.3">
      <c r="A82" t="s">
        <v>2515</v>
      </c>
      <c r="B82" t="s">
        <v>2520</v>
      </c>
      <c r="C82" t="s">
        <v>2513</v>
      </c>
      <c r="D82" t="s">
        <v>1125</v>
      </c>
      <c r="E82" t="s">
        <v>713</v>
      </c>
      <c r="F82" t="s">
        <v>115</v>
      </c>
      <c r="G82" t="s">
        <v>731</v>
      </c>
      <c r="H82" t="s">
        <v>4</v>
      </c>
    </row>
    <row r="83" spans="1:8" x14ac:dyDescent="0.3">
      <c r="A83" t="s">
        <v>2709</v>
      </c>
      <c r="B83" t="s">
        <v>2520</v>
      </c>
      <c r="C83" t="s">
        <v>2707</v>
      </c>
      <c r="D83" t="s">
        <v>2712</v>
      </c>
      <c r="E83" t="s">
        <v>120</v>
      </c>
      <c r="F83" t="s">
        <v>117</v>
      </c>
      <c r="G83" t="s">
        <v>2714</v>
      </c>
      <c r="H83" t="s">
        <v>4</v>
      </c>
    </row>
    <row r="84" spans="1:8" x14ac:dyDescent="0.3">
      <c r="A84" t="s">
        <v>950</v>
      </c>
      <c r="B84" t="s">
        <v>955</v>
      </c>
      <c r="C84" t="s">
        <v>948</v>
      </c>
      <c r="D84" t="s">
        <v>135</v>
      </c>
      <c r="E84" t="s">
        <v>713</v>
      </c>
      <c r="F84" t="s">
        <v>121</v>
      </c>
      <c r="G84" t="s">
        <v>731</v>
      </c>
      <c r="H84" t="s">
        <v>4</v>
      </c>
    </row>
    <row r="85" spans="1:8" x14ac:dyDescent="0.3">
      <c r="A85" t="s">
        <v>2108</v>
      </c>
      <c r="B85" t="s">
        <v>2112</v>
      </c>
      <c r="C85" t="s">
        <v>2106</v>
      </c>
      <c r="D85" t="s">
        <v>692</v>
      </c>
      <c r="E85" t="s">
        <v>730</v>
      </c>
      <c r="F85" t="s">
        <v>104</v>
      </c>
      <c r="G85" t="s">
        <v>731</v>
      </c>
      <c r="H85" t="s">
        <v>4</v>
      </c>
    </row>
    <row r="86" spans="1:8" x14ac:dyDescent="0.3">
      <c r="A86" t="s">
        <v>2291</v>
      </c>
      <c r="B86" t="s">
        <v>2296</v>
      </c>
      <c r="C86" t="s">
        <v>2289</v>
      </c>
      <c r="D86" t="s">
        <v>2132</v>
      </c>
      <c r="E86" t="s">
        <v>713</v>
      </c>
      <c r="F86" t="s">
        <v>110</v>
      </c>
      <c r="G86" t="s">
        <v>731</v>
      </c>
      <c r="H86" t="s">
        <v>4</v>
      </c>
    </row>
    <row r="87" spans="1:8" x14ac:dyDescent="0.3">
      <c r="A87" t="s">
        <v>817</v>
      </c>
      <c r="B87" t="s">
        <v>826</v>
      </c>
      <c r="C87" t="s">
        <v>815</v>
      </c>
      <c r="D87" t="s">
        <v>113</v>
      </c>
      <c r="E87" t="s">
        <v>713</v>
      </c>
      <c r="F87" t="s">
        <v>122</v>
      </c>
      <c r="G87" t="s">
        <v>731</v>
      </c>
      <c r="H87" t="s">
        <v>4</v>
      </c>
    </row>
    <row r="88" spans="1:8" x14ac:dyDescent="0.3">
      <c r="A88" t="s">
        <v>3045</v>
      </c>
      <c r="B88" t="s">
        <v>3049</v>
      </c>
      <c r="C88" t="s">
        <v>3043</v>
      </c>
      <c r="D88" t="s">
        <v>2665</v>
      </c>
      <c r="E88" t="s">
        <v>713</v>
      </c>
      <c r="F88" t="s">
        <v>104</v>
      </c>
      <c r="G88" t="s">
        <v>731</v>
      </c>
      <c r="H88" t="s">
        <v>4</v>
      </c>
    </row>
    <row r="89" spans="1:8" x14ac:dyDescent="0.3">
      <c r="A89" t="s">
        <v>2467</v>
      </c>
      <c r="B89" t="s">
        <v>869</v>
      </c>
      <c r="C89" t="s">
        <v>2465</v>
      </c>
      <c r="D89" t="s">
        <v>150</v>
      </c>
      <c r="E89" t="s">
        <v>713</v>
      </c>
      <c r="F89" t="s">
        <v>110</v>
      </c>
      <c r="G89" t="s">
        <v>731</v>
      </c>
      <c r="H89" t="s">
        <v>4</v>
      </c>
    </row>
    <row r="90" spans="1:8" x14ac:dyDescent="0.3">
      <c r="A90" t="s">
        <v>2221</v>
      </c>
      <c r="B90" t="s">
        <v>2225</v>
      </c>
      <c r="C90" t="s">
        <v>2219</v>
      </c>
      <c r="D90" t="s">
        <v>103</v>
      </c>
      <c r="E90" t="s">
        <v>713</v>
      </c>
      <c r="F90" t="s">
        <v>104</v>
      </c>
      <c r="G90" t="s">
        <v>731</v>
      </c>
      <c r="H90" t="s">
        <v>4</v>
      </c>
    </row>
    <row r="91" spans="1:8" x14ac:dyDescent="0.3">
      <c r="A91" t="s">
        <v>862</v>
      </c>
      <c r="B91" t="s">
        <v>869</v>
      </c>
      <c r="C91" t="s">
        <v>860</v>
      </c>
      <c r="D91" t="s">
        <v>413</v>
      </c>
      <c r="E91" t="s">
        <v>713</v>
      </c>
      <c r="F91" t="s">
        <v>122</v>
      </c>
      <c r="G91" t="s">
        <v>731</v>
      </c>
      <c r="H91" t="s">
        <v>4</v>
      </c>
    </row>
    <row r="92" spans="1:8" x14ac:dyDescent="0.3">
      <c r="A92" t="s">
        <v>564</v>
      </c>
      <c r="B92" t="s">
        <v>987</v>
      </c>
      <c r="C92" t="s">
        <v>563</v>
      </c>
      <c r="D92" t="s">
        <v>123</v>
      </c>
      <c r="E92" t="s">
        <v>730</v>
      </c>
      <c r="F92" t="s">
        <v>121</v>
      </c>
      <c r="G92" t="s">
        <v>731</v>
      </c>
      <c r="H92" t="s">
        <v>4</v>
      </c>
    </row>
    <row r="93" spans="1:8" x14ac:dyDescent="0.3">
      <c r="A93" t="s">
        <v>2524</v>
      </c>
      <c r="B93" t="s">
        <v>869</v>
      </c>
      <c r="C93" t="s">
        <v>2522</v>
      </c>
      <c r="D93" t="s">
        <v>150</v>
      </c>
      <c r="E93" t="s">
        <v>713</v>
      </c>
      <c r="F93" t="s">
        <v>117</v>
      </c>
      <c r="G93" t="s">
        <v>731</v>
      </c>
      <c r="H93" t="s">
        <v>4</v>
      </c>
    </row>
    <row r="94" spans="1:8" x14ac:dyDescent="0.3">
      <c r="A94" t="s">
        <v>1067</v>
      </c>
      <c r="B94" t="s">
        <v>1070</v>
      </c>
      <c r="C94" t="s">
        <v>1065</v>
      </c>
      <c r="D94" t="s">
        <v>1003</v>
      </c>
      <c r="E94" t="s">
        <v>713</v>
      </c>
      <c r="F94" t="s">
        <v>117</v>
      </c>
      <c r="G94" t="s">
        <v>731</v>
      </c>
      <c r="H94" t="s">
        <v>4</v>
      </c>
    </row>
    <row r="95" spans="1:8" x14ac:dyDescent="0.3">
      <c r="A95" t="s">
        <v>688</v>
      </c>
      <c r="B95" t="s">
        <v>1862</v>
      </c>
      <c r="C95" t="s">
        <v>686</v>
      </c>
      <c r="D95" t="s">
        <v>692</v>
      </c>
      <c r="E95" t="s">
        <v>713</v>
      </c>
      <c r="F95" t="s">
        <v>110</v>
      </c>
      <c r="G95" t="s">
        <v>731</v>
      </c>
      <c r="H95" t="s">
        <v>5</v>
      </c>
    </row>
    <row r="96" spans="1:8" x14ac:dyDescent="0.3">
      <c r="A96" t="s">
        <v>1352</v>
      </c>
      <c r="B96" t="s">
        <v>1356</v>
      </c>
      <c r="C96" t="s">
        <v>1350</v>
      </c>
      <c r="D96" t="s">
        <v>126</v>
      </c>
      <c r="E96" t="s">
        <v>713</v>
      </c>
      <c r="F96" t="s">
        <v>115</v>
      </c>
      <c r="G96" t="s">
        <v>731</v>
      </c>
      <c r="H96" t="s">
        <v>4</v>
      </c>
    </row>
    <row r="97" spans="1:8" x14ac:dyDescent="0.3">
      <c r="A97" t="s">
        <v>195</v>
      </c>
      <c r="B97" t="s">
        <v>1715</v>
      </c>
      <c r="C97" t="s">
        <v>1709</v>
      </c>
      <c r="D97" t="s">
        <v>126</v>
      </c>
      <c r="E97" t="s">
        <v>713</v>
      </c>
      <c r="F97" t="s">
        <v>115</v>
      </c>
      <c r="G97" t="s">
        <v>731</v>
      </c>
      <c r="H97" t="s">
        <v>5</v>
      </c>
    </row>
    <row r="98" spans="1:8" x14ac:dyDescent="0.3">
      <c r="A98" t="s">
        <v>2282</v>
      </c>
      <c r="B98" t="s">
        <v>2287</v>
      </c>
      <c r="C98" t="s">
        <v>2280</v>
      </c>
      <c r="D98" t="s">
        <v>745</v>
      </c>
      <c r="E98" t="s">
        <v>713</v>
      </c>
      <c r="F98" t="s">
        <v>115</v>
      </c>
      <c r="G98" t="s">
        <v>731</v>
      </c>
      <c r="H98" t="s">
        <v>4</v>
      </c>
    </row>
    <row r="99" spans="1:8" x14ac:dyDescent="0.3">
      <c r="A99" t="s">
        <v>2357</v>
      </c>
      <c r="B99" t="s">
        <v>2366</v>
      </c>
      <c r="C99" t="s">
        <v>2355</v>
      </c>
      <c r="D99" t="s">
        <v>745</v>
      </c>
      <c r="E99" t="s">
        <v>713</v>
      </c>
      <c r="F99" t="s">
        <v>104</v>
      </c>
      <c r="G99" t="s">
        <v>2362</v>
      </c>
      <c r="H99" t="s">
        <v>4</v>
      </c>
    </row>
    <row r="100" spans="1:8" x14ac:dyDescent="0.3">
      <c r="A100" t="s">
        <v>2441</v>
      </c>
      <c r="B100" t="s">
        <v>2450</v>
      </c>
      <c r="C100" t="s">
        <v>2439</v>
      </c>
      <c r="D100" t="s">
        <v>150</v>
      </c>
      <c r="E100" t="s">
        <v>713</v>
      </c>
      <c r="F100" t="s">
        <v>121</v>
      </c>
      <c r="G100" t="s">
        <v>731</v>
      </c>
      <c r="H100" t="s">
        <v>4</v>
      </c>
    </row>
    <row r="101" spans="1:8" x14ac:dyDescent="0.3">
      <c r="A101" t="s">
        <v>219</v>
      </c>
      <c r="B101" t="s">
        <v>2093</v>
      </c>
      <c r="C101" t="s">
        <v>217</v>
      </c>
      <c r="D101" t="s">
        <v>2665</v>
      </c>
      <c r="E101" t="s">
        <v>120</v>
      </c>
      <c r="F101" t="s">
        <v>122</v>
      </c>
      <c r="G101" t="s">
        <v>731</v>
      </c>
      <c r="H101" t="s">
        <v>5</v>
      </c>
    </row>
    <row r="102" spans="1:8" x14ac:dyDescent="0.3">
      <c r="A102" t="s">
        <v>1074</v>
      </c>
      <c r="B102" t="s">
        <v>1080</v>
      </c>
      <c r="C102" t="s">
        <v>1072</v>
      </c>
      <c r="D102" t="s">
        <v>226</v>
      </c>
      <c r="E102" t="s">
        <v>713</v>
      </c>
      <c r="F102" t="s">
        <v>104</v>
      </c>
      <c r="G102" t="s">
        <v>1077</v>
      </c>
      <c r="H102" t="s">
        <v>4</v>
      </c>
    </row>
    <row r="103" spans="1:8" x14ac:dyDescent="0.3">
      <c r="A103" t="s">
        <v>3004</v>
      </c>
      <c r="B103" t="s">
        <v>1529</v>
      </c>
      <c r="C103" t="s">
        <v>1521</v>
      </c>
      <c r="D103" t="s">
        <v>126</v>
      </c>
      <c r="E103" t="s">
        <v>713</v>
      </c>
      <c r="F103" t="s">
        <v>110</v>
      </c>
      <c r="G103" t="s">
        <v>1526</v>
      </c>
      <c r="H103" t="s">
        <v>4</v>
      </c>
    </row>
    <row r="104" spans="1:8" x14ac:dyDescent="0.3">
      <c r="A104" t="s">
        <v>2191</v>
      </c>
      <c r="B104" t="s">
        <v>2195</v>
      </c>
      <c r="C104" t="s">
        <v>2189</v>
      </c>
      <c r="D104" t="s">
        <v>1125</v>
      </c>
      <c r="E104" t="s">
        <v>713</v>
      </c>
      <c r="F104" t="s">
        <v>122</v>
      </c>
      <c r="G104" t="s">
        <v>731</v>
      </c>
      <c r="H104" t="s">
        <v>4</v>
      </c>
    </row>
    <row r="105" spans="1:8" x14ac:dyDescent="0.3">
      <c r="A105" t="s">
        <v>909</v>
      </c>
      <c r="B105" t="s">
        <v>917</v>
      </c>
      <c r="C105" t="s">
        <v>907</v>
      </c>
      <c r="D105" t="s">
        <v>413</v>
      </c>
      <c r="E105" t="s">
        <v>120</v>
      </c>
      <c r="F105" t="s">
        <v>115</v>
      </c>
      <c r="G105" t="s">
        <v>731</v>
      </c>
      <c r="H105" t="s">
        <v>4</v>
      </c>
    </row>
    <row r="106" spans="1:8" x14ac:dyDescent="0.3">
      <c r="A106" t="s">
        <v>2883</v>
      </c>
      <c r="B106" t="s">
        <v>2875</v>
      </c>
      <c r="C106" t="s">
        <v>2881</v>
      </c>
      <c r="D106" t="s">
        <v>2657</v>
      </c>
      <c r="E106" t="s">
        <v>713</v>
      </c>
      <c r="F106" t="s">
        <v>6</v>
      </c>
      <c r="G106" t="s">
        <v>731</v>
      </c>
      <c r="H106" t="s">
        <v>6</v>
      </c>
    </row>
    <row r="107" spans="1:8" x14ac:dyDescent="0.3">
      <c r="A107" t="s">
        <v>2336</v>
      </c>
      <c r="B107" t="s">
        <v>2344</v>
      </c>
      <c r="C107" t="s">
        <v>2334</v>
      </c>
      <c r="D107" t="s">
        <v>1125</v>
      </c>
      <c r="E107" t="s">
        <v>713</v>
      </c>
      <c r="F107" t="s">
        <v>122</v>
      </c>
      <c r="G107" t="s">
        <v>2340</v>
      </c>
      <c r="H107" t="s">
        <v>4</v>
      </c>
    </row>
    <row r="108" spans="1:8" x14ac:dyDescent="0.3">
      <c r="A108" t="s">
        <v>1515</v>
      </c>
      <c r="B108" t="s">
        <v>1519</v>
      </c>
      <c r="C108" t="s">
        <v>1559</v>
      </c>
      <c r="D108" t="s">
        <v>126</v>
      </c>
      <c r="E108" t="s">
        <v>713</v>
      </c>
      <c r="F108" t="s">
        <v>122</v>
      </c>
      <c r="G108" t="s">
        <v>731</v>
      </c>
      <c r="H108" t="s">
        <v>4</v>
      </c>
    </row>
    <row r="109" spans="1:8" x14ac:dyDescent="0.3">
      <c r="A109" t="s">
        <v>1024</v>
      </c>
      <c r="B109" t="s">
        <v>1033</v>
      </c>
      <c r="C109" t="s">
        <v>1022</v>
      </c>
      <c r="D109" t="s">
        <v>113</v>
      </c>
      <c r="E109" t="s">
        <v>713</v>
      </c>
      <c r="F109" t="s">
        <v>104</v>
      </c>
      <c r="G109" t="s">
        <v>731</v>
      </c>
      <c r="H109" t="s">
        <v>4</v>
      </c>
    </row>
    <row r="110" spans="1:8" x14ac:dyDescent="0.3">
      <c r="A110" t="s">
        <v>1250</v>
      </c>
      <c r="B110" t="s">
        <v>1255</v>
      </c>
      <c r="C110" t="s">
        <v>1248</v>
      </c>
      <c r="D110" t="s">
        <v>1253</v>
      </c>
      <c r="E110" t="s">
        <v>713</v>
      </c>
      <c r="F110" t="s">
        <v>115</v>
      </c>
      <c r="G110" t="s">
        <v>731</v>
      </c>
      <c r="H110" t="s">
        <v>4</v>
      </c>
    </row>
    <row r="111" spans="1:8" x14ac:dyDescent="0.3">
      <c r="A111" t="s">
        <v>2895</v>
      </c>
      <c r="B111" t="s">
        <v>2901</v>
      </c>
      <c r="C111" t="s">
        <v>2893</v>
      </c>
      <c r="D111" t="s">
        <v>132</v>
      </c>
      <c r="E111" t="s">
        <v>120</v>
      </c>
      <c r="F111" t="s">
        <v>104</v>
      </c>
      <c r="G111" t="s">
        <v>731</v>
      </c>
      <c r="H111" t="s">
        <v>1744</v>
      </c>
    </row>
    <row r="112" spans="1:8" x14ac:dyDescent="0.3">
      <c r="A112" t="s">
        <v>1013</v>
      </c>
      <c r="B112" t="s">
        <v>1020</v>
      </c>
      <c r="C112" t="s">
        <v>1556</v>
      </c>
      <c r="D112" t="s">
        <v>1003</v>
      </c>
      <c r="E112" t="s">
        <v>713</v>
      </c>
      <c r="F112" t="s">
        <v>117</v>
      </c>
      <c r="G112" t="s">
        <v>1018</v>
      </c>
      <c r="H112" t="s">
        <v>4</v>
      </c>
    </row>
    <row r="113" spans="1:8" x14ac:dyDescent="0.3">
      <c r="A113" t="s">
        <v>266</v>
      </c>
      <c r="B113" t="s">
        <v>1830</v>
      </c>
      <c r="C113" t="s">
        <v>264</v>
      </c>
      <c r="D113" t="s">
        <v>123</v>
      </c>
      <c r="E113" t="s">
        <v>713</v>
      </c>
      <c r="F113" t="s">
        <v>104</v>
      </c>
      <c r="G113" t="s">
        <v>1826</v>
      </c>
      <c r="H113" t="s">
        <v>5</v>
      </c>
    </row>
    <row r="114" spans="1:8" x14ac:dyDescent="0.3">
      <c r="A114" t="s">
        <v>2475</v>
      </c>
      <c r="B114" t="s">
        <v>2481</v>
      </c>
      <c r="C114" t="s">
        <v>2473</v>
      </c>
      <c r="D114" t="s">
        <v>132</v>
      </c>
      <c r="E114" t="s">
        <v>713</v>
      </c>
      <c r="F114" t="s">
        <v>121</v>
      </c>
      <c r="G114" t="s">
        <v>731</v>
      </c>
      <c r="H114" t="s">
        <v>4</v>
      </c>
    </row>
    <row r="115" spans="1:8" x14ac:dyDescent="0.3">
      <c r="A115" t="s">
        <v>2607</v>
      </c>
      <c r="B115" t="s">
        <v>2616</v>
      </c>
      <c r="C115" t="s">
        <v>2605</v>
      </c>
      <c r="D115" t="s">
        <v>2132</v>
      </c>
      <c r="E115" t="s">
        <v>713</v>
      </c>
      <c r="F115" t="s">
        <v>122</v>
      </c>
      <c r="G115" t="s">
        <v>731</v>
      </c>
      <c r="H115" t="s">
        <v>4</v>
      </c>
    </row>
    <row r="116" spans="1:8" x14ac:dyDescent="0.3">
      <c r="A116" t="s">
        <v>3007</v>
      </c>
      <c r="B116" t="s">
        <v>3016</v>
      </c>
      <c r="C116" t="s">
        <v>3005</v>
      </c>
      <c r="D116" t="s">
        <v>1300</v>
      </c>
      <c r="E116" t="s">
        <v>713</v>
      </c>
      <c r="F116" t="s">
        <v>104</v>
      </c>
      <c r="G116" t="s">
        <v>3010</v>
      </c>
      <c r="H116" t="s">
        <v>4</v>
      </c>
    </row>
    <row r="117" spans="1:8" x14ac:dyDescent="0.3">
      <c r="A117" t="s">
        <v>1760</v>
      </c>
      <c r="B117" t="s">
        <v>1769</v>
      </c>
      <c r="C117" t="s">
        <v>1758</v>
      </c>
      <c r="D117" t="s">
        <v>113</v>
      </c>
      <c r="E117" t="s">
        <v>713</v>
      </c>
      <c r="F117" t="s">
        <v>115</v>
      </c>
      <c r="G117" t="s">
        <v>731</v>
      </c>
      <c r="H117" t="s">
        <v>4</v>
      </c>
    </row>
    <row r="118" spans="1:8" x14ac:dyDescent="0.3">
      <c r="A118" t="s">
        <v>1925</v>
      </c>
      <c r="B118" t="s">
        <v>1940</v>
      </c>
      <c r="C118" t="s">
        <v>1923</v>
      </c>
      <c r="D118" t="s">
        <v>1928</v>
      </c>
      <c r="E118" t="s">
        <v>730</v>
      </c>
      <c r="F118" t="s">
        <v>121</v>
      </c>
      <c r="G118" t="s">
        <v>1930</v>
      </c>
      <c r="H118" t="s">
        <v>4</v>
      </c>
    </row>
    <row r="119" spans="1:8" x14ac:dyDescent="0.3">
      <c r="A119" t="s">
        <v>2593</v>
      </c>
      <c r="B119" t="s">
        <v>2602</v>
      </c>
      <c r="C119" t="s">
        <v>2591</v>
      </c>
      <c r="D119" t="s">
        <v>1300</v>
      </c>
      <c r="E119" t="s">
        <v>713</v>
      </c>
      <c r="F119" t="s">
        <v>110</v>
      </c>
      <c r="G119" t="s">
        <v>731</v>
      </c>
      <c r="H119" t="s">
        <v>4</v>
      </c>
    </row>
    <row r="120" spans="1:8" x14ac:dyDescent="0.3">
      <c r="A120" t="s">
        <v>2239</v>
      </c>
      <c r="B120" t="s">
        <v>2246</v>
      </c>
      <c r="C120" t="s">
        <v>2237</v>
      </c>
      <c r="D120" t="s">
        <v>1928</v>
      </c>
      <c r="E120" t="s">
        <v>713</v>
      </c>
      <c r="F120" t="s">
        <v>122</v>
      </c>
      <c r="G120" t="s">
        <v>731</v>
      </c>
      <c r="H120" t="s">
        <v>4</v>
      </c>
    </row>
    <row r="121" spans="1:8" x14ac:dyDescent="0.3">
      <c r="A121" t="s">
        <v>991</v>
      </c>
      <c r="B121" t="s">
        <v>996</v>
      </c>
      <c r="C121" t="s">
        <v>3242</v>
      </c>
      <c r="D121" t="s">
        <v>123</v>
      </c>
      <c r="E121" t="s">
        <v>730</v>
      </c>
      <c r="F121" t="s">
        <v>115</v>
      </c>
      <c r="G121" t="s">
        <v>731</v>
      </c>
      <c r="H121" t="s">
        <v>4</v>
      </c>
    </row>
    <row r="122" spans="1:8" x14ac:dyDescent="0.3">
      <c r="A122" t="s">
        <v>536</v>
      </c>
      <c r="B122" t="s">
        <v>1988</v>
      </c>
      <c r="C122" t="s">
        <v>535</v>
      </c>
      <c r="D122" t="s">
        <v>1983</v>
      </c>
      <c r="E122" t="s">
        <v>730</v>
      </c>
      <c r="F122" t="s">
        <v>115</v>
      </c>
      <c r="G122" t="s">
        <v>731</v>
      </c>
      <c r="H122" t="s">
        <v>5</v>
      </c>
    </row>
    <row r="123" spans="1:8" x14ac:dyDescent="0.3">
      <c r="A123" t="s">
        <v>1318</v>
      </c>
      <c r="B123" t="s">
        <v>1323</v>
      </c>
      <c r="C123" t="s">
        <v>1316</v>
      </c>
      <c r="D123" t="s">
        <v>1003</v>
      </c>
      <c r="E123" t="s">
        <v>713</v>
      </c>
      <c r="F123" t="s">
        <v>115</v>
      </c>
      <c r="G123" t="s">
        <v>731</v>
      </c>
      <c r="H123" t="s">
        <v>4</v>
      </c>
    </row>
    <row r="124" spans="1:8" x14ac:dyDescent="0.3">
      <c r="A124" t="s">
        <v>1391</v>
      </c>
      <c r="B124" t="s">
        <v>1394</v>
      </c>
      <c r="C124" t="s">
        <v>1389</v>
      </c>
      <c r="D124" t="s">
        <v>692</v>
      </c>
      <c r="E124" t="s">
        <v>730</v>
      </c>
      <c r="F124" t="s">
        <v>122</v>
      </c>
      <c r="G124" t="s">
        <v>731</v>
      </c>
      <c r="H124" t="s">
        <v>4</v>
      </c>
    </row>
    <row r="125" spans="1:8" x14ac:dyDescent="0.3">
      <c r="A125" t="s">
        <v>2399</v>
      </c>
      <c r="B125" t="s">
        <v>2406</v>
      </c>
      <c r="C125" t="s">
        <v>2397</v>
      </c>
      <c r="D125" t="s">
        <v>1125</v>
      </c>
      <c r="E125" t="s">
        <v>713</v>
      </c>
      <c r="F125" t="s">
        <v>115</v>
      </c>
      <c r="G125" t="s">
        <v>2402</v>
      </c>
      <c r="H125" t="s">
        <v>4</v>
      </c>
    </row>
    <row r="126" spans="1:8" x14ac:dyDescent="0.3">
      <c r="A126" t="s">
        <v>2199</v>
      </c>
      <c r="B126" t="s">
        <v>1222</v>
      </c>
      <c r="C126" t="s">
        <v>2197</v>
      </c>
      <c r="D126" t="s">
        <v>132</v>
      </c>
      <c r="E126" t="s">
        <v>713</v>
      </c>
      <c r="F126" t="s">
        <v>104</v>
      </c>
      <c r="G126" t="s">
        <v>731</v>
      </c>
      <c r="H126" t="s">
        <v>4</v>
      </c>
    </row>
    <row r="127" spans="1:8" x14ac:dyDescent="0.3">
      <c r="A127" t="s">
        <v>2957</v>
      </c>
      <c r="B127" t="s">
        <v>2966</v>
      </c>
      <c r="C127" t="s">
        <v>2955</v>
      </c>
      <c r="D127" t="s">
        <v>1003</v>
      </c>
      <c r="E127" t="s">
        <v>713</v>
      </c>
      <c r="F127" t="s">
        <v>117</v>
      </c>
      <c r="G127" t="s">
        <v>731</v>
      </c>
      <c r="H127" t="s">
        <v>2959</v>
      </c>
    </row>
    <row r="128" spans="1:8" x14ac:dyDescent="0.3">
      <c r="A128" t="s">
        <v>2506</v>
      </c>
      <c r="B128" t="s">
        <v>2511</v>
      </c>
      <c r="C128" t="s">
        <v>2504</v>
      </c>
      <c r="D128" t="s">
        <v>245</v>
      </c>
      <c r="E128" t="s">
        <v>713</v>
      </c>
      <c r="F128" t="s">
        <v>104</v>
      </c>
      <c r="G128" t="s">
        <v>2509</v>
      </c>
      <c r="H128" t="s">
        <v>4</v>
      </c>
    </row>
    <row r="129" spans="1:8" x14ac:dyDescent="0.3">
      <c r="A129" t="s">
        <v>2847</v>
      </c>
      <c r="B129" t="s">
        <v>2856</v>
      </c>
      <c r="C129" t="s">
        <v>2845</v>
      </c>
      <c r="D129" t="s">
        <v>413</v>
      </c>
      <c r="E129" t="s">
        <v>713</v>
      </c>
      <c r="F129" t="s">
        <v>121</v>
      </c>
      <c r="G129" t="s">
        <v>731</v>
      </c>
      <c r="H129" t="s">
        <v>5</v>
      </c>
    </row>
    <row r="130" spans="1:8" x14ac:dyDescent="0.3">
      <c r="A130" t="s">
        <v>1371</v>
      </c>
      <c r="B130" t="s">
        <v>1378</v>
      </c>
      <c r="C130" t="s">
        <v>1369</v>
      </c>
      <c r="D130" t="s">
        <v>692</v>
      </c>
      <c r="E130" t="s">
        <v>730</v>
      </c>
      <c r="F130" t="s">
        <v>117</v>
      </c>
      <c r="G130" t="s">
        <v>731</v>
      </c>
      <c r="H130" t="s">
        <v>4</v>
      </c>
    </row>
    <row r="131" spans="1:8" x14ac:dyDescent="0.3">
      <c r="A131" t="s">
        <v>1992</v>
      </c>
      <c r="B131" t="s">
        <v>2000</v>
      </c>
      <c r="C131" t="s">
        <v>1990</v>
      </c>
      <c r="D131" t="s">
        <v>1476</v>
      </c>
      <c r="E131" t="s">
        <v>713</v>
      </c>
      <c r="F131" t="s">
        <v>117</v>
      </c>
      <c r="G131" t="s">
        <v>731</v>
      </c>
      <c r="H131" t="s">
        <v>5</v>
      </c>
    </row>
    <row r="132" spans="1:8" x14ac:dyDescent="0.3">
      <c r="A132" t="s">
        <v>1955</v>
      </c>
      <c r="B132" t="s">
        <v>1961</v>
      </c>
      <c r="C132" t="s">
        <v>1953</v>
      </c>
      <c r="D132" t="s">
        <v>692</v>
      </c>
      <c r="E132" t="s">
        <v>120</v>
      </c>
      <c r="F132" t="s">
        <v>110</v>
      </c>
      <c r="G132" t="s">
        <v>731</v>
      </c>
      <c r="H132" t="s">
        <v>4</v>
      </c>
    </row>
    <row r="133" spans="1:8" x14ac:dyDescent="0.3">
      <c r="A133" t="s">
        <v>783</v>
      </c>
      <c r="B133" t="s">
        <v>791</v>
      </c>
      <c r="C133" t="s">
        <v>781</v>
      </c>
      <c r="D133" t="s">
        <v>113</v>
      </c>
      <c r="E133" t="s">
        <v>713</v>
      </c>
      <c r="F133" t="s">
        <v>121</v>
      </c>
      <c r="G133" t="s">
        <v>786</v>
      </c>
      <c r="H133" t="s">
        <v>4</v>
      </c>
    </row>
    <row r="134" spans="1:8" x14ac:dyDescent="0.3">
      <c r="A134" t="s">
        <v>2299</v>
      </c>
      <c r="B134" t="s">
        <v>2305</v>
      </c>
      <c r="C134" t="s">
        <v>2935</v>
      </c>
      <c r="D134" t="s">
        <v>2132</v>
      </c>
      <c r="E134" t="s">
        <v>713</v>
      </c>
      <c r="F134" t="s">
        <v>117</v>
      </c>
      <c r="G134" t="s">
        <v>731</v>
      </c>
      <c r="H134" t="s">
        <v>4</v>
      </c>
    </row>
    <row r="135" spans="1:8" x14ac:dyDescent="0.3">
      <c r="A135" t="s">
        <v>886</v>
      </c>
      <c r="B135" t="s">
        <v>892</v>
      </c>
      <c r="C135" t="s">
        <v>884</v>
      </c>
      <c r="D135" t="s">
        <v>876</v>
      </c>
      <c r="E135" t="s">
        <v>713</v>
      </c>
      <c r="F135" t="s">
        <v>104</v>
      </c>
      <c r="G135" t="s">
        <v>731</v>
      </c>
      <c r="H135" t="s">
        <v>4</v>
      </c>
    </row>
    <row r="136" spans="1:8" x14ac:dyDescent="0.3">
      <c r="A136" t="s">
        <v>1408</v>
      </c>
      <c r="B136" t="s">
        <v>858</v>
      </c>
      <c r="C136" t="s">
        <v>1406</v>
      </c>
      <c r="D136" t="s">
        <v>692</v>
      </c>
      <c r="E136" t="s">
        <v>730</v>
      </c>
      <c r="F136" t="s">
        <v>115</v>
      </c>
      <c r="G136" t="s">
        <v>731</v>
      </c>
      <c r="H136" t="s">
        <v>4</v>
      </c>
    </row>
    <row r="137" spans="1:8" x14ac:dyDescent="0.3">
      <c r="A137" t="s">
        <v>1308</v>
      </c>
      <c r="B137" t="s">
        <v>1314</v>
      </c>
      <c r="C137" t="s">
        <v>1306</v>
      </c>
      <c r="D137" t="s">
        <v>126</v>
      </c>
      <c r="E137" t="s">
        <v>730</v>
      </c>
      <c r="F137" t="s">
        <v>110</v>
      </c>
      <c r="G137" t="s">
        <v>731</v>
      </c>
      <c r="H137" t="s">
        <v>4</v>
      </c>
    </row>
    <row r="138" spans="1:8" x14ac:dyDescent="0.3">
      <c r="A138" t="s">
        <v>758</v>
      </c>
      <c r="B138" t="s">
        <v>765</v>
      </c>
      <c r="C138" t="s">
        <v>756</v>
      </c>
      <c r="D138" t="s">
        <v>162</v>
      </c>
      <c r="E138" t="s">
        <v>713</v>
      </c>
      <c r="F138" t="s">
        <v>117</v>
      </c>
      <c r="G138" t="s">
        <v>761</v>
      </c>
      <c r="H138" t="s">
        <v>4</v>
      </c>
    </row>
    <row r="139" spans="1:8" x14ac:dyDescent="0.3">
      <c r="A139" t="s">
        <v>1278</v>
      </c>
      <c r="B139" t="s">
        <v>1286</v>
      </c>
      <c r="C139" t="s">
        <v>1276</v>
      </c>
      <c r="D139" t="s">
        <v>162</v>
      </c>
      <c r="E139" t="s">
        <v>713</v>
      </c>
      <c r="F139" t="s">
        <v>104</v>
      </c>
      <c r="G139" t="s">
        <v>731</v>
      </c>
      <c r="H139" t="s">
        <v>4</v>
      </c>
    </row>
    <row r="140" spans="1:8" x14ac:dyDescent="0.3">
      <c r="A140" t="s">
        <v>289</v>
      </c>
      <c r="B140" t="s">
        <v>1821</v>
      </c>
      <c r="C140" t="s">
        <v>287</v>
      </c>
      <c r="D140" t="s">
        <v>135</v>
      </c>
      <c r="E140" t="s">
        <v>714</v>
      </c>
      <c r="F140" t="s">
        <v>122</v>
      </c>
      <c r="G140" t="s">
        <v>731</v>
      </c>
      <c r="H140" t="s">
        <v>5</v>
      </c>
    </row>
    <row r="141" spans="1:8" x14ac:dyDescent="0.3">
      <c r="A141" t="s">
        <v>2880</v>
      </c>
      <c r="B141" t="s">
        <v>2875</v>
      </c>
      <c r="C141" t="s">
        <v>445</v>
      </c>
      <c r="D141" t="s">
        <v>2878</v>
      </c>
      <c r="E141" t="s">
        <v>713</v>
      </c>
      <c r="F141" t="s">
        <v>6</v>
      </c>
      <c r="G141" t="s">
        <v>731</v>
      </c>
      <c r="H141" t="s">
        <v>6</v>
      </c>
    </row>
    <row r="142" spans="1:8" x14ac:dyDescent="0.3">
      <c r="A142" t="s">
        <v>1630</v>
      </c>
      <c r="B142" t="s">
        <v>1640</v>
      </c>
      <c r="C142" t="s">
        <v>1628</v>
      </c>
      <c r="D142" t="s">
        <v>1300</v>
      </c>
      <c r="E142" t="s">
        <v>713</v>
      </c>
      <c r="F142" t="s">
        <v>115</v>
      </c>
      <c r="G142" t="s">
        <v>731</v>
      </c>
      <c r="H142" t="s">
        <v>4</v>
      </c>
    </row>
    <row r="143" spans="1:8" x14ac:dyDescent="0.3">
      <c r="A143" t="s">
        <v>164</v>
      </c>
      <c r="B143" t="s">
        <v>2875</v>
      </c>
      <c r="C143" t="s">
        <v>165</v>
      </c>
      <c r="D143" t="s">
        <v>167</v>
      </c>
      <c r="E143" t="s">
        <v>713</v>
      </c>
      <c r="F143" t="s">
        <v>6</v>
      </c>
      <c r="G143" t="s">
        <v>731</v>
      </c>
      <c r="H143" t="s">
        <v>6</v>
      </c>
    </row>
    <row r="144" spans="1:8" x14ac:dyDescent="0.3">
      <c r="A144" t="s">
        <v>742</v>
      </c>
      <c r="B144" t="s">
        <v>754</v>
      </c>
      <c r="C144" t="s">
        <v>740</v>
      </c>
      <c r="D144" t="s">
        <v>745</v>
      </c>
      <c r="E144" t="s">
        <v>713</v>
      </c>
      <c r="F144" t="s">
        <v>117</v>
      </c>
      <c r="G144" t="s">
        <v>731</v>
      </c>
      <c r="H144" t="s">
        <v>4</v>
      </c>
    </row>
    <row r="145" spans="1:8" x14ac:dyDescent="0.3">
      <c r="A145" t="s">
        <v>2903</v>
      </c>
      <c r="B145" t="s">
        <v>754</v>
      </c>
      <c r="C145" t="s">
        <v>174</v>
      </c>
      <c r="D145" t="s">
        <v>134</v>
      </c>
      <c r="E145" t="s">
        <v>713</v>
      </c>
      <c r="F145" t="s">
        <v>110</v>
      </c>
      <c r="G145" t="s">
        <v>846</v>
      </c>
      <c r="H145" t="s">
        <v>6</v>
      </c>
    </row>
    <row r="146" spans="1:8" x14ac:dyDescent="0.3">
      <c r="A146" t="s">
        <v>2079</v>
      </c>
      <c r="B146" t="s">
        <v>1689</v>
      </c>
      <c r="C146" t="s">
        <v>2077</v>
      </c>
      <c r="D146" t="s">
        <v>692</v>
      </c>
      <c r="E146" t="s">
        <v>713</v>
      </c>
      <c r="F146" t="s">
        <v>115</v>
      </c>
      <c r="G146" t="s">
        <v>731</v>
      </c>
      <c r="H146" t="s">
        <v>4</v>
      </c>
    </row>
    <row r="147" spans="1:8" x14ac:dyDescent="0.3">
      <c r="A147" t="s">
        <v>2732</v>
      </c>
      <c r="B147" t="s">
        <v>2738</v>
      </c>
      <c r="C147" t="s">
        <v>2730</v>
      </c>
      <c r="D147" t="s">
        <v>235</v>
      </c>
      <c r="E147" t="s">
        <v>713</v>
      </c>
      <c r="F147" t="s">
        <v>121</v>
      </c>
      <c r="G147" t="s">
        <v>731</v>
      </c>
      <c r="H147" t="s">
        <v>4</v>
      </c>
    </row>
    <row r="148" spans="1:8" x14ac:dyDescent="0.3">
      <c r="A148" t="s">
        <v>1484</v>
      </c>
      <c r="B148" t="s">
        <v>1488</v>
      </c>
      <c r="C148" t="s">
        <v>1482</v>
      </c>
      <c r="D148" t="s">
        <v>413</v>
      </c>
      <c r="E148" t="s">
        <v>713</v>
      </c>
      <c r="F148" t="s">
        <v>104</v>
      </c>
      <c r="G148" t="s">
        <v>731</v>
      </c>
      <c r="H148" t="s">
        <v>4</v>
      </c>
    </row>
    <row r="149" spans="1:8" x14ac:dyDescent="0.3">
      <c r="A149" t="s">
        <v>1266</v>
      </c>
      <c r="B149" t="s">
        <v>1274</v>
      </c>
      <c r="C149" t="s">
        <v>1264</v>
      </c>
      <c r="D149" t="s">
        <v>226</v>
      </c>
      <c r="E149" t="s">
        <v>713</v>
      </c>
      <c r="F149" t="s">
        <v>104</v>
      </c>
      <c r="G149" t="s">
        <v>731</v>
      </c>
      <c r="H149" t="s">
        <v>4</v>
      </c>
    </row>
    <row r="150" spans="1:8" x14ac:dyDescent="0.3">
      <c r="A150" t="s">
        <v>1398</v>
      </c>
      <c r="B150" t="s">
        <v>1404</v>
      </c>
      <c r="C150" t="s">
        <v>1396</v>
      </c>
      <c r="D150" t="s">
        <v>692</v>
      </c>
      <c r="E150" t="s">
        <v>730</v>
      </c>
      <c r="F150" t="s">
        <v>117</v>
      </c>
      <c r="G150" t="s">
        <v>731</v>
      </c>
      <c r="H150" t="s">
        <v>4</v>
      </c>
    </row>
    <row r="151" spans="1:8" x14ac:dyDescent="0.3">
      <c r="A151" t="s">
        <v>2629</v>
      </c>
      <c r="B151" t="s">
        <v>2637</v>
      </c>
      <c r="C151" t="s">
        <v>2627</v>
      </c>
      <c r="D151" t="s">
        <v>114</v>
      </c>
      <c r="E151" t="s">
        <v>713</v>
      </c>
      <c r="F151" t="s">
        <v>121</v>
      </c>
      <c r="G151" t="s">
        <v>2633</v>
      </c>
      <c r="H151" t="s">
        <v>4</v>
      </c>
    </row>
    <row r="152" spans="1:8" x14ac:dyDescent="0.3">
      <c r="A152" t="s">
        <v>1613</v>
      </c>
      <c r="B152" t="s">
        <v>1618</v>
      </c>
      <c r="C152" t="s">
        <v>1611</v>
      </c>
      <c r="D152" t="s">
        <v>1253</v>
      </c>
      <c r="E152" t="s">
        <v>713</v>
      </c>
      <c r="F152" t="s">
        <v>110</v>
      </c>
      <c r="G152" t="s">
        <v>731</v>
      </c>
      <c r="H152" t="s">
        <v>4</v>
      </c>
    </row>
    <row r="153" spans="1:8" x14ac:dyDescent="0.3">
      <c r="A153" t="s">
        <v>896</v>
      </c>
      <c r="B153" t="s">
        <v>905</v>
      </c>
      <c r="C153" t="s">
        <v>894</v>
      </c>
      <c r="D153" t="s">
        <v>413</v>
      </c>
      <c r="E153" t="s">
        <v>713</v>
      </c>
      <c r="F153" t="s">
        <v>122</v>
      </c>
      <c r="G153" t="s">
        <v>731</v>
      </c>
      <c r="H153" t="s">
        <v>4</v>
      </c>
    </row>
    <row r="154" spans="1:8" x14ac:dyDescent="0.3">
      <c r="A154" t="s">
        <v>1327</v>
      </c>
      <c r="B154" t="s">
        <v>1338</v>
      </c>
      <c r="C154" t="s">
        <v>1325</v>
      </c>
      <c r="D154" t="s">
        <v>123</v>
      </c>
      <c r="E154" t="s">
        <v>730</v>
      </c>
      <c r="F154" t="s">
        <v>110</v>
      </c>
      <c r="G154" t="s">
        <v>731</v>
      </c>
      <c r="H154" t="s">
        <v>4</v>
      </c>
    </row>
    <row r="155" spans="1:8" x14ac:dyDescent="0.3">
      <c r="A155" t="s">
        <v>2890</v>
      </c>
      <c r="B155" t="s">
        <v>2875</v>
      </c>
      <c r="C155" t="s">
        <v>2888</v>
      </c>
      <c r="D155" t="s">
        <v>167</v>
      </c>
      <c r="E155" t="s">
        <v>713</v>
      </c>
      <c r="F155" t="s">
        <v>6</v>
      </c>
      <c r="G155" t="s">
        <v>731</v>
      </c>
      <c r="H155" t="s">
        <v>6</v>
      </c>
    </row>
    <row r="156" spans="1:8" x14ac:dyDescent="0.3">
      <c r="A156" t="s">
        <v>2154</v>
      </c>
      <c r="B156" t="s">
        <v>2160</v>
      </c>
      <c r="C156" t="s">
        <v>2152</v>
      </c>
      <c r="D156" t="s">
        <v>1476</v>
      </c>
      <c r="E156" t="s">
        <v>713</v>
      </c>
      <c r="F156" t="s">
        <v>117</v>
      </c>
      <c r="G156" t="s">
        <v>731</v>
      </c>
      <c r="H156" t="s">
        <v>5</v>
      </c>
    </row>
    <row r="157" spans="1:8" x14ac:dyDescent="0.3">
      <c r="A157" t="s">
        <v>263</v>
      </c>
      <c r="B157" t="s">
        <v>1855</v>
      </c>
      <c r="C157" t="s">
        <v>175</v>
      </c>
      <c r="D157" t="s">
        <v>1851</v>
      </c>
      <c r="E157" t="s">
        <v>713</v>
      </c>
      <c r="F157" t="s">
        <v>110</v>
      </c>
      <c r="G157" t="s">
        <v>731</v>
      </c>
      <c r="H157" t="s">
        <v>5</v>
      </c>
    </row>
    <row r="158" spans="1:8" x14ac:dyDescent="0.3">
      <c r="A158" t="s">
        <v>1217</v>
      </c>
      <c r="B158" t="s">
        <v>1222</v>
      </c>
      <c r="C158" t="s">
        <v>1215</v>
      </c>
      <c r="D158" t="s">
        <v>123</v>
      </c>
      <c r="E158" t="s">
        <v>730</v>
      </c>
      <c r="F158" t="s">
        <v>104</v>
      </c>
      <c r="G158" t="s">
        <v>731</v>
      </c>
      <c r="H158" t="s">
        <v>4</v>
      </c>
    </row>
    <row r="159" spans="1:8" x14ac:dyDescent="0.3">
      <c r="A159" t="s">
        <v>1944</v>
      </c>
      <c r="B159" t="s">
        <v>1951</v>
      </c>
      <c r="C159" t="s">
        <v>1942</v>
      </c>
      <c r="D159" t="s">
        <v>1928</v>
      </c>
      <c r="E159" t="s">
        <v>730</v>
      </c>
      <c r="F159" t="s">
        <v>110</v>
      </c>
      <c r="G159" t="s">
        <v>1948</v>
      </c>
      <c r="H159" t="s">
        <v>4</v>
      </c>
    </row>
    <row r="160" spans="1:8" x14ac:dyDescent="0.3">
      <c r="A160" t="s">
        <v>1417</v>
      </c>
      <c r="B160" t="s">
        <v>971</v>
      </c>
      <c r="C160" t="s">
        <v>1415</v>
      </c>
      <c r="D160" t="s">
        <v>692</v>
      </c>
      <c r="E160" t="s">
        <v>730</v>
      </c>
      <c r="F160" t="s">
        <v>115</v>
      </c>
      <c r="G160" t="s">
        <v>1421</v>
      </c>
      <c r="H160" t="s">
        <v>4</v>
      </c>
    </row>
    <row r="161" spans="1:8" x14ac:dyDescent="0.3">
      <c r="A161" t="s">
        <v>959</v>
      </c>
      <c r="B161" t="s">
        <v>971</v>
      </c>
      <c r="C161" t="s">
        <v>957</v>
      </c>
      <c r="D161" t="s">
        <v>123</v>
      </c>
      <c r="E161" t="s">
        <v>730</v>
      </c>
      <c r="F161" t="s">
        <v>115</v>
      </c>
      <c r="G161" t="s">
        <v>964</v>
      </c>
      <c r="H161" t="s">
        <v>4</v>
      </c>
    </row>
    <row r="162" spans="1:8" x14ac:dyDescent="0.3">
      <c r="A162" t="s">
        <v>484</v>
      </c>
      <c r="B162" t="s">
        <v>2006</v>
      </c>
      <c r="C162" t="s">
        <v>147</v>
      </c>
      <c r="D162" t="s">
        <v>150</v>
      </c>
      <c r="E162" t="s">
        <v>713</v>
      </c>
      <c r="F162" t="s">
        <v>121</v>
      </c>
      <c r="G162" t="s">
        <v>2004</v>
      </c>
      <c r="H162" t="s">
        <v>5</v>
      </c>
    </row>
    <row r="163" spans="1:8" x14ac:dyDescent="0.3">
      <c r="A163" t="s">
        <v>1644</v>
      </c>
      <c r="B163" t="s">
        <v>971</v>
      </c>
      <c r="C163" t="s">
        <v>1642</v>
      </c>
      <c r="D163" t="s">
        <v>386</v>
      </c>
      <c r="E163" t="s">
        <v>713</v>
      </c>
      <c r="F163" t="s">
        <v>121</v>
      </c>
      <c r="G163" t="s">
        <v>731</v>
      </c>
      <c r="H163" t="s">
        <v>4</v>
      </c>
    </row>
    <row r="164" spans="1:8" x14ac:dyDescent="0.3">
      <c r="A164" t="s">
        <v>1680</v>
      </c>
      <c r="B164" t="s">
        <v>971</v>
      </c>
      <c r="C164" t="s">
        <v>282</v>
      </c>
      <c r="D164" t="s">
        <v>109</v>
      </c>
      <c r="E164" t="s">
        <v>713</v>
      </c>
      <c r="F164" t="s">
        <v>104</v>
      </c>
      <c r="G164" t="s">
        <v>731</v>
      </c>
      <c r="H164" t="s">
        <v>5</v>
      </c>
    </row>
    <row r="165" spans="1:8" x14ac:dyDescent="0.3">
      <c r="A165" t="s">
        <v>2830</v>
      </c>
      <c r="B165" t="s">
        <v>2835</v>
      </c>
      <c r="C165" t="s">
        <v>2828</v>
      </c>
      <c r="D165" t="s">
        <v>123</v>
      </c>
      <c r="E165" t="s">
        <v>730</v>
      </c>
      <c r="F165" t="s">
        <v>117</v>
      </c>
      <c r="G165" t="s">
        <v>731</v>
      </c>
      <c r="H165" t="s">
        <v>4</v>
      </c>
    </row>
    <row r="166" spans="1:8" x14ac:dyDescent="0.3">
      <c r="A166" t="s">
        <v>230</v>
      </c>
      <c r="B166" t="s">
        <v>2050</v>
      </c>
      <c r="C166" t="s">
        <v>228</v>
      </c>
      <c r="D166" t="s">
        <v>235</v>
      </c>
      <c r="E166" t="s">
        <v>713</v>
      </c>
      <c r="F166" t="s">
        <v>117</v>
      </c>
      <c r="G166" t="s">
        <v>731</v>
      </c>
      <c r="H166" t="s">
        <v>5</v>
      </c>
    </row>
    <row r="167" spans="1:8" x14ac:dyDescent="0.3">
      <c r="A167" t="s">
        <v>1134</v>
      </c>
      <c r="B167" t="s">
        <v>1139</v>
      </c>
      <c r="C167" t="s">
        <v>1132</v>
      </c>
      <c r="D167" t="s">
        <v>123</v>
      </c>
      <c r="E167" t="s">
        <v>730</v>
      </c>
      <c r="F167" t="s">
        <v>104</v>
      </c>
      <c r="G167" t="s">
        <v>731</v>
      </c>
      <c r="H167" t="s">
        <v>4</v>
      </c>
    </row>
    <row r="168" spans="1:8" x14ac:dyDescent="0.3">
      <c r="A168" t="s">
        <v>1800</v>
      </c>
      <c r="B168" t="s">
        <v>1804</v>
      </c>
      <c r="C168" t="s">
        <v>1798</v>
      </c>
      <c r="D168" t="s">
        <v>114</v>
      </c>
      <c r="E168" t="s">
        <v>713</v>
      </c>
      <c r="F168" t="s">
        <v>110</v>
      </c>
      <c r="G168" t="s">
        <v>731</v>
      </c>
      <c r="H168" t="s">
        <v>4</v>
      </c>
    </row>
    <row r="169" spans="1:8" x14ac:dyDescent="0.3">
      <c r="A169" t="s">
        <v>1544</v>
      </c>
      <c r="B169" t="s">
        <v>1551</v>
      </c>
      <c r="C169" t="s">
        <v>1542</v>
      </c>
      <c r="D169" t="s">
        <v>1300</v>
      </c>
      <c r="E169" t="s">
        <v>730</v>
      </c>
      <c r="F169" t="s">
        <v>117</v>
      </c>
      <c r="G169" t="s">
        <v>731</v>
      </c>
      <c r="H169" t="s">
        <v>4</v>
      </c>
    </row>
    <row r="170" spans="1:8" x14ac:dyDescent="0.3">
      <c r="A170" t="s">
        <v>2213</v>
      </c>
      <c r="B170" t="s">
        <v>2217</v>
      </c>
      <c r="C170" t="s">
        <v>2211</v>
      </c>
      <c r="D170" t="s">
        <v>132</v>
      </c>
      <c r="E170" t="s">
        <v>713</v>
      </c>
      <c r="F170" t="s">
        <v>110</v>
      </c>
      <c r="G170" t="s">
        <v>731</v>
      </c>
      <c r="H170" t="s">
        <v>4</v>
      </c>
    </row>
    <row r="171" spans="1:8" x14ac:dyDescent="0.3">
      <c r="A171" t="s">
        <v>1503</v>
      </c>
      <c r="B171" t="s">
        <v>1512</v>
      </c>
      <c r="C171" t="s">
        <v>1501</v>
      </c>
      <c r="D171" t="s">
        <v>109</v>
      </c>
      <c r="E171" t="s">
        <v>713</v>
      </c>
      <c r="F171" t="s">
        <v>122</v>
      </c>
      <c r="G171" t="s">
        <v>731</v>
      </c>
      <c r="H171" t="s">
        <v>4</v>
      </c>
    </row>
    <row r="172" spans="1:8" x14ac:dyDescent="0.3">
      <c r="A172" t="s">
        <v>1604</v>
      </c>
      <c r="B172" t="s">
        <v>1609</v>
      </c>
      <c r="C172" t="s">
        <v>1602</v>
      </c>
      <c r="D172" t="s">
        <v>745</v>
      </c>
      <c r="E172" t="s">
        <v>120</v>
      </c>
      <c r="F172" t="s">
        <v>121</v>
      </c>
      <c r="G172" t="s">
        <v>731</v>
      </c>
      <c r="H172" t="s">
        <v>4</v>
      </c>
    </row>
    <row r="173" spans="1:8" x14ac:dyDescent="0.3">
      <c r="A173" t="s">
        <v>1427</v>
      </c>
      <c r="B173" t="s">
        <v>1436</v>
      </c>
      <c r="C173" t="s">
        <v>1425</v>
      </c>
      <c r="D173" t="s">
        <v>126</v>
      </c>
      <c r="E173" t="s">
        <v>730</v>
      </c>
      <c r="F173" t="s">
        <v>115</v>
      </c>
      <c r="G173" t="s">
        <v>731</v>
      </c>
      <c r="H173" t="s">
        <v>4</v>
      </c>
    </row>
    <row r="174" spans="1:8" x14ac:dyDescent="0.3">
      <c r="A174" t="s">
        <v>1833</v>
      </c>
      <c r="B174" t="s">
        <v>1838</v>
      </c>
      <c r="C174" t="s">
        <v>1883</v>
      </c>
      <c r="D174" t="s">
        <v>226</v>
      </c>
      <c r="E174" t="s">
        <v>713</v>
      </c>
      <c r="F174" t="s">
        <v>121</v>
      </c>
      <c r="G174" t="s">
        <v>731</v>
      </c>
      <c r="H174" t="s">
        <v>4</v>
      </c>
    </row>
    <row r="175" spans="1:8" x14ac:dyDescent="0.3">
      <c r="A175" t="s">
        <v>2324</v>
      </c>
      <c r="B175" t="s">
        <v>2332</v>
      </c>
      <c r="C175" t="s">
        <v>2322</v>
      </c>
      <c r="D175" t="s">
        <v>692</v>
      </c>
      <c r="E175" t="s">
        <v>713</v>
      </c>
      <c r="F175" t="s">
        <v>121</v>
      </c>
      <c r="G175" t="s">
        <v>731</v>
      </c>
      <c r="H175" t="s">
        <v>4</v>
      </c>
    </row>
    <row r="176" spans="1:8" x14ac:dyDescent="0.3">
      <c r="A176" t="s">
        <v>2563</v>
      </c>
      <c r="B176" t="s">
        <v>1449</v>
      </c>
      <c r="C176" t="s">
        <v>2561</v>
      </c>
      <c r="D176" t="s">
        <v>692</v>
      </c>
      <c r="E176" t="s">
        <v>713</v>
      </c>
      <c r="F176" t="s">
        <v>104</v>
      </c>
      <c r="G176" t="s">
        <v>731</v>
      </c>
      <c r="H176" t="s">
        <v>4</v>
      </c>
    </row>
    <row r="177" spans="1:8" x14ac:dyDescent="0.3">
      <c r="A177" t="s">
        <v>1440</v>
      </c>
      <c r="B177" t="s">
        <v>1449</v>
      </c>
      <c r="C177" t="s">
        <v>1438</v>
      </c>
      <c r="D177" t="s">
        <v>126</v>
      </c>
      <c r="E177" t="s">
        <v>730</v>
      </c>
      <c r="F177" t="s">
        <v>110</v>
      </c>
      <c r="G177" t="s">
        <v>1444</v>
      </c>
      <c r="H177" t="s">
        <v>4</v>
      </c>
    </row>
    <row r="178" spans="1:8" x14ac:dyDescent="0.3">
      <c r="A178" t="s">
        <v>2993</v>
      </c>
      <c r="B178" t="s">
        <v>3001</v>
      </c>
      <c r="C178" t="s">
        <v>2991</v>
      </c>
      <c r="D178" t="s">
        <v>1300</v>
      </c>
      <c r="E178" t="s">
        <v>713</v>
      </c>
      <c r="F178" t="s">
        <v>121</v>
      </c>
      <c r="G178" t="s">
        <v>731</v>
      </c>
      <c r="H178" t="s">
        <v>4</v>
      </c>
    </row>
    <row r="179" spans="1:8" x14ac:dyDescent="0.3">
      <c r="A179" t="s">
        <v>3034</v>
      </c>
      <c r="B179" t="s">
        <v>3001</v>
      </c>
      <c r="C179" t="s">
        <v>3032</v>
      </c>
      <c r="D179" t="s">
        <v>162</v>
      </c>
      <c r="E179" t="s">
        <v>713</v>
      </c>
      <c r="F179" t="s">
        <v>104</v>
      </c>
      <c r="G179" t="s">
        <v>731</v>
      </c>
      <c r="H179" t="s">
        <v>1744</v>
      </c>
    </row>
    <row r="180" spans="1:8" x14ac:dyDescent="0.3">
      <c r="A180" t="s">
        <v>2432</v>
      </c>
      <c r="B180" t="s">
        <v>2437</v>
      </c>
      <c r="C180" t="s">
        <v>2430</v>
      </c>
      <c r="D180" t="s">
        <v>2132</v>
      </c>
      <c r="E180" t="s">
        <v>713</v>
      </c>
      <c r="F180" t="s">
        <v>115</v>
      </c>
      <c r="G180" t="s">
        <v>731</v>
      </c>
      <c r="H180" t="s">
        <v>4</v>
      </c>
    </row>
    <row r="181" spans="1:8" x14ac:dyDescent="0.3">
      <c r="A181" t="s">
        <v>2143</v>
      </c>
      <c r="B181" t="s">
        <v>2150</v>
      </c>
      <c r="C181" t="s">
        <v>2141</v>
      </c>
      <c r="D181" t="s">
        <v>1928</v>
      </c>
      <c r="E181" t="s">
        <v>730</v>
      </c>
      <c r="F181" t="s">
        <v>117</v>
      </c>
      <c r="G181" t="s">
        <v>731</v>
      </c>
      <c r="H181" t="s">
        <v>4</v>
      </c>
    </row>
    <row r="182" spans="1:8" x14ac:dyDescent="0.3">
      <c r="A182" t="s">
        <v>1453</v>
      </c>
      <c r="B182" t="s">
        <v>1461</v>
      </c>
      <c r="C182" t="s">
        <v>1451</v>
      </c>
      <c r="D182" t="s">
        <v>745</v>
      </c>
      <c r="E182" t="s">
        <v>713</v>
      </c>
      <c r="F182" t="s">
        <v>122</v>
      </c>
      <c r="G182" t="s">
        <v>1456</v>
      </c>
      <c r="H182" t="s">
        <v>4</v>
      </c>
    </row>
    <row r="183" spans="1:8" x14ac:dyDescent="0.3">
      <c r="A183" t="s">
        <v>3234</v>
      </c>
      <c r="B183" t="s">
        <v>3240</v>
      </c>
      <c r="C183" t="s">
        <v>3232</v>
      </c>
      <c r="D183" t="s">
        <v>1914</v>
      </c>
      <c r="E183" t="s">
        <v>713</v>
      </c>
      <c r="F183" t="s">
        <v>115</v>
      </c>
      <c r="G183" t="s">
        <v>731</v>
      </c>
      <c r="H183" t="s">
        <v>4</v>
      </c>
    </row>
    <row r="184" spans="1:8" x14ac:dyDescent="0.3">
      <c r="A184" t="s">
        <v>182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A3F10-5D85-47AE-8722-3816D9014101}">
  <sheetPr codeName="Hoja7">
    <tabColor theme="8"/>
    <pageSetUpPr fitToPage="1"/>
  </sheetPr>
  <dimension ref="A1:Q156"/>
  <sheetViews>
    <sheetView workbookViewId="0">
      <selection activeCell="B6" sqref="B6"/>
    </sheetView>
  </sheetViews>
  <sheetFormatPr baseColWidth="10" defaultRowHeight="14.4" x14ac:dyDescent="0.3"/>
  <cols>
    <col min="1" max="1" width="24.21875" bestFit="1" customWidth="1"/>
    <col min="2" max="2" width="36.44140625" bestFit="1" customWidth="1"/>
    <col min="3" max="3" width="42.88671875" bestFit="1" customWidth="1"/>
    <col min="4" max="4" width="13.21875" bestFit="1" customWidth="1"/>
    <col min="5" max="5" width="12.6640625" bestFit="1" customWidth="1"/>
    <col min="6" max="6" width="39.88671875" bestFit="1" customWidth="1"/>
    <col min="7" max="7" width="19.44140625" bestFit="1" customWidth="1"/>
    <col min="8" max="8" width="15" bestFit="1" customWidth="1"/>
    <col min="9" max="9" width="7.88671875" bestFit="1" customWidth="1"/>
    <col min="10" max="10" width="78.77734375" bestFit="1" customWidth="1"/>
    <col min="11" max="11" width="45.44140625" bestFit="1" customWidth="1"/>
    <col min="12" max="12" width="72.6640625" bestFit="1" customWidth="1"/>
    <col min="13" max="13" width="16.33203125" bestFit="1" customWidth="1"/>
    <col min="14" max="14" width="19.6640625" bestFit="1" customWidth="1"/>
    <col min="15" max="15" width="18.88671875" bestFit="1" customWidth="1"/>
    <col min="16" max="16" width="22.109375" bestFit="1" customWidth="1"/>
  </cols>
  <sheetData>
    <row r="1" spans="1:17" x14ac:dyDescent="0.3">
      <c r="A1" s="10" t="s">
        <v>3</v>
      </c>
      <c r="B1" t="s">
        <v>4</v>
      </c>
    </row>
    <row r="2" spans="1:17" x14ac:dyDescent="0.3">
      <c r="A2" s="10" t="s">
        <v>76</v>
      </c>
      <c r="B2" t="s">
        <v>77</v>
      </c>
    </row>
    <row r="4" spans="1:17" x14ac:dyDescent="0.3">
      <c r="A4" s="10" t="s">
        <v>237</v>
      </c>
      <c r="B4" s="10" t="s">
        <v>238</v>
      </c>
      <c r="C4" s="10" t="s">
        <v>96</v>
      </c>
      <c r="D4" s="10" t="s">
        <v>187</v>
      </c>
      <c r="E4" s="10" t="s">
        <v>249</v>
      </c>
      <c r="F4" s="10" t="s">
        <v>184</v>
      </c>
      <c r="G4" s="10" t="s">
        <v>185</v>
      </c>
      <c r="H4" s="10" t="s">
        <v>186</v>
      </c>
      <c r="I4" s="10" t="s">
        <v>436</v>
      </c>
      <c r="J4" s="10" t="s">
        <v>440</v>
      </c>
      <c r="K4" s="10" t="s">
        <v>705</v>
      </c>
      <c r="L4" s="10" t="s">
        <v>442</v>
      </c>
      <c r="M4" s="10" t="s">
        <v>443</v>
      </c>
      <c r="N4" s="10" t="s">
        <v>444</v>
      </c>
      <c r="O4" s="10" t="s">
        <v>441</v>
      </c>
      <c r="P4" s="10" t="s">
        <v>48</v>
      </c>
      <c r="Q4" t="s">
        <v>183</v>
      </c>
    </row>
    <row r="5" spans="1:17" x14ac:dyDescent="0.3">
      <c r="A5" t="s">
        <v>116</v>
      </c>
      <c r="B5" t="s">
        <v>114</v>
      </c>
      <c r="C5" t="s">
        <v>1800</v>
      </c>
      <c r="D5" t="s">
        <v>110</v>
      </c>
      <c r="E5" t="s">
        <v>1798</v>
      </c>
      <c r="F5" t="s">
        <v>1799</v>
      </c>
      <c r="G5" t="s">
        <v>367</v>
      </c>
      <c r="H5" t="s">
        <v>1802</v>
      </c>
      <c r="I5" t="s">
        <v>1806</v>
      </c>
      <c r="J5" t="s">
        <v>1549</v>
      </c>
      <c r="K5" t="s">
        <v>733</v>
      </c>
      <c r="L5" t="s">
        <v>733</v>
      </c>
      <c r="M5" t="s">
        <v>752</v>
      </c>
      <c r="N5" t="s">
        <v>753</v>
      </c>
      <c r="O5" t="s">
        <v>1804</v>
      </c>
      <c r="P5" t="s">
        <v>713</v>
      </c>
      <c r="Q5" s="123">
        <v>1</v>
      </c>
    </row>
    <row r="6" spans="1:17" x14ac:dyDescent="0.3">
      <c r="A6" t="s">
        <v>116</v>
      </c>
      <c r="B6" t="s">
        <v>114</v>
      </c>
      <c r="C6" t="s">
        <v>2629</v>
      </c>
      <c r="D6" t="s">
        <v>121</v>
      </c>
      <c r="E6" t="s">
        <v>2627</v>
      </c>
      <c r="F6" t="s">
        <v>2628</v>
      </c>
      <c r="G6" t="s">
        <v>367</v>
      </c>
      <c r="H6" t="s">
        <v>2631</v>
      </c>
      <c r="I6" t="s">
        <v>1667</v>
      </c>
      <c r="J6" t="s">
        <v>2635</v>
      </c>
      <c r="K6" t="s">
        <v>736</v>
      </c>
      <c r="L6" t="s">
        <v>733</v>
      </c>
      <c r="M6" t="s">
        <v>790</v>
      </c>
      <c r="N6" t="s">
        <v>2636</v>
      </c>
      <c r="O6" t="s">
        <v>2637</v>
      </c>
      <c r="P6" t="s">
        <v>713</v>
      </c>
      <c r="Q6" s="123">
        <v>1</v>
      </c>
    </row>
    <row r="7" spans="1:17" x14ac:dyDescent="0.3">
      <c r="A7" t="s">
        <v>116</v>
      </c>
      <c r="B7" t="s">
        <v>114</v>
      </c>
      <c r="C7" t="s">
        <v>2742</v>
      </c>
      <c r="D7" t="s">
        <v>104</v>
      </c>
      <c r="E7" t="s">
        <v>2740</v>
      </c>
      <c r="F7" t="s">
        <v>2741</v>
      </c>
      <c r="G7" t="s">
        <v>367</v>
      </c>
      <c r="H7" t="s">
        <v>2744</v>
      </c>
      <c r="I7" t="s">
        <v>1656</v>
      </c>
      <c r="J7" t="s">
        <v>2746</v>
      </c>
      <c r="K7" t="s">
        <v>969</v>
      </c>
      <c r="L7" t="s">
        <v>733</v>
      </c>
      <c r="M7" t="s">
        <v>752</v>
      </c>
      <c r="N7" t="s">
        <v>731</v>
      </c>
      <c r="O7" t="s">
        <v>2747</v>
      </c>
      <c r="P7" t="s">
        <v>730</v>
      </c>
      <c r="Q7" s="123">
        <v>1</v>
      </c>
    </row>
    <row r="8" spans="1:17" x14ac:dyDescent="0.3">
      <c r="A8" t="s">
        <v>116</v>
      </c>
      <c r="B8" t="s">
        <v>745</v>
      </c>
      <c r="C8" t="s">
        <v>2371</v>
      </c>
      <c r="D8" t="s">
        <v>121</v>
      </c>
      <c r="E8" t="s">
        <v>2369</v>
      </c>
      <c r="F8" t="s">
        <v>2370</v>
      </c>
      <c r="G8" t="s">
        <v>118</v>
      </c>
      <c r="H8" t="s">
        <v>2373</v>
      </c>
      <c r="I8" t="s">
        <v>1669</v>
      </c>
      <c r="J8" t="s">
        <v>2377</v>
      </c>
      <c r="K8" t="s">
        <v>789</v>
      </c>
      <c r="L8" t="s">
        <v>789</v>
      </c>
      <c r="M8" t="s">
        <v>752</v>
      </c>
      <c r="N8" t="s">
        <v>904</v>
      </c>
      <c r="O8" t="s">
        <v>2378</v>
      </c>
      <c r="P8" t="s">
        <v>713</v>
      </c>
      <c r="Q8" s="123">
        <v>1</v>
      </c>
    </row>
    <row r="9" spans="1:17" x14ac:dyDescent="0.3">
      <c r="A9" t="s">
        <v>116</v>
      </c>
      <c r="B9" t="s">
        <v>745</v>
      </c>
      <c r="C9" t="s">
        <v>742</v>
      </c>
      <c r="D9" t="s">
        <v>117</v>
      </c>
      <c r="E9" t="s">
        <v>740</v>
      </c>
      <c r="F9" t="s">
        <v>741</v>
      </c>
      <c r="G9" t="s">
        <v>367</v>
      </c>
      <c r="H9" t="s">
        <v>744</v>
      </c>
      <c r="I9" t="s">
        <v>1655</v>
      </c>
      <c r="J9" t="s">
        <v>749</v>
      </c>
      <c r="K9" t="s">
        <v>750</v>
      </c>
      <c r="L9" t="s">
        <v>751</v>
      </c>
      <c r="M9" t="s">
        <v>752</v>
      </c>
      <c r="N9" t="s">
        <v>753</v>
      </c>
      <c r="O9" t="s">
        <v>754</v>
      </c>
      <c r="P9" t="s">
        <v>713</v>
      </c>
      <c r="Q9" s="123">
        <v>1</v>
      </c>
    </row>
    <row r="10" spans="1:17" x14ac:dyDescent="0.3">
      <c r="A10" t="s">
        <v>116</v>
      </c>
      <c r="B10" t="s">
        <v>745</v>
      </c>
      <c r="C10" t="s">
        <v>805</v>
      </c>
      <c r="D10" t="s">
        <v>121</v>
      </c>
      <c r="E10" t="s">
        <v>803</v>
      </c>
      <c r="F10" t="s">
        <v>804</v>
      </c>
      <c r="G10" t="s">
        <v>367</v>
      </c>
      <c r="H10" t="s">
        <v>807</v>
      </c>
      <c r="I10" t="s">
        <v>1657</v>
      </c>
      <c r="J10" t="s">
        <v>811</v>
      </c>
      <c r="K10" t="s">
        <v>800</v>
      </c>
      <c r="L10" t="s">
        <v>812</v>
      </c>
      <c r="M10" t="s">
        <v>752</v>
      </c>
      <c r="N10" t="s">
        <v>731</v>
      </c>
      <c r="O10" t="s">
        <v>813</v>
      </c>
      <c r="P10" t="s">
        <v>713</v>
      </c>
      <c r="Q10" s="123">
        <v>1</v>
      </c>
    </row>
    <row r="11" spans="1:17" x14ac:dyDescent="0.3">
      <c r="A11" t="s">
        <v>116</v>
      </c>
      <c r="B11" t="s">
        <v>745</v>
      </c>
      <c r="C11" t="s">
        <v>1453</v>
      </c>
      <c r="D11" t="s">
        <v>122</v>
      </c>
      <c r="E11" t="s">
        <v>1451</v>
      </c>
      <c r="F11" t="s">
        <v>1452</v>
      </c>
      <c r="G11" t="s">
        <v>367</v>
      </c>
      <c r="H11" t="s">
        <v>1455</v>
      </c>
      <c r="I11" t="s">
        <v>1674</v>
      </c>
      <c r="J11" t="s">
        <v>1460</v>
      </c>
      <c r="K11" t="s">
        <v>800</v>
      </c>
      <c r="L11" t="s">
        <v>1032</v>
      </c>
      <c r="M11" t="s">
        <v>790</v>
      </c>
      <c r="N11" t="s">
        <v>904</v>
      </c>
      <c r="O11" t="s">
        <v>1461</v>
      </c>
      <c r="P11" t="s">
        <v>713</v>
      </c>
      <c r="Q11" s="123">
        <v>1</v>
      </c>
    </row>
    <row r="12" spans="1:17" x14ac:dyDescent="0.3">
      <c r="A12" t="s">
        <v>116</v>
      </c>
      <c r="B12" t="s">
        <v>745</v>
      </c>
      <c r="C12" t="s">
        <v>1604</v>
      </c>
      <c r="D12" t="s">
        <v>121</v>
      </c>
      <c r="E12" t="s">
        <v>1602</v>
      </c>
      <c r="F12" t="s">
        <v>1603</v>
      </c>
      <c r="G12" t="s">
        <v>367</v>
      </c>
      <c r="H12" t="s">
        <v>1606</v>
      </c>
      <c r="I12" t="s">
        <v>1670</v>
      </c>
      <c r="J12" t="s">
        <v>1608</v>
      </c>
      <c r="K12" t="s">
        <v>764</v>
      </c>
      <c r="L12" t="s">
        <v>733</v>
      </c>
      <c r="M12" t="s">
        <v>752</v>
      </c>
      <c r="N12" t="s">
        <v>731</v>
      </c>
      <c r="O12" t="s">
        <v>1609</v>
      </c>
      <c r="P12" t="s">
        <v>120</v>
      </c>
      <c r="Q12" s="123">
        <v>1</v>
      </c>
    </row>
    <row r="13" spans="1:17" x14ac:dyDescent="0.3">
      <c r="A13" t="s">
        <v>116</v>
      </c>
      <c r="B13" t="s">
        <v>745</v>
      </c>
      <c r="C13" t="s">
        <v>2260</v>
      </c>
      <c r="D13" t="s">
        <v>115</v>
      </c>
      <c r="E13" t="s">
        <v>2258</v>
      </c>
      <c r="F13" t="s">
        <v>2259</v>
      </c>
      <c r="G13" t="s">
        <v>367</v>
      </c>
      <c r="H13" t="s">
        <v>2262</v>
      </c>
      <c r="I13" t="s">
        <v>1665</v>
      </c>
      <c r="J13" t="s">
        <v>763</v>
      </c>
      <c r="K13" t="s">
        <v>2264</v>
      </c>
      <c r="L13" t="s">
        <v>844</v>
      </c>
      <c r="M13" t="s">
        <v>752</v>
      </c>
      <c r="N13" t="s">
        <v>1009</v>
      </c>
      <c r="O13" t="s">
        <v>2265</v>
      </c>
      <c r="P13" t="s">
        <v>713</v>
      </c>
      <c r="Q13" s="123">
        <v>1</v>
      </c>
    </row>
    <row r="14" spans="1:17" x14ac:dyDescent="0.3">
      <c r="A14" t="s">
        <v>116</v>
      </c>
      <c r="B14" t="s">
        <v>745</v>
      </c>
      <c r="C14" t="s">
        <v>2282</v>
      </c>
      <c r="D14" t="s">
        <v>115</v>
      </c>
      <c r="E14" t="s">
        <v>2280</v>
      </c>
      <c r="F14" t="s">
        <v>2281</v>
      </c>
      <c r="G14" t="s">
        <v>367</v>
      </c>
      <c r="H14" t="s">
        <v>2284</v>
      </c>
      <c r="I14" t="s">
        <v>1667</v>
      </c>
      <c r="J14" t="s">
        <v>2286</v>
      </c>
      <c r="K14" t="s">
        <v>733</v>
      </c>
      <c r="L14" t="s">
        <v>969</v>
      </c>
      <c r="M14" t="s">
        <v>752</v>
      </c>
      <c r="N14" t="s">
        <v>731</v>
      </c>
      <c r="O14" t="s">
        <v>2287</v>
      </c>
      <c r="P14" t="s">
        <v>713</v>
      </c>
      <c r="Q14" s="123">
        <v>1</v>
      </c>
    </row>
    <row r="15" spans="1:17" x14ac:dyDescent="0.3">
      <c r="A15" t="s">
        <v>116</v>
      </c>
      <c r="B15" t="s">
        <v>745</v>
      </c>
      <c r="C15" t="s">
        <v>2309</v>
      </c>
      <c r="D15" t="s">
        <v>115</v>
      </c>
      <c r="E15" t="s">
        <v>2307</v>
      </c>
      <c r="F15" t="s">
        <v>2308</v>
      </c>
      <c r="G15" t="s">
        <v>367</v>
      </c>
      <c r="H15" t="s">
        <v>2311</v>
      </c>
      <c r="I15" t="s">
        <v>2321</v>
      </c>
      <c r="J15" t="s">
        <v>2316</v>
      </c>
      <c r="K15" t="s">
        <v>2317</v>
      </c>
      <c r="L15" t="s">
        <v>2318</v>
      </c>
      <c r="M15" t="s">
        <v>790</v>
      </c>
      <c r="N15" t="s">
        <v>731</v>
      </c>
      <c r="O15" t="s">
        <v>2319</v>
      </c>
      <c r="P15" t="s">
        <v>713</v>
      </c>
      <c r="Q15" s="123">
        <v>1</v>
      </c>
    </row>
    <row r="16" spans="1:17" x14ac:dyDescent="0.3">
      <c r="A16" t="s">
        <v>116</v>
      </c>
      <c r="B16" t="s">
        <v>745</v>
      </c>
      <c r="C16" t="s">
        <v>2357</v>
      </c>
      <c r="D16" t="s">
        <v>104</v>
      </c>
      <c r="E16" t="s">
        <v>2355</v>
      </c>
      <c r="F16" t="s">
        <v>2356</v>
      </c>
      <c r="G16" t="s">
        <v>367</v>
      </c>
      <c r="H16" t="s">
        <v>2359</v>
      </c>
      <c r="I16" t="s">
        <v>1664</v>
      </c>
      <c r="J16" t="s">
        <v>2364</v>
      </c>
      <c r="K16" t="s">
        <v>2365</v>
      </c>
      <c r="L16" t="s">
        <v>880</v>
      </c>
      <c r="M16" t="s">
        <v>752</v>
      </c>
      <c r="N16" t="s">
        <v>731</v>
      </c>
      <c r="O16" t="s">
        <v>2366</v>
      </c>
      <c r="P16" t="s">
        <v>713</v>
      </c>
      <c r="Q16" s="123">
        <v>1</v>
      </c>
    </row>
    <row r="17" spans="1:17" x14ac:dyDescent="0.3">
      <c r="A17" t="s">
        <v>116</v>
      </c>
      <c r="B17" t="s">
        <v>126</v>
      </c>
      <c r="C17" t="s">
        <v>1308</v>
      </c>
      <c r="D17" t="s">
        <v>110</v>
      </c>
      <c r="E17" t="s">
        <v>1306</v>
      </c>
      <c r="F17" t="s">
        <v>1307</v>
      </c>
      <c r="G17" t="s">
        <v>367</v>
      </c>
      <c r="H17" t="s">
        <v>1310</v>
      </c>
      <c r="I17" t="s">
        <v>1670</v>
      </c>
      <c r="J17" t="s">
        <v>1313</v>
      </c>
      <c r="K17" t="s">
        <v>764</v>
      </c>
      <c r="L17" t="s">
        <v>1008</v>
      </c>
      <c r="M17" t="s">
        <v>752</v>
      </c>
      <c r="N17" t="s">
        <v>753</v>
      </c>
      <c r="O17" t="s">
        <v>1314</v>
      </c>
      <c r="P17" t="s">
        <v>730</v>
      </c>
      <c r="Q17" s="123">
        <v>1</v>
      </c>
    </row>
    <row r="18" spans="1:17" x14ac:dyDescent="0.3">
      <c r="A18" t="s">
        <v>116</v>
      </c>
      <c r="B18" t="s">
        <v>126</v>
      </c>
      <c r="C18" t="s">
        <v>1352</v>
      </c>
      <c r="D18" t="s">
        <v>115</v>
      </c>
      <c r="E18" t="s">
        <v>1350</v>
      </c>
      <c r="F18" t="s">
        <v>1351</v>
      </c>
      <c r="G18" t="s">
        <v>367</v>
      </c>
      <c r="H18" t="s">
        <v>1565</v>
      </c>
      <c r="I18" t="s">
        <v>1665</v>
      </c>
      <c r="J18" t="s">
        <v>763</v>
      </c>
      <c r="K18" t="s">
        <v>1355</v>
      </c>
      <c r="L18" t="s">
        <v>733</v>
      </c>
      <c r="M18" t="s">
        <v>752</v>
      </c>
      <c r="N18" t="s">
        <v>731</v>
      </c>
      <c r="O18" t="s">
        <v>1356</v>
      </c>
      <c r="P18" t="s">
        <v>713</v>
      </c>
      <c r="Q18" s="123">
        <v>1</v>
      </c>
    </row>
    <row r="19" spans="1:17" x14ac:dyDescent="0.3">
      <c r="A19" t="s">
        <v>116</v>
      </c>
      <c r="B19" t="s">
        <v>126</v>
      </c>
      <c r="C19" t="s">
        <v>1427</v>
      </c>
      <c r="D19" t="s">
        <v>115</v>
      </c>
      <c r="E19" t="s">
        <v>1425</v>
      </c>
      <c r="F19" t="s">
        <v>1426</v>
      </c>
      <c r="G19" t="s">
        <v>367</v>
      </c>
      <c r="H19" t="s">
        <v>1429</v>
      </c>
      <c r="I19" t="s">
        <v>1655</v>
      </c>
      <c r="J19" t="s">
        <v>1434</v>
      </c>
      <c r="K19" t="s">
        <v>733</v>
      </c>
      <c r="L19" t="s">
        <v>1435</v>
      </c>
      <c r="M19" t="s">
        <v>752</v>
      </c>
      <c r="N19" t="s">
        <v>731</v>
      </c>
      <c r="O19" t="s">
        <v>1436</v>
      </c>
      <c r="P19" t="s">
        <v>730</v>
      </c>
      <c r="Q19" s="123">
        <v>1</v>
      </c>
    </row>
    <row r="20" spans="1:17" x14ac:dyDescent="0.3">
      <c r="A20" t="s">
        <v>116</v>
      </c>
      <c r="B20" t="s">
        <v>126</v>
      </c>
      <c r="C20" t="s">
        <v>1440</v>
      </c>
      <c r="D20" t="s">
        <v>110</v>
      </c>
      <c r="E20" t="s">
        <v>1438</v>
      </c>
      <c r="F20" t="s">
        <v>1439</v>
      </c>
      <c r="G20" t="s">
        <v>118</v>
      </c>
      <c r="H20" t="s">
        <v>1442</v>
      </c>
      <c r="I20" t="s">
        <v>1665</v>
      </c>
      <c r="J20" t="s">
        <v>763</v>
      </c>
      <c r="K20" t="s">
        <v>764</v>
      </c>
      <c r="L20" t="s">
        <v>733</v>
      </c>
      <c r="M20" t="s">
        <v>752</v>
      </c>
      <c r="N20" t="s">
        <v>731</v>
      </c>
      <c r="O20" t="s">
        <v>1449</v>
      </c>
      <c r="P20" t="s">
        <v>730</v>
      </c>
      <c r="Q20" s="123">
        <v>1</v>
      </c>
    </row>
    <row r="21" spans="1:17" x14ac:dyDescent="0.3">
      <c r="A21" t="s">
        <v>116</v>
      </c>
      <c r="B21" t="s">
        <v>126</v>
      </c>
      <c r="C21" t="s">
        <v>1515</v>
      </c>
      <c r="D21" t="s">
        <v>122</v>
      </c>
      <c r="E21" t="s">
        <v>1559</v>
      </c>
      <c r="F21" t="s">
        <v>1514</v>
      </c>
      <c r="G21" t="s">
        <v>367</v>
      </c>
      <c r="H21" t="s">
        <v>1569</v>
      </c>
      <c r="I21" t="s">
        <v>1660</v>
      </c>
      <c r="J21" t="s">
        <v>1518</v>
      </c>
      <c r="K21" t="s">
        <v>880</v>
      </c>
      <c r="L21" t="s">
        <v>844</v>
      </c>
      <c r="M21" t="s">
        <v>752</v>
      </c>
      <c r="N21" t="s">
        <v>731</v>
      </c>
      <c r="O21" t="s">
        <v>1519</v>
      </c>
      <c r="P21" t="s">
        <v>713</v>
      </c>
      <c r="Q21" s="123">
        <v>1</v>
      </c>
    </row>
    <row r="22" spans="1:17" x14ac:dyDescent="0.3">
      <c r="A22" t="s">
        <v>116</v>
      </c>
      <c r="B22" t="s">
        <v>126</v>
      </c>
      <c r="C22" t="s">
        <v>3004</v>
      </c>
      <c r="D22" t="s">
        <v>110</v>
      </c>
      <c r="E22" t="s">
        <v>1521</v>
      </c>
      <c r="F22" t="s">
        <v>1522</v>
      </c>
      <c r="G22" t="s">
        <v>367</v>
      </c>
      <c r="H22" t="s">
        <v>1525</v>
      </c>
      <c r="I22" t="s">
        <v>1659</v>
      </c>
      <c r="J22" t="s">
        <v>1528</v>
      </c>
      <c r="K22" t="s">
        <v>1148</v>
      </c>
      <c r="L22" t="s">
        <v>986</v>
      </c>
      <c r="M22" t="s">
        <v>752</v>
      </c>
      <c r="N22" t="s">
        <v>753</v>
      </c>
      <c r="O22" t="s">
        <v>1529</v>
      </c>
      <c r="P22" t="s">
        <v>713</v>
      </c>
      <c r="Q22" s="123">
        <v>1</v>
      </c>
    </row>
    <row r="23" spans="1:17" x14ac:dyDescent="0.3">
      <c r="A23" t="s">
        <v>116</v>
      </c>
      <c r="B23" t="s">
        <v>2101</v>
      </c>
      <c r="C23" t="s">
        <v>2097</v>
      </c>
      <c r="D23" t="s">
        <v>117</v>
      </c>
      <c r="E23" t="s">
        <v>2095</v>
      </c>
      <c r="F23" t="s">
        <v>2096</v>
      </c>
      <c r="G23" t="s">
        <v>2099</v>
      </c>
      <c r="H23" t="s">
        <v>2100</v>
      </c>
      <c r="I23" t="s">
        <v>1659</v>
      </c>
      <c r="J23" t="s">
        <v>2103</v>
      </c>
      <c r="K23" t="s">
        <v>789</v>
      </c>
      <c r="L23" t="s">
        <v>986</v>
      </c>
      <c r="M23" t="s">
        <v>752</v>
      </c>
      <c r="N23" t="s">
        <v>731</v>
      </c>
      <c r="O23" t="s">
        <v>2104</v>
      </c>
      <c r="P23" t="s">
        <v>120</v>
      </c>
      <c r="Q23" s="123">
        <v>1</v>
      </c>
    </row>
    <row r="24" spans="1:17" x14ac:dyDescent="0.3">
      <c r="A24" t="s">
        <v>116</v>
      </c>
      <c r="B24" t="s">
        <v>557</v>
      </c>
      <c r="C24" t="s">
        <v>3020</v>
      </c>
      <c r="D24" t="s">
        <v>117</v>
      </c>
      <c r="E24" t="s">
        <v>3018</v>
      </c>
      <c r="F24" t="s">
        <v>3019</v>
      </c>
      <c r="G24" t="s">
        <v>556</v>
      </c>
      <c r="H24" t="s">
        <v>3021</v>
      </c>
      <c r="I24" t="s">
        <v>3027</v>
      </c>
      <c r="J24" t="s">
        <v>763</v>
      </c>
      <c r="K24" t="s">
        <v>800</v>
      </c>
      <c r="L24" t="s">
        <v>835</v>
      </c>
      <c r="M24" t="s">
        <v>752</v>
      </c>
      <c r="N24" t="s">
        <v>904</v>
      </c>
      <c r="O24" t="s">
        <v>3025</v>
      </c>
      <c r="P24" t="s">
        <v>120</v>
      </c>
      <c r="Q24" s="123">
        <v>1</v>
      </c>
    </row>
    <row r="25" spans="1:17" x14ac:dyDescent="0.3">
      <c r="A25" t="s">
        <v>1573</v>
      </c>
      <c r="Q25" s="123">
        <v>20</v>
      </c>
    </row>
    <row r="26" spans="1:17" x14ac:dyDescent="0.3">
      <c r="A26" t="s">
        <v>118</v>
      </c>
      <c r="B26" t="s">
        <v>135</v>
      </c>
      <c r="C26" t="s">
        <v>950</v>
      </c>
      <c r="D26" t="s">
        <v>121</v>
      </c>
      <c r="E26" t="s">
        <v>948</v>
      </c>
      <c r="F26" t="s">
        <v>949</v>
      </c>
      <c r="G26" t="s">
        <v>771</v>
      </c>
      <c r="H26" t="s">
        <v>952</v>
      </c>
      <c r="I26" t="s">
        <v>1664</v>
      </c>
      <c r="J26" t="s">
        <v>954</v>
      </c>
      <c r="K26" t="s">
        <v>848</v>
      </c>
      <c r="L26" t="s">
        <v>880</v>
      </c>
      <c r="M26" t="s">
        <v>752</v>
      </c>
      <c r="N26" t="s">
        <v>753</v>
      </c>
      <c r="O26" t="s">
        <v>955</v>
      </c>
      <c r="P26" t="s">
        <v>713</v>
      </c>
      <c r="Q26" s="123">
        <v>1</v>
      </c>
    </row>
    <row r="27" spans="1:17" x14ac:dyDescent="0.3">
      <c r="A27" t="s">
        <v>118</v>
      </c>
      <c r="B27" t="s">
        <v>135</v>
      </c>
      <c r="C27" t="s">
        <v>974</v>
      </c>
      <c r="D27" t="s">
        <v>121</v>
      </c>
      <c r="E27" t="s">
        <v>1554</v>
      </c>
      <c r="F27" t="s">
        <v>973</v>
      </c>
      <c r="G27" t="s">
        <v>771</v>
      </c>
      <c r="H27" t="s">
        <v>976</v>
      </c>
      <c r="I27" t="s">
        <v>1658</v>
      </c>
      <c r="J27" t="s">
        <v>979</v>
      </c>
      <c r="K27" t="s">
        <v>980</v>
      </c>
      <c r="L27" t="s">
        <v>981</v>
      </c>
      <c r="M27" t="s">
        <v>752</v>
      </c>
      <c r="N27" t="s">
        <v>731</v>
      </c>
      <c r="O27" t="s">
        <v>982</v>
      </c>
      <c r="P27" t="s">
        <v>713</v>
      </c>
      <c r="Q27" s="123">
        <v>1</v>
      </c>
    </row>
    <row r="28" spans="1:17" x14ac:dyDescent="0.3">
      <c r="A28" t="s">
        <v>118</v>
      </c>
      <c r="B28" t="s">
        <v>135</v>
      </c>
      <c r="C28" t="s">
        <v>1055</v>
      </c>
      <c r="D28" t="s">
        <v>110</v>
      </c>
      <c r="E28" t="s">
        <v>1053</v>
      </c>
      <c r="F28" t="s">
        <v>1054</v>
      </c>
      <c r="G28" t="s">
        <v>118</v>
      </c>
      <c r="H28" t="s">
        <v>1057</v>
      </c>
      <c r="I28" t="s">
        <v>1667</v>
      </c>
      <c r="J28" t="s">
        <v>1061</v>
      </c>
      <c r="K28" t="s">
        <v>1008</v>
      </c>
      <c r="L28" t="s">
        <v>986</v>
      </c>
      <c r="M28" t="s">
        <v>1062</v>
      </c>
      <c r="N28" t="s">
        <v>731</v>
      </c>
      <c r="O28" t="s">
        <v>1063</v>
      </c>
      <c r="P28" t="s">
        <v>120</v>
      </c>
      <c r="Q28" s="123">
        <v>1</v>
      </c>
    </row>
    <row r="29" spans="1:17" x14ac:dyDescent="0.3">
      <c r="A29" t="s">
        <v>118</v>
      </c>
      <c r="B29" t="s">
        <v>135</v>
      </c>
      <c r="C29" t="s">
        <v>1782</v>
      </c>
      <c r="D29" t="s">
        <v>122</v>
      </c>
      <c r="E29" t="s">
        <v>1780</v>
      </c>
      <c r="F29" t="s">
        <v>1781</v>
      </c>
      <c r="G29" t="s">
        <v>1553</v>
      </c>
      <c r="H29" t="s">
        <v>1784</v>
      </c>
      <c r="I29" t="s">
        <v>1659</v>
      </c>
      <c r="J29" t="s">
        <v>1172</v>
      </c>
      <c r="K29" t="s">
        <v>764</v>
      </c>
      <c r="L29" t="s">
        <v>944</v>
      </c>
      <c r="M29" t="s">
        <v>752</v>
      </c>
      <c r="N29" t="s">
        <v>731</v>
      </c>
      <c r="O29" t="s">
        <v>1786</v>
      </c>
      <c r="P29" t="s">
        <v>730</v>
      </c>
      <c r="Q29" s="123">
        <v>1</v>
      </c>
    </row>
    <row r="30" spans="1:17" x14ac:dyDescent="0.3">
      <c r="A30" t="s">
        <v>118</v>
      </c>
      <c r="B30" t="s">
        <v>135</v>
      </c>
      <c r="C30" t="s">
        <v>2839</v>
      </c>
      <c r="D30" t="s">
        <v>122</v>
      </c>
      <c r="E30" t="s">
        <v>2837</v>
      </c>
      <c r="F30" t="s">
        <v>2838</v>
      </c>
      <c r="G30" t="s">
        <v>1553</v>
      </c>
      <c r="H30" t="s">
        <v>2841</v>
      </c>
      <c r="I30" t="s">
        <v>1665</v>
      </c>
      <c r="J30" t="s">
        <v>1638</v>
      </c>
      <c r="K30" t="s">
        <v>1032</v>
      </c>
      <c r="L30" t="s">
        <v>848</v>
      </c>
      <c r="M30" t="s">
        <v>752</v>
      </c>
      <c r="N30" t="s">
        <v>731</v>
      </c>
      <c r="O30" t="s">
        <v>2843</v>
      </c>
      <c r="P30" t="s">
        <v>730</v>
      </c>
      <c r="Q30" s="123">
        <v>1</v>
      </c>
    </row>
    <row r="31" spans="1:17" x14ac:dyDescent="0.3">
      <c r="A31" t="s">
        <v>118</v>
      </c>
      <c r="B31" t="s">
        <v>123</v>
      </c>
      <c r="C31" t="s">
        <v>959</v>
      </c>
      <c r="D31" t="s">
        <v>115</v>
      </c>
      <c r="E31" t="s">
        <v>957</v>
      </c>
      <c r="F31" t="s">
        <v>958</v>
      </c>
      <c r="G31" t="s">
        <v>112</v>
      </c>
      <c r="H31" t="s">
        <v>961</v>
      </c>
      <c r="I31" t="s">
        <v>1665</v>
      </c>
      <c r="J31" t="s">
        <v>763</v>
      </c>
      <c r="K31" t="s">
        <v>969</v>
      </c>
      <c r="L31" t="s">
        <v>963</v>
      </c>
      <c r="M31" t="s">
        <v>752</v>
      </c>
      <c r="N31" t="s">
        <v>970</v>
      </c>
      <c r="O31" t="s">
        <v>971</v>
      </c>
      <c r="P31" t="s">
        <v>730</v>
      </c>
      <c r="Q31" s="123">
        <v>1</v>
      </c>
    </row>
    <row r="32" spans="1:17" x14ac:dyDescent="0.3">
      <c r="A32" t="s">
        <v>118</v>
      </c>
      <c r="B32" t="s">
        <v>123</v>
      </c>
      <c r="C32" t="s">
        <v>564</v>
      </c>
      <c r="D32" t="s">
        <v>121</v>
      </c>
      <c r="E32" t="s">
        <v>563</v>
      </c>
      <c r="F32" t="s">
        <v>562</v>
      </c>
      <c r="G32" t="s">
        <v>112</v>
      </c>
      <c r="H32" t="s">
        <v>675</v>
      </c>
      <c r="I32" t="s">
        <v>1655</v>
      </c>
      <c r="J32" t="s">
        <v>985</v>
      </c>
      <c r="K32" t="s">
        <v>789</v>
      </c>
      <c r="L32" t="s">
        <v>986</v>
      </c>
      <c r="M32" t="s">
        <v>752</v>
      </c>
      <c r="N32" t="s">
        <v>731</v>
      </c>
      <c r="O32" t="s">
        <v>987</v>
      </c>
      <c r="P32" t="s">
        <v>730</v>
      </c>
      <c r="Q32" s="123">
        <v>1</v>
      </c>
    </row>
    <row r="33" spans="1:17" x14ac:dyDescent="0.3">
      <c r="A33" t="s">
        <v>118</v>
      </c>
      <c r="B33" t="s">
        <v>123</v>
      </c>
      <c r="C33" t="s">
        <v>991</v>
      </c>
      <c r="D33" t="s">
        <v>115</v>
      </c>
      <c r="E33" t="s">
        <v>3242</v>
      </c>
      <c r="F33" t="s">
        <v>990</v>
      </c>
      <c r="G33" t="s">
        <v>771</v>
      </c>
      <c r="H33" t="s">
        <v>993</v>
      </c>
      <c r="I33" t="s">
        <v>1662</v>
      </c>
      <c r="J33" t="s">
        <v>763</v>
      </c>
      <c r="K33" t="s">
        <v>880</v>
      </c>
      <c r="L33" t="s">
        <v>994</v>
      </c>
      <c r="M33" t="s">
        <v>752</v>
      </c>
      <c r="N33" t="s">
        <v>731</v>
      </c>
      <c r="O33" t="s">
        <v>996</v>
      </c>
      <c r="P33" t="s">
        <v>730</v>
      </c>
      <c r="Q33" s="123">
        <v>1</v>
      </c>
    </row>
    <row r="34" spans="1:17" x14ac:dyDescent="0.3">
      <c r="A34" t="s">
        <v>118</v>
      </c>
      <c r="B34" t="s">
        <v>123</v>
      </c>
      <c r="C34" t="s">
        <v>1111</v>
      </c>
      <c r="D34" t="s">
        <v>117</v>
      </c>
      <c r="E34" t="s">
        <v>1109</v>
      </c>
      <c r="F34" t="s">
        <v>1110</v>
      </c>
      <c r="G34" t="s">
        <v>118</v>
      </c>
      <c r="H34" t="s">
        <v>1113</v>
      </c>
      <c r="I34" t="s">
        <v>1662</v>
      </c>
      <c r="J34" t="s">
        <v>763</v>
      </c>
      <c r="K34" t="s">
        <v>1116</v>
      </c>
      <c r="L34" t="s">
        <v>1117</v>
      </c>
      <c r="M34" t="s">
        <v>752</v>
      </c>
      <c r="N34" t="s">
        <v>731</v>
      </c>
      <c r="O34" t="s">
        <v>1118</v>
      </c>
      <c r="P34" t="s">
        <v>730</v>
      </c>
      <c r="Q34" s="123">
        <v>1</v>
      </c>
    </row>
    <row r="35" spans="1:17" x14ac:dyDescent="0.3">
      <c r="A35" t="s">
        <v>118</v>
      </c>
      <c r="B35" t="s">
        <v>123</v>
      </c>
      <c r="C35" t="s">
        <v>1134</v>
      </c>
      <c r="D35" t="s">
        <v>104</v>
      </c>
      <c r="E35" t="s">
        <v>1132</v>
      </c>
      <c r="F35" t="s">
        <v>1133</v>
      </c>
      <c r="G35" t="s">
        <v>466</v>
      </c>
      <c r="H35" t="s">
        <v>1136</v>
      </c>
      <c r="I35" t="s">
        <v>1669</v>
      </c>
      <c r="J35" t="s">
        <v>749</v>
      </c>
      <c r="K35" t="s">
        <v>915</v>
      </c>
      <c r="L35" t="s">
        <v>1116</v>
      </c>
      <c r="M35" t="s">
        <v>752</v>
      </c>
      <c r="N35" t="s">
        <v>731</v>
      </c>
      <c r="O35" t="s">
        <v>1139</v>
      </c>
      <c r="P35" t="s">
        <v>730</v>
      </c>
      <c r="Q35" s="123">
        <v>1</v>
      </c>
    </row>
    <row r="36" spans="1:17" x14ac:dyDescent="0.3">
      <c r="A36" t="s">
        <v>118</v>
      </c>
      <c r="B36" t="s">
        <v>123</v>
      </c>
      <c r="C36" t="s">
        <v>1153</v>
      </c>
      <c r="D36" t="s">
        <v>117</v>
      </c>
      <c r="E36" t="s">
        <v>1151</v>
      </c>
      <c r="F36" t="s">
        <v>1152</v>
      </c>
      <c r="G36" t="s">
        <v>118</v>
      </c>
      <c r="H36" t="s">
        <v>1155</v>
      </c>
      <c r="I36" t="s">
        <v>1656</v>
      </c>
      <c r="J36" t="s">
        <v>763</v>
      </c>
      <c r="K36" t="s">
        <v>1159</v>
      </c>
      <c r="L36" t="s">
        <v>1160</v>
      </c>
      <c r="M36" t="s">
        <v>752</v>
      </c>
      <c r="N36" t="s">
        <v>753</v>
      </c>
      <c r="O36" t="s">
        <v>1161</v>
      </c>
      <c r="P36" t="s">
        <v>730</v>
      </c>
      <c r="Q36" s="123">
        <v>1</v>
      </c>
    </row>
    <row r="37" spans="1:17" x14ac:dyDescent="0.3">
      <c r="A37" t="s">
        <v>118</v>
      </c>
      <c r="B37" t="s">
        <v>123</v>
      </c>
      <c r="C37" t="s">
        <v>1165</v>
      </c>
      <c r="D37" t="s">
        <v>122</v>
      </c>
      <c r="E37" t="s">
        <v>1163</v>
      </c>
      <c r="F37" t="s">
        <v>1164</v>
      </c>
      <c r="G37" t="s">
        <v>466</v>
      </c>
      <c r="H37" t="s">
        <v>1167</v>
      </c>
      <c r="I37" t="s">
        <v>1659</v>
      </c>
      <c r="J37" t="s">
        <v>1172</v>
      </c>
      <c r="K37" t="s">
        <v>880</v>
      </c>
      <c r="L37" t="s">
        <v>1173</v>
      </c>
      <c r="M37" t="s">
        <v>752</v>
      </c>
      <c r="N37" t="s">
        <v>731</v>
      </c>
      <c r="O37" t="s">
        <v>1174</v>
      </c>
      <c r="P37" t="s">
        <v>730</v>
      </c>
      <c r="Q37" s="123">
        <v>1</v>
      </c>
    </row>
    <row r="38" spans="1:17" x14ac:dyDescent="0.3">
      <c r="A38" t="s">
        <v>118</v>
      </c>
      <c r="B38" t="s">
        <v>123</v>
      </c>
      <c r="C38" t="s">
        <v>1178</v>
      </c>
      <c r="D38" t="s">
        <v>104</v>
      </c>
      <c r="E38" t="s">
        <v>1176</v>
      </c>
      <c r="F38" t="s">
        <v>1177</v>
      </c>
      <c r="G38" t="s">
        <v>466</v>
      </c>
      <c r="H38" t="s">
        <v>1180</v>
      </c>
      <c r="I38" t="s">
        <v>1659</v>
      </c>
      <c r="J38" t="s">
        <v>1182</v>
      </c>
      <c r="K38" t="s">
        <v>1148</v>
      </c>
      <c r="L38" t="s">
        <v>1183</v>
      </c>
      <c r="M38" t="s">
        <v>752</v>
      </c>
      <c r="N38" t="s">
        <v>731</v>
      </c>
      <c r="O38" t="s">
        <v>1184</v>
      </c>
      <c r="P38" t="s">
        <v>730</v>
      </c>
      <c r="Q38" s="123">
        <v>1</v>
      </c>
    </row>
    <row r="39" spans="1:17" x14ac:dyDescent="0.3">
      <c r="A39" t="s">
        <v>118</v>
      </c>
      <c r="B39" t="s">
        <v>123</v>
      </c>
      <c r="C39" t="s">
        <v>1196</v>
      </c>
      <c r="D39" t="s">
        <v>122</v>
      </c>
      <c r="E39" t="s">
        <v>1194</v>
      </c>
      <c r="F39" t="s">
        <v>1195</v>
      </c>
      <c r="G39" t="s">
        <v>771</v>
      </c>
      <c r="H39" t="s">
        <v>1198</v>
      </c>
      <c r="I39" t="s">
        <v>1662</v>
      </c>
      <c r="J39" t="s">
        <v>763</v>
      </c>
      <c r="K39" t="s">
        <v>800</v>
      </c>
      <c r="L39" t="s">
        <v>1201</v>
      </c>
      <c r="M39" t="s">
        <v>752</v>
      </c>
      <c r="N39" t="s">
        <v>731</v>
      </c>
      <c r="O39" t="s">
        <v>1202</v>
      </c>
      <c r="P39" t="s">
        <v>730</v>
      </c>
      <c r="Q39" s="123">
        <v>1</v>
      </c>
    </row>
    <row r="40" spans="1:17" x14ac:dyDescent="0.3">
      <c r="A40" t="s">
        <v>118</v>
      </c>
      <c r="B40" t="s">
        <v>123</v>
      </c>
      <c r="C40" t="s">
        <v>1206</v>
      </c>
      <c r="D40" t="s">
        <v>117</v>
      </c>
      <c r="E40" t="s">
        <v>1204</v>
      </c>
      <c r="F40" t="s">
        <v>1205</v>
      </c>
      <c r="G40" t="s">
        <v>118</v>
      </c>
      <c r="H40" t="s">
        <v>1208</v>
      </c>
      <c r="I40" t="s">
        <v>1659</v>
      </c>
      <c r="J40" t="s">
        <v>763</v>
      </c>
      <c r="K40" t="s">
        <v>1212</v>
      </c>
      <c r="L40" t="s">
        <v>1209</v>
      </c>
      <c r="M40" t="s">
        <v>752</v>
      </c>
      <c r="N40" t="s">
        <v>970</v>
      </c>
      <c r="O40" t="s">
        <v>1213</v>
      </c>
      <c r="P40" t="s">
        <v>730</v>
      </c>
      <c r="Q40" s="123">
        <v>1</v>
      </c>
    </row>
    <row r="41" spans="1:17" x14ac:dyDescent="0.3">
      <c r="A41" t="s">
        <v>118</v>
      </c>
      <c r="B41" t="s">
        <v>123</v>
      </c>
      <c r="C41" t="s">
        <v>1217</v>
      </c>
      <c r="D41" t="s">
        <v>104</v>
      </c>
      <c r="E41" t="s">
        <v>1215</v>
      </c>
      <c r="F41" t="s">
        <v>1216</v>
      </c>
      <c r="G41" t="s">
        <v>118</v>
      </c>
      <c r="H41" t="s">
        <v>1219</v>
      </c>
      <c r="I41" t="s">
        <v>1665</v>
      </c>
      <c r="J41" t="s">
        <v>763</v>
      </c>
      <c r="K41" t="s">
        <v>1008</v>
      </c>
      <c r="L41" t="s">
        <v>1220</v>
      </c>
      <c r="M41" t="s">
        <v>752</v>
      </c>
      <c r="N41" t="s">
        <v>731</v>
      </c>
      <c r="O41" t="s">
        <v>1222</v>
      </c>
      <c r="P41" t="s">
        <v>730</v>
      </c>
      <c r="Q41" s="123">
        <v>1</v>
      </c>
    </row>
    <row r="42" spans="1:17" x14ac:dyDescent="0.3">
      <c r="A42" t="s">
        <v>118</v>
      </c>
      <c r="B42" t="s">
        <v>123</v>
      </c>
      <c r="C42" t="s">
        <v>1239</v>
      </c>
      <c r="D42" t="s">
        <v>121</v>
      </c>
      <c r="E42" t="s">
        <v>1558</v>
      </c>
      <c r="F42" t="s">
        <v>1238</v>
      </c>
      <c r="G42" t="s">
        <v>118</v>
      </c>
      <c r="H42" t="s">
        <v>1241</v>
      </c>
      <c r="I42" t="s">
        <v>1669</v>
      </c>
      <c r="J42" t="s">
        <v>1244</v>
      </c>
      <c r="K42" t="s">
        <v>1245</v>
      </c>
      <c r="L42" t="s">
        <v>963</v>
      </c>
      <c r="M42" t="s">
        <v>752</v>
      </c>
      <c r="N42" t="s">
        <v>731</v>
      </c>
      <c r="O42" t="s">
        <v>1246</v>
      </c>
      <c r="P42" t="s">
        <v>730</v>
      </c>
      <c r="Q42" s="123">
        <v>1</v>
      </c>
    </row>
    <row r="43" spans="1:17" x14ac:dyDescent="0.3">
      <c r="A43" t="s">
        <v>118</v>
      </c>
      <c r="B43" t="s">
        <v>123</v>
      </c>
      <c r="C43" t="s">
        <v>1327</v>
      </c>
      <c r="D43" t="s">
        <v>110</v>
      </c>
      <c r="E43" t="s">
        <v>1325</v>
      </c>
      <c r="F43" t="s">
        <v>1326</v>
      </c>
      <c r="G43" t="s">
        <v>118</v>
      </c>
      <c r="H43" t="s">
        <v>1329</v>
      </c>
      <c r="I43" t="s">
        <v>1659</v>
      </c>
      <c r="J43" t="s">
        <v>1283</v>
      </c>
      <c r="K43" t="s">
        <v>1336</v>
      </c>
      <c r="L43" t="s">
        <v>1337</v>
      </c>
      <c r="M43" t="s">
        <v>752</v>
      </c>
      <c r="N43" t="s">
        <v>731</v>
      </c>
      <c r="O43" t="s">
        <v>1338</v>
      </c>
      <c r="P43" t="s">
        <v>730</v>
      </c>
      <c r="Q43" s="123">
        <v>1</v>
      </c>
    </row>
    <row r="44" spans="1:17" x14ac:dyDescent="0.3">
      <c r="A44" t="s">
        <v>118</v>
      </c>
      <c r="B44" t="s">
        <v>123</v>
      </c>
      <c r="C44" t="s">
        <v>1465</v>
      </c>
      <c r="D44" t="s">
        <v>115</v>
      </c>
      <c r="E44" t="s">
        <v>1463</v>
      </c>
      <c r="F44" t="s">
        <v>1464</v>
      </c>
      <c r="G44" t="s">
        <v>118</v>
      </c>
      <c r="H44" t="s">
        <v>1567</v>
      </c>
      <c r="I44" t="s">
        <v>1665</v>
      </c>
      <c r="J44" t="s">
        <v>1468</v>
      </c>
      <c r="K44" t="s">
        <v>1032</v>
      </c>
      <c r="L44" t="s">
        <v>835</v>
      </c>
      <c r="M44" t="s">
        <v>752</v>
      </c>
      <c r="N44" t="s">
        <v>731</v>
      </c>
      <c r="O44" t="s">
        <v>1469</v>
      </c>
      <c r="P44" t="s">
        <v>730</v>
      </c>
      <c r="Q44" s="123">
        <v>1</v>
      </c>
    </row>
    <row r="45" spans="1:17" x14ac:dyDescent="0.3">
      <c r="A45" t="s">
        <v>118</v>
      </c>
      <c r="B45" t="s">
        <v>123</v>
      </c>
      <c r="C45" t="s">
        <v>2830</v>
      </c>
      <c r="D45" t="s">
        <v>117</v>
      </c>
      <c r="E45" t="s">
        <v>2828</v>
      </c>
      <c r="F45" t="s">
        <v>2829</v>
      </c>
      <c r="G45" t="s">
        <v>118</v>
      </c>
      <c r="H45" t="s">
        <v>2832</v>
      </c>
      <c r="I45" t="s">
        <v>1659</v>
      </c>
      <c r="J45" t="s">
        <v>2834</v>
      </c>
      <c r="K45" t="s">
        <v>800</v>
      </c>
      <c r="L45" t="s">
        <v>736</v>
      </c>
      <c r="M45" t="s">
        <v>752</v>
      </c>
      <c r="N45" t="s">
        <v>731</v>
      </c>
      <c r="O45" t="s">
        <v>2835</v>
      </c>
      <c r="P45" t="s">
        <v>730</v>
      </c>
      <c r="Q45" s="123">
        <v>1</v>
      </c>
    </row>
    <row r="46" spans="1:17" x14ac:dyDescent="0.3">
      <c r="A46" t="s">
        <v>118</v>
      </c>
      <c r="B46" t="s">
        <v>123</v>
      </c>
      <c r="C46" t="s">
        <v>2938</v>
      </c>
      <c r="D46" t="s">
        <v>110</v>
      </c>
      <c r="E46" t="s">
        <v>2936</v>
      </c>
      <c r="F46" t="s">
        <v>2937</v>
      </c>
      <c r="G46" t="s">
        <v>1553</v>
      </c>
      <c r="H46" t="s">
        <v>2940</v>
      </c>
      <c r="I46" t="s">
        <v>1655</v>
      </c>
      <c r="J46" t="s">
        <v>763</v>
      </c>
      <c r="K46" t="s">
        <v>1008</v>
      </c>
      <c r="L46" t="s">
        <v>2942</v>
      </c>
      <c r="M46" t="s">
        <v>752</v>
      </c>
      <c r="N46" t="s">
        <v>731</v>
      </c>
      <c r="O46" t="s">
        <v>2943</v>
      </c>
      <c r="P46" t="s">
        <v>713</v>
      </c>
      <c r="Q46" s="123">
        <v>1</v>
      </c>
    </row>
    <row r="47" spans="1:17" x14ac:dyDescent="0.3">
      <c r="A47" t="s">
        <v>118</v>
      </c>
      <c r="B47" t="s">
        <v>1125</v>
      </c>
      <c r="C47" t="s">
        <v>1122</v>
      </c>
      <c r="D47" t="s">
        <v>117</v>
      </c>
      <c r="E47" t="s">
        <v>1120</v>
      </c>
      <c r="F47" t="s">
        <v>1121</v>
      </c>
      <c r="G47" t="s">
        <v>771</v>
      </c>
      <c r="H47" t="s">
        <v>1124</v>
      </c>
      <c r="I47" t="s">
        <v>1659</v>
      </c>
      <c r="J47" t="s">
        <v>763</v>
      </c>
      <c r="K47" t="s">
        <v>789</v>
      </c>
      <c r="L47" t="s">
        <v>835</v>
      </c>
      <c r="M47" t="s">
        <v>752</v>
      </c>
      <c r="N47" t="s">
        <v>731</v>
      </c>
      <c r="O47" t="s">
        <v>1130</v>
      </c>
      <c r="P47" t="s">
        <v>120</v>
      </c>
      <c r="Q47" s="123">
        <v>1</v>
      </c>
    </row>
    <row r="48" spans="1:17" x14ac:dyDescent="0.3">
      <c r="A48" t="s">
        <v>118</v>
      </c>
      <c r="B48" t="s">
        <v>1125</v>
      </c>
      <c r="C48" t="s">
        <v>1143</v>
      </c>
      <c r="D48" t="s">
        <v>117</v>
      </c>
      <c r="E48" t="s">
        <v>1141</v>
      </c>
      <c r="F48" t="s">
        <v>1142</v>
      </c>
      <c r="G48" t="s">
        <v>118</v>
      </c>
      <c r="H48" t="s">
        <v>1145</v>
      </c>
      <c r="I48" t="s">
        <v>1659</v>
      </c>
      <c r="J48" t="s">
        <v>1147</v>
      </c>
      <c r="K48" t="s">
        <v>1148</v>
      </c>
      <c r="L48" t="s">
        <v>835</v>
      </c>
      <c r="M48" t="s">
        <v>752</v>
      </c>
      <c r="N48" t="s">
        <v>753</v>
      </c>
      <c r="O48" t="s">
        <v>1149</v>
      </c>
      <c r="P48" t="s">
        <v>713</v>
      </c>
      <c r="Q48" s="123">
        <v>1</v>
      </c>
    </row>
    <row r="49" spans="1:17" x14ac:dyDescent="0.3">
      <c r="A49" t="s">
        <v>118</v>
      </c>
      <c r="B49" t="s">
        <v>1125</v>
      </c>
      <c r="C49" t="s">
        <v>2180</v>
      </c>
      <c r="D49" t="s">
        <v>110</v>
      </c>
      <c r="E49" t="s">
        <v>2178</v>
      </c>
      <c r="F49" t="s">
        <v>2179</v>
      </c>
      <c r="G49" t="s">
        <v>148</v>
      </c>
      <c r="H49" t="s">
        <v>2182</v>
      </c>
      <c r="I49" t="s">
        <v>1656</v>
      </c>
      <c r="J49" t="s">
        <v>2186</v>
      </c>
      <c r="K49" t="s">
        <v>1148</v>
      </c>
      <c r="L49" t="s">
        <v>774</v>
      </c>
      <c r="M49" t="s">
        <v>752</v>
      </c>
      <c r="N49" t="s">
        <v>731</v>
      </c>
      <c r="O49" t="s">
        <v>2187</v>
      </c>
      <c r="P49" t="s">
        <v>713</v>
      </c>
      <c r="Q49" s="123">
        <v>1</v>
      </c>
    </row>
    <row r="50" spans="1:17" x14ac:dyDescent="0.3">
      <c r="A50" t="s">
        <v>118</v>
      </c>
      <c r="B50" t="s">
        <v>1125</v>
      </c>
      <c r="C50" t="s">
        <v>2191</v>
      </c>
      <c r="D50" t="s">
        <v>122</v>
      </c>
      <c r="E50" t="s">
        <v>2189</v>
      </c>
      <c r="F50" t="s">
        <v>2190</v>
      </c>
      <c r="G50" t="s">
        <v>1553</v>
      </c>
      <c r="H50" t="s">
        <v>2193</v>
      </c>
      <c r="I50" t="s">
        <v>1665</v>
      </c>
      <c r="J50" t="s">
        <v>763</v>
      </c>
      <c r="K50" t="s">
        <v>1008</v>
      </c>
      <c r="L50" t="s">
        <v>835</v>
      </c>
      <c r="M50" t="s">
        <v>752</v>
      </c>
      <c r="N50" t="s">
        <v>904</v>
      </c>
      <c r="O50" t="s">
        <v>2195</v>
      </c>
      <c r="P50" t="s">
        <v>713</v>
      </c>
      <c r="Q50" s="123">
        <v>1</v>
      </c>
    </row>
    <row r="51" spans="1:17" x14ac:dyDescent="0.3">
      <c r="A51" t="s">
        <v>118</v>
      </c>
      <c r="B51" t="s">
        <v>1125</v>
      </c>
      <c r="C51" t="s">
        <v>2206</v>
      </c>
      <c r="D51" t="s">
        <v>122</v>
      </c>
      <c r="E51" t="s">
        <v>2204</v>
      </c>
      <c r="F51" t="s">
        <v>2205</v>
      </c>
      <c r="G51" t="s">
        <v>148</v>
      </c>
      <c r="H51" t="s">
        <v>2208</v>
      </c>
      <c r="I51" t="s">
        <v>1659</v>
      </c>
      <c r="J51" t="s">
        <v>763</v>
      </c>
      <c r="K51" t="s">
        <v>969</v>
      </c>
      <c r="L51" t="s">
        <v>835</v>
      </c>
      <c r="M51" t="s">
        <v>752</v>
      </c>
      <c r="N51" t="s">
        <v>731</v>
      </c>
      <c r="O51" t="s">
        <v>1304</v>
      </c>
      <c r="P51" t="s">
        <v>713</v>
      </c>
      <c r="Q51" s="123">
        <v>1</v>
      </c>
    </row>
    <row r="52" spans="1:17" x14ac:dyDescent="0.3">
      <c r="A52" t="s">
        <v>118</v>
      </c>
      <c r="B52" t="s">
        <v>1125</v>
      </c>
      <c r="C52" t="s">
        <v>2269</v>
      </c>
      <c r="D52" t="s">
        <v>115</v>
      </c>
      <c r="E52" t="s">
        <v>2267</v>
      </c>
      <c r="F52" t="s">
        <v>2268</v>
      </c>
      <c r="G52" t="s">
        <v>148</v>
      </c>
      <c r="H52" t="s">
        <v>2271</v>
      </c>
      <c r="I52" t="s">
        <v>1659</v>
      </c>
      <c r="J52" t="s">
        <v>2276</v>
      </c>
      <c r="K52" t="s">
        <v>764</v>
      </c>
      <c r="L52" t="s">
        <v>2277</v>
      </c>
      <c r="M52" t="s">
        <v>752</v>
      </c>
      <c r="N52" t="s">
        <v>731</v>
      </c>
      <c r="O52" t="s">
        <v>2278</v>
      </c>
      <c r="P52" t="s">
        <v>713</v>
      </c>
      <c r="Q52" s="123">
        <v>1</v>
      </c>
    </row>
    <row r="53" spans="1:17" x14ac:dyDescent="0.3">
      <c r="A53" t="s">
        <v>118</v>
      </c>
      <c r="B53" t="s">
        <v>1125</v>
      </c>
      <c r="C53" t="s">
        <v>2336</v>
      </c>
      <c r="D53" t="s">
        <v>122</v>
      </c>
      <c r="E53" t="s">
        <v>2334</v>
      </c>
      <c r="F53" t="s">
        <v>2335</v>
      </c>
      <c r="G53" t="s">
        <v>148</v>
      </c>
      <c r="H53" t="s">
        <v>2338</v>
      </c>
      <c r="I53" t="s">
        <v>1659</v>
      </c>
      <c r="J53" t="s">
        <v>2186</v>
      </c>
      <c r="K53" t="s">
        <v>1148</v>
      </c>
      <c r="L53" t="s">
        <v>835</v>
      </c>
      <c r="M53" t="s">
        <v>752</v>
      </c>
      <c r="N53" t="s">
        <v>904</v>
      </c>
      <c r="O53" t="s">
        <v>2344</v>
      </c>
      <c r="P53" t="s">
        <v>713</v>
      </c>
      <c r="Q53" s="123">
        <v>1</v>
      </c>
    </row>
    <row r="54" spans="1:17" x14ac:dyDescent="0.3">
      <c r="A54" t="s">
        <v>118</v>
      </c>
      <c r="B54" t="s">
        <v>1125</v>
      </c>
      <c r="C54" t="s">
        <v>2399</v>
      </c>
      <c r="D54" t="s">
        <v>115</v>
      </c>
      <c r="E54" t="s">
        <v>2397</v>
      </c>
      <c r="F54" t="s">
        <v>2398</v>
      </c>
      <c r="G54" t="s">
        <v>118</v>
      </c>
      <c r="H54" t="s">
        <v>2401</v>
      </c>
      <c r="I54" t="s">
        <v>1659</v>
      </c>
      <c r="J54" t="s">
        <v>763</v>
      </c>
      <c r="K54" t="s">
        <v>764</v>
      </c>
      <c r="L54" t="s">
        <v>2405</v>
      </c>
      <c r="M54" t="s">
        <v>752</v>
      </c>
      <c r="N54" t="s">
        <v>731</v>
      </c>
      <c r="O54" t="s">
        <v>2406</v>
      </c>
      <c r="P54" t="s">
        <v>713</v>
      </c>
      <c r="Q54" s="123">
        <v>1</v>
      </c>
    </row>
    <row r="55" spans="1:17" x14ac:dyDescent="0.3">
      <c r="A55" t="s">
        <v>118</v>
      </c>
      <c r="B55" t="s">
        <v>1125</v>
      </c>
      <c r="C55" t="s">
        <v>2515</v>
      </c>
      <c r="D55" t="s">
        <v>115</v>
      </c>
      <c r="E55" t="s">
        <v>2513</v>
      </c>
      <c r="F55" t="s">
        <v>2514</v>
      </c>
      <c r="G55" t="s">
        <v>112</v>
      </c>
      <c r="H55" t="s">
        <v>2517</v>
      </c>
      <c r="I55" t="s">
        <v>1673</v>
      </c>
      <c r="J55" t="s">
        <v>2519</v>
      </c>
      <c r="K55" t="s">
        <v>1008</v>
      </c>
      <c r="L55" t="s">
        <v>848</v>
      </c>
      <c r="M55" t="s">
        <v>752</v>
      </c>
      <c r="N55" t="s">
        <v>731</v>
      </c>
      <c r="O55" t="s">
        <v>2520</v>
      </c>
      <c r="P55" t="s">
        <v>713</v>
      </c>
      <c r="Q55" s="123">
        <v>1</v>
      </c>
    </row>
    <row r="56" spans="1:17" x14ac:dyDescent="0.3">
      <c r="A56" t="s">
        <v>118</v>
      </c>
      <c r="B56" t="s">
        <v>1125</v>
      </c>
      <c r="C56" t="s">
        <v>2531</v>
      </c>
      <c r="D56" t="s">
        <v>104</v>
      </c>
      <c r="E56" t="s">
        <v>2720</v>
      </c>
      <c r="F56" t="s">
        <v>2530</v>
      </c>
      <c r="G56" t="s">
        <v>118</v>
      </c>
      <c r="H56" t="s">
        <v>2533</v>
      </c>
      <c r="I56" t="s">
        <v>1655</v>
      </c>
      <c r="J56" t="s">
        <v>1283</v>
      </c>
      <c r="K56" t="s">
        <v>1008</v>
      </c>
      <c r="L56" t="s">
        <v>789</v>
      </c>
      <c r="M56" t="s">
        <v>752</v>
      </c>
      <c r="N56" t="s">
        <v>904</v>
      </c>
      <c r="O56" t="s">
        <v>2538</v>
      </c>
      <c r="P56" t="s">
        <v>120</v>
      </c>
      <c r="Q56" s="123">
        <v>1</v>
      </c>
    </row>
    <row r="57" spans="1:17" x14ac:dyDescent="0.3">
      <c r="A57" t="s">
        <v>118</v>
      </c>
      <c r="B57" t="s">
        <v>1125</v>
      </c>
      <c r="C57" t="s">
        <v>2542</v>
      </c>
      <c r="D57" t="s">
        <v>110</v>
      </c>
      <c r="E57" t="s">
        <v>2540</v>
      </c>
      <c r="F57" t="s">
        <v>2541</v>
      </c>
      <c r="G57" t="s">
        <v>148</v>
      </c>
      <c r="H57" t="s">
        <v>2544</v>
      </c>
      <c r="I57" t="s">
        <v>1659</v>
      </c>
      <c r="J57" t="s">
        <v>2547</v>
      </c>
      <c r="K57" t="s">
        <v>2548</v>
      </c>
      <c r="L57" t="s">
        <v>835</v>
      </c>
      <c r="M57" t="s">
        <v>752</v>
      </c>
      <c r="N57" t="s">
        <v>731</v>
      </c>
      <c r="O57" t="s">
        <v>2549</v>
      </c>
      <c r="P57" t="s">
        <v>713</v>
      </c>
      <c r="Q57" s="123">
        <v>1</v>
      </c>
    </row>
    <row r="58" spans="1:17" x14ac:dyDescent="0.3">
      <c r="A58" t="s">
        <v>118</v>
      </c>
      <c r="B58" t="s">
        <v>1125</v>
      </c>
      <c r="C58" t="s">
        <v>2620</v>
      </c>
      <c r="D58" t="s">
        <v>104</v>
      </c>
      <c r="E58" t="s">
        <v>2618</v>
      </c>
      <c r="F58" t="s">
        <v>2619</v>
      </c>
      <c r="G58" t="s">
        <v>1553</v>
      </c>
      <c r="H58" t="s">
        <v>2622</v>
      </c>
      <c r="I58" t="s">
        <v>1655</v>
      </c>
      <c r="J58" t="s">
        <v>763</v>
      </c>
      <c r="K58" t="s">
        <v>1008</v>
      </c>
      <c r="L58" t="s">
        <v>2625</v>
      </c>
      <c r="M58" t="s">
        <v>752</v>
      </c>
      <c r="N58" t="s">
        <v>731</v>
      </c>
      <c r="O58" t="s">
        <v>2520</v>
      </c>
      <c r="P58" t="s">
        <v>120</v>
      </c>
      <c r="Q58" s="123">
        <v>1</v>
      </c>
    </row>
    <row r="59" spans="1:17" x14ac:dyDescent="0.3">
      <c r="A59" t="s">
        <v>118</v>
      </c>
      <c r="B59" t="s">
        <v>162</v>
      </c>
      <c r="C59" t="s">
        <v>758</v>
      </c>
      <c r="D59" t="s">
        <v>117</v>
      </c>
      <c r="E59" t="s">
        <v>756</v>
      </c>
      <c r="F59" t="s">
        <v>757</v>
      </c>
      <c r="G59" t="s">
        <v>1553</v>
      </c>
      <c r="H59" t="s">
        <v>1560</v>
      </c>
      <c r="I59" t="s">
        <v>1656</v>
      </c>
      <c r="J59" t="s">
        <v>763</v>
      </c>
      <c r="K59" t="s">
        <v>764</v>
      </c>
      <c r="L59" t="s">
        <v>736</v>
      </c>
      <c r="M59" t="s">
        <v>752</v>
      </c>
      <c r="N59" t="s">
        <v>753</v>
      </c>
      <c r="O59" t="s">
        <v>765</v>
      </c>
      <c r="P59" t="s">
        <v>713</v>
      </c>
      <c r="Q59" s="123">
        <v>1</v>
      </c>
    </row>
    <row r="60" spans="1:17" x14ac:dyDescent="0.3">
      <c r="A60" t="s">
        <v>118</v>
      </c>
      <c r="B60" t="s">
        <v>162</v>
      </c>
      <c r="C60" t="s">
        <v>769</v>
      </c>
      <c r="D60" t="s">
        <v>104</v>
      </c>
      <c r="E60" t="s">
        <v>767</v>
      </c>
      <c r="F60" t="s">
        <v>768</v>
      </c>
      <c r="G60" t="s">
        <v>771</v>
      </c>
      <c r="H60" t="s">
        <v>772</v>
      </c>
      <c r="I60" t="s">
        <v>1657</v>
      </c>
      <c r="J60" t="s">
        <v>776</v>
      </c>
      <c r="K60" t="s">
        <v>777</v>
      </c>
      <c r="L60" t="s">
        <v>778</v>
      </c>
      <c r="M60" t="s">
        <v>752</v>
      </c>
      <c r="N60" t="s">
        <v>731</v>
      </c>
      <c r="O60" t="s">
        <v>779</v>
      </c>
      <c r="P60" t="s">
        <v>713</v>
      </c>
      <c r="Q60" s="123">
        <v>1</v>
      </c>
    </row>
    <row r="61" spans="1:17" x14ac:dyDescent="0.3">
      <c r="A61" t="s">
        <v>118</v>
      </c>
      <c r="B61" t="s">
        <v>162</v>
      </c>
      <c r="C61" t="s">
        <v>795</v>
      </c>
      <c r="D61" t="s">
        <v>117</v>
      </c>
      <c r="E61" t="s">
        <v>793</v>
      </c>
      <c r="F61" t="s">
        <v>794</v>
      </c>
      <c r="G61" t="s">
        <v>118</v>
      </c>
      <c r="H61" t="s">
        <v>797</v>
      </c>
      <c r="I61" t="s">
        <v>1659</v>
      </c>
      <c r="J61" t="s">
        <v>799</v>
      </c>
      <c r="K61" t="s">
        <v>800</v>
      </c>
      <c r="L61" t="s">
        <v>736</v>
      </c>
      <c r="M61" t="s">
        <v>752</v>
      </c>
      <c r="N61" t="s">
        <v>801</v>
      </c>
      <c r="O61" t="s">
        <v>779</v>
      </c>
      <c r="P61" t="s">
        <v>713</v>
      </c>
      <c r="Q61" s="123">
        <v>1</v>
      </c>
    </row>
    <row r="62" spans="1:17" x14ac:dyDescent="0.3">
      <c r="A62" t="s">
        <v>118</v>
      </c>
      <c r="B62" t="s">
        <v>162</v>
      </c>
      <c r="C62" t="s">
        <v>1278</v>
      </c>
      <c r="D62" t="s">
        <v>104</v>
      </c>
      <c r="E62" t="s">
        <v>1276</v>
      </c>
      <c r="F62" t="s">
        <v>1277</v>
      </c>
      <c r="G62" t="s">
        <v>118</v>
      </c>
      <c r="H62" t="s">
        <v>1280</v>
      </c>
      <c r="I62" t="s">
        <v>1657</v>
      </c>
      <c r="J62" t="s">
        <v>1283</v>
      </c>
      <c r="K62" t="s">
        <v>1284</v>
      </c>
      <c r="L62" t="s">
        <v>1285</v>
      </c>
      <c r="M62" t="s">
        <v>752</v>
      </c>
      <c r="N62" t="s">
        <v>731</v>
      </c>
      <c r="O62" t="s">
        <v>1286</v>
      </c>
      <c r="P62" t="s">
        <v>713</v>
      </c>
      <c r="Q62" s="123">
        <v>1</v>
      </c>
    </row>
    <row r="63" spans="1:17" x14ac:dyDescent="0.3">
      <c r="A63" t="s">
        <v>118</v>
      </c>
      <c r="B63" t="s">
        <v>162</v>
      </c>
      <c r="C63" t="s">
        <v>1809</v>
      </c>
      <c r="D63" t="s">
        <v>115</v>
      </c>
      <c r="E63" t="s">
        <v>1807</v>
      </c>
      <c r="F63" t="s">
        <v>1808</v>
      </c>
      <c r="G63" t="s">
        <v>118</v>
      </c>
      <c r="H63" t="s">
        <v>1811</v>
      </c>
      <c r="I63" t="s">
        <v>1656</v>
      </c>
      <c r="J63" t="s">
        <v>1813</v>
      </c>
      <c r="K63" t="s">
        <v>981</v>
      </c>
      <c r="L63" t="s">
        <v>736</v>
      </c>
      <c r="M63" t="s">
        <v>752</v>
      </c>
      <c r="N63" t="s">
        <v>731</v>
      </c>
      <c r="O63" t="s">
        <v>1814</v>
      </c>
      <c r="P63" t="s">
        <v>120</v>
      </c>
      <c r="Q63" s="123">
        <v>1</v>
      </c>
    </row>
    <row r="64" spans="1:17" x14ac:dyDescent="0.3">
      <c r="A64" t="s">
        <v>1575</v>
      </c>
      <c r="Q64" s="123">
        <v>38</v>
      </c>
    </row>
    <row r="65" spans="1:17" x14ac:dyDescent="0.3">
      <c r="A65" t="s">
        <v>111</v>
      </c>
      <c r="B65" t="s">
        <v>226</v>
      </c>
      <c r="C65" t="s">
        <v>724</v>
      </c>
      <c r="D65" t="s">
        <v>117</v>
      </c>
      <c r="E65" t="s">
        <v>722</v>
      </c>
      <c r="F65" t="s">
        <v>723</v>
      </c>
      <c r="G65" t="s">
        <v>1553</v>
      </c>
      <c r="H65" t="s">
        <v>726</v>
      </c>
      <c r="I65" t="s">
        <v>1654</v>
      </c>
      <c r="J65" t="s">
        <v>734</v>
      </c>
      <c r="K65" t="s">
        <v>735</v>
      </c>
      <c r="L65" t="s">
        <v>736</v>
      </c>
      <c r="M65" t="s">
        <v>737</v>
      </c>
      <c r="N65" t="s">
        <v>731</v>
      </c>
      <c r="O65" t="s">
        <v>738</v>
      </c>
      <c r="P65" t="s">
        <v>713</v>
      </c>
      <c r="Q65" s="123">
        <v>1</v>
      </c>
    </row>
    <row r="66" spans="1:17" x14ac:dyDescent="0.3">
      <c r="A66" t="s">
        <v>111</v>
      </c>
      <c r="B66" t="s">
        <v>226</v>
      </c>
      <c r="C66" t="s">
        <v>1074</v>
      </c>
      <c r="D66" t="s">
        <v>104</v>
      </c>
      <c r="E66" t="s">
        <v>1072</v>
      </c>
      <c r="F66" t="s">
        <v>1073</v>
      </c>
      <c r="G66" t="s">
        <v>1553</v>
      </c>
      <c r="H66" t="s">
        <v>1076</v>
      </c>
      <c r="I66" t="s">
        <v>1666</v>
      </c>
      <c r="J66" t="s">
        <v>1079</v>
      </c>
      <c r="K66" t="s">
        <v>764</v>
      </c>
      <c r="L66" t="s">
        <v>789</v>
      </c>
      <c r="M66" t="s">
        <v>752</v>
      </c>
      <c r="N66" t="s">
        <v>753</v>
      </c>
      <c r="O66" t="s">
        <v>1080</v>
      </c>
      <c r="P66" t="s">
        <v>713</v>
      </c>
      <c r="Q66" s="123">
        <v>1</v>
      </c>
    </row>
    <row r="67" spans="1:17" x14ac:dyDescent="0.3">
      <c r="A67" t="s">
        <v>111</v>
      </c>
      <c r="B67" t="s">
        <v>226</v>
      </c>
      <c r="C67" t="s">
        <v>1084</v>
      </c>
      <c r="D67" t="s">
        <v>115</v>
      </c>
      <c r="E67" t="s">
        <v>1082</v>
      </c>
      <c r="F67" t="s">
        <v>1083</v>
      </c>
      <c r="G67" t="s">
        <v>1086</v>
      </c>
      <c r="H67" t="s">
        <v>1087</v>
      </c>
      <c r="I67" t="s">
        <v>1664</v>
      </c>
      <c r="J67" t="s">
        <v>1093</v>
      </c>
      <c r="K67" t="s">
        <v>848</v>
      </c>
      <c r="L67" t="s">
        <v>1094</v>
      </c>
      <c r="M67" t="s">
        <v>752</v>
      </c>
      <c r="N67" t="s">
        <v>731</v>
      </c>
      <c r="O67" t="s">
        <v>1095</v>
      </c>
      <c r="P67" t="s">
        <v>713</v>
      </c>
      <c r="Q67" s="123">
        <v>1</v>
      </c>
    </row>
    <row r="68" spans="1:17" x14ac:dyDescent="0.3">
      <c r="A68" t="s">
        <v>111</v>
      </c>
      <c r="B68" t="s">
        <v>226</v>
      </c>
      <c r="C68" t="s">
        <v>1266</v>
      </c>
      <c r="D68" t="s">
        <v>104</v>
      </c>
      <c r="E68" t="s">
        <v>1264</v>
      </c>
      <c r="F68" t="s">
        <v>1265</v>
      </c>
      <c r="G68" t="s">
        <v>1553</v>
      </c>
      <c r="H68" t="s">
        <v>1268</v>
      </c>
      <c r="I68" t="s">
        <v>1672</v>
      </c>
      <c r="J68" t="s">
        <v>1272</v>
      </c>
      <c r="K68" t="s">
        <v>880</v>
      </c>
      <c r="L68" t="s">
        <v>1148</v>
      </c>
      <c r="M68" t="s">
        <v>790</v>
      </c>
      <c r="N68" t="s">
        <v>1273</v>
      </c>
      <c r="O68" t="s">
        <v>1274</v>
      </c>
      <c r="P68" t="s">
        <v>713</v>
      </c>
      <c r="Q68" s="123">
        <v>1</v>
      </c>
    </row>
    <row r="69" spans="1:17" x14ac:dyDescent="0.3">
      <c r="A69" t="s">
        <v>111</v>
      </c>
      <c r="B69" t="s">
        <v>226</v>
      </c>
      <c r="C69" t="s">
        <v>1833</v>
      </c>
      <c r="D69" t="s">
        <v>121</v>
      </c>
      <c r="E69" t="s">
        <v>1883</v>
      </c>
      <c r="F69" t="s">
        <v>1832</v>
      </c>
      <c r="G69" t="s">
        <v>328</v>
      </c>
      <c r="H69" t="s">
        <v>1835</v>
      </c>
      <c r="I69" t="s">
        <v>1675</v>
      </c>
      <c r="J69" t="s">
        <v>1272</v>
      </c>
      <c r="K69" t="s">
        <v>880</v>
      </c>
      <c r="L69" t="s">
        <v>1706</v>
      </c>
      <c r="M69" t="s">
        <v>752</v>
      </c>
      <c r="N69" t="s">
        <v>731</v>
      </c>
      <c r="O69" t="s">
        <v>1838</v>
      </c>
      <c r="P69" t="s">
        <v>713</v>
      </c>
      <c r="Q69" s="123">
        <v>1</v>
      </c>
    </row>
    <row r="70" spans="1:17" x14ac:dyDescent="0.3">
      <c r="A70" t="s">
        <v>111</v>
      </c>
      <c r="B70" t="s">
        <v>245</v>
      </c>
      <c r="C70" t="s">
        <v>2506</v>
      </c>
      <c r="D70" t="s">
        <v>104</v>
      </c>
      <c r="E70" t="s">
        <v>2504</v>
      </c>
      <c r="F70" t="s">
        <v>2505</v>
      </c>
      <c r="G70" t="s">
        <v>1553</v>
      </c>
      <c r="H70" t="s">
        <v>2508</v>
      </c>
      <c r="I70" t="s">
        <v>1660</v>
      </c>
      <c r="J70" t="s">
        <v>1413</v>
      </c>
      <c r="K70" t="s">
        <v>736</v>
      </c>
      <c r="L70" t="s">
        <v>1508</v>
      </c>
      <c r="M70" t="s">
        <v>752</v>
      </c>
      <c r="N70" t="s">
        <v>731</v>
      </c>
      <c r="O70" t="s">
        <v>2511</v>
      </c>
      <c r="P70" t="s">
        <v>713</v>
      </c>
      <c r="Q70" s="123">
        <v>1</v>
      </c>
    </row>
    <row r="71" spans="1:17" x14ac:dyDescent="0.3">
      <c r="A71" t="s">
        <v>111</v>
      </c>
      <c r="B71" t="s">
        <v>109</v>
      </c>
      <c r="C71" t="s">
        <v>1503</v>
      </c>
      <c r="D71" t="s">
        <v>122</v>
      </c>
      <c r="E71" t="s">
        <v>1501</v>
      </c>
      <c r="F71" t="s">
        <v>1502</v>
      </c>
      <c r="G71" t="s">
        <v>1505</v>
      </c>
      <c r="H71" t="s">
        <v>1506</v>
      </c>
      <c r="I71" t="s">
        <v>1666</v>
      </c>
      <c r="J71" t="s">
        <v>1510</v>
      </c>
      <c r="K71" t="s">
        <v>1511</v>
      </c>
      <c r="L71" t="s">
        <v>1508</v>
      </c>
      <c r="M71" t="s">
        <v>752</v>
      </c>
      <c r="N71" t="s">
        <v>731</v>
      </c>
      <c r="O71" t="s">
        <v>1512</v>
      </c>
      <c r="P71" t="s">
        <v>713</v>
      </c>
      <c r="Q71" s="123">
        <v>1</v>
      </c>
    </row>
    <row r="72" spans="1:17" x14ac:dyDescent="0.3">
      <c r="A72" t="s">
        <v>111</v>
      </c>
      <c r="B72" t="s">
        <v>1914</v>
      </c>
      <c r="C72" t="s">
        <v>1910</v>
      </c>
      <c r="D72" t="s">
        <v>110</v>
      </c>
      <c r="E72" t="s">
        <v>1908</v>
      </c>
      <c r="F72" t="s">
        <v>1909</v>
      </c>
      <c r="G72" t="s">
        <v>1912</v>
      </c>
      <c r="H72" t="s">
        <v>1913</v>
      </c>
      <c r="I72" t="s">
        <v>1669</v>
      </c>
      <c r="J72" t="s">
        <v>1921</v>
      </c>
      <c r="K72" t="s">
        <v>835</v>
      </c>
      <c r="L72" t="s">
        <v>944</v>
      </c>
      <c r="M72" t="s">
        <v>752</v>
      </c>
      <c r="N72" t="s">
        <v>731</v>
      </c>
      <c r="O72" t="s">
        <v>1778</v>
      </c>
      <c r="P72" t="s">
        <v>713</v>
      </c>
      <c r="Q72" s="123">
        <v>1</v>
      </c>
    </row>
    <row r="73" spans="1:17" x14ac:dyDescent="0.3">
      <c r="A73" t="s">
        <v>111</v>
      </c>
      <c r="B73" t="s">
        <v>1914</v>
      </c>
      <c r="C73" t="s">
        <v>3234</v>
      </c>
      <c r="D73" t="s">
        <v>115</v>
      </c>
      <c r="E73" t="s">
        <v>3232</v>
      </c>
      <c r="F73" t="s">
        <v>3233</v>
      </c>
      <c r="G73" t="s">
        <v>1912</v>
      </c>
      <c r="H73" t="s">
        <v>3235</v>
      </c>
      <c r="I73" t="s">
        <v>1655</v>
      </c>
      <c r="J73" t="s">
        <v>3239</v>
      </c>
      <c r="K73" t="s">
        <v>1511</v>
      </c>
      <c r="L73" t="s">
        <v>835</v>
      </c>
      <c r="M73" t="s">
        <v>752</v>
      </c>
      <c r="N73" t="s">
        <v>731</v>
      </c>
      <c r="O73" t="s">
        <v>3240</v>
      </c>
      <c r="P73" t="s">
        <v>713</v>
      </c>
      <c r="Q73" s="123">
        <v>1</v>
      </c>
    </row>
    <row r="74" spans="1:17" x14ac:dyDescent="0.3">
      <c r="A74" t="s">
        <v>111</v>
      </c>
      <c r="B74" t="s">
        <v>2132</v>
      </c>
      <c r="C74" t="s">
        <v>2129</v>
      </c>
      <c r="D74" t="s">
        <v>110</v>
      </c>
      <c r="E74" t="s">
        <v>2127</v>
      </c>
      <c r="F74" t="s">
        <v>2128</v>
      </c>
      <c r="G74" t="s">
        <v>328</v>
      </c>
      <c r="H74" t="s">
        <v>2131</v>
      </c>
      <c r="I74" t="s">
        <v>2321</v>
      </c>
      <c r="J74" t="s">
        <v>2137</v>
      </c>
      <c r="K74" t="s">
        <v>2138</v>
      </c>
      <c r="L74" t="s">
        <v>2139</v>
      </c>
      <c r="M74" t="s">
        <v>790</v>
      </c>
      <c r="N74" t="s">
        <v>731</v>
      </c>
      <c r="O74" t="s">
        <v>1184</v>
      </c>
      <c r="P74" t="s">
        <v>713</v>
      </c>
      <c r="Q74" s="123">
        <v>1</v>
      </c>
    </row>
    <row r="75" spans="1:17" x14ac:dyDescent="0.3">
      <c r="A75" t="s">
        <v>111</v>
      </c>
      <c r="B75" t="s">
        <v>2132</v>
      </c>
      <c r="C75" t="s">
        <v>2291</v>
      </c>
      <c r="D75" t="s">
        <v>110</v>
      </c>
      <c r="E75" t="s">
        <v>2289</v>
      </c>
      <c r="F75" t="s">
        <v>2290</v>
      </c>
      <c r="G75" t="s">
        <v>328</v>
      </c>
      <c r="H75" t="s">
        <v>2293</v>
      </c>
      <c r="I75" t="s">
        <v>1672</v>
      </c>
      <c r="J75" t="s">
        <v>2295</v>
      </c>
      <c r="K75" t="s">
        <v>848</v>
      </c>
      <c r="L75" t="s">
        <v>848</v>
      </c>
      <c r="M75" t="s">
        <v>790</v>
      </c>
      <c r="N75" t="s">
        <v>731</v>
      </c>
      <c r="O75" t="s">
        <v>2296</v>
      </c>
      <c r="P75" t="s">
        <v>713</v>
      </c>
      <c r="Q75" s="123">
        <v>1</v>
      </c>
    </row>
    <row r="76" spans="1:17" x14ac:dyDescent="0.3">
      <c r="A76" t="s">
        <v>111</v>
      </c>
      <c r="B76" t="s">
        <v>2132</v>
      </c>
      <c r="C76" t="s">
        <v>2299</v>
      </c>
      <c r="D76" t="s">
        <v>117</v>
      </c>
      <c r="E76" t="s">
        <v>2935</v>
      </c>
      <c r="F76" t="s">
        <v>2298</v>
      </c>
      <c r="G76" t="s">
        <v>118</v>
      </c>
      <c r="H76" t="s">
        <v>2301</v>
      </c>
      <c r="I76" t="s">
        <v>1663</v>
      </c>
      <c r="J76" t="s">
        <v>2303</v>
      </c>
      <c r="K76" t="s">
        <v>848</v>
      </c>
      <c r="L76" t="s">
        <v>2304</v>
      </c>
      <c r="M76" t="s">
        <v>790</v>
      </c>
      <c r="N76" t="s">
        <v>753</v>
      </c>
      <c r="O76" t="s">
        <v>2305</v>
      </c>
      <c r="P76" t="s">
        <v>713</v>
      </c>
      <c r="Q76" s="123">
        <v>1</v>
      </c>
    </row>
    <row r="77" spans="1:17" x14ac:dyDescent="0.3">
      <c r="A77" t="s">
        <v>111</v>
      </c>
      <c r="B77" t="s">
        <v>2132</v>
      </c>
      <c r="C77" t="s">
        <v>2607</v>
      </c>
      <c r="D77" t="s">
        <v>122</v>
      </c>
      <c r="E77" t="s">
        <v>2605</v>
      </c>
      <c r="F77" t="s">
        <v>2606</v>
      </c>
      <c r="G77" t="s">
        <v>328</v>
      </c>
      <c r="H77" t="s">
        <v>2721</v>
      </c>
      <c r="I77" t="s">
        <v>1739</v>
      </c>
      <c r="J77" t="s">
        <v>2615</v>
      </c>
      <c r="K77" t="s">
        <v>1008</v>
      </c>
      <c r="L77" t="s">
        <v>733</v>
      </c>
      <c r="M77" t="s">
        <v>790</v>
      </c>
      <c r="N77" t="s">
        <v>753</v>
      </c>
      <c r="O77" t="s">
        <v>2616</v>
      </c>
      <c r="P77" t="s">
        <v>713</v>
      </c>
      <c r="Q77" s="123">
        <v>1</v>
      </c>
    </row>
    <row r="78" spans="1:17" x14ac:dyDescent="0.3">
      <c r="A78" t="s">
        <v>111</v>
      </c>
      <c r="B78" t="s">
        <v>2132</v>
      </c>
      <c r="C78" t="s">
        <v>2432</v>
      </c>
      <c r="D78" t="s">
        <v>115</v>
      </c>
      <c r="E78" t="s">
        <v>2430</v>
      </c>
      <c r="F78" t="s">
        <v>2431</v>
      </c>
      <c r="G78" t="s">
        <v>1553</v>
      </c>
      <c r="H78" t="s">
        <v>2434</v>
      </c>
      <c r="I78" t="s">
        <v>1660</v>
      </c>
      <c r="J78" t="s">
        <v>763</v>
      </c>
      <c r="K78" t="s">
        <v>915</v>
      </c>
      <c r="L78" t="s">
        <v>848</v>
      </c>
      <c r="M78" t="s">
        <v>752</v>
      </c>
      <c r="N78" t="s">
        <v>731</v>
      </c>
      <c r="O78" t="s">
        <v>2437</v>
      </c>
      <c r="P78" t="s">
        <v>713</v>
      </c>
      <c r="Q78" s="123">
        <v>1</v>
      </c>
    </row>
    <row r="79" spans="1:17" x14ac:dyDescent="0.3">
      <c r="A79" t="s">
        <v>1576</v>
      </c>
      <c r="Q79" s="123">
        <v>14</v>
      </c>
    </row>
    <row r="80" spans="1:17" x14ac:dyDescent="0.3">
      <c r="A80" t="s">
        <v>105</v>
      </c>
      <c r="B80" t="s">
        <v>103</v>
      </c>
      <c r="C80" t="s">
        <v>2221</v>
      </c>
      <c r="D80" t="s">
        <v>104</v>
      </c>
      <c r="E80" t="s">
        <v>2219</v>
      </c>
      <c r="F80" t="s">
        <v>2220</v>
      </c>
      <c r="G80" t="s">
        <v>118</v>
      </c>
      <c r="H80" t="s">
        <v>2223</v>
      </c>
      <c r="I80" t="s">
        <v>1656</v>
      </c>
      <c r="J80" t="s">
        <v>1813</v>
      </c>
      <c r="K80" t="s">
        <v>1008</v>
      </c>
      <c r="L80" t="s">
        <v>1116</v>
      </c>
      <c r="M80" t="s">
        <v>752</v>
      </c>
      <c r="N80" t="s">
        <v>731</v>
      </c>
      <c r="O80" t="s">
        <v>2225</v>
      </c>
      <c r="P80" t="s">
        <v>713</v>
      </c>
      <c r="Q80" s="123">
        <v>1</v>
      </c>
    </row>
    <row r="81" spans="1:17" x14ac:dyDescent="0.3">
      <c r="A81" t="s">
        <v>105</v>
      </c>
      <c r="B81" t="s">
        <v>1253</v>
      </c>
      <c r="C81" t="s">
        <v>1250</v>
      </c>
      <c r="D81" t="s">
        <v>115</v>
      </c>
      <c r="E81" t="s">
        <v>1248</v>
      </c>
      <c r="F81" t="s">
        <v>1249</v>
      </c>
      <c r="G81" t="s">
        <v>148</v>
      </c>
      <c r="H81" t="s">
        <v>1252</v>
      </c>
      <c r="I81" t="s">
        <v>1662</v>
      </c>
      <c r="J81" t="s">
        <v>763</v>
      </c>
      <c r="K81" t="s">
        <v>1008</v>
      </c>
      <c r="L81" t="s">
        <v>809</v>
      </c>
      <c r="M81" t="s">
        <v>752</v>
      </c>
      <c r="N81" t="s">
        <v>731</v>
      </c>
      <c r="O81" t="s">
        <v>1255</v>
      </c>
      <c r="P81" t="s">
        <v>713</v>
      </c>
      <c r="Q81" s="123">
        <v>1</v>
      </c>
    </row>
    <row r="82" spans="1:17" x14ac:dyDescent="0.3">
      <c r="A82" t="s">
        <v>105</v>
      </c>
      <c r="B82" t="s">
        <v>1253</v>
      </c>
      <c r="C82" t="s">
        <v>1259</v>
      </c>
      <c r="D82" t="s">
        <v>117</v>
      </c>
      <c r="E82" t="s">
        <v>1257</v>
      </c>
      <c r="F82" t="s">
        <v>1258</v>
      </c>
      <c r="G82" t="s">
        <v>771</v>
      </c>
      <c r="H82" t="s">
        <v>1261</v>
      </c>
      <c r="I82" t="s">
        <v>1656</v>
      </c>
      <c r="J82" t="s">
        <v>763</v>
      </c>
      <c r="K82" t="s">
        <v>800</v>
      </c>
      <c r="L82" t="s">
        <v>735</v>
      </c>
      <c r="M82" t="s">
        <v>752</v>
      </c>
      <c r="N82" t="s">
        <v>731</v>
      </c>
      <c r="O82" t="s">
        <v>779</v>
      </c>
      <c r="P82" t="s">
        <v>730</v>
      </c>
      <c r="Q82" s="123">
        <v>1</v>
      </c>
    </row>
    <row r="83" spans="1:17" x14ac:dyDescent="0.3">
      <c r="A83" t="s">
        <v>105</v>
      </c>
      <c r="B83" t="s">
        <v>1253</v>
      </c>
      <c r="C83" t="s">
        <v>1613</v>
      </c>
      <c r="D83" t="s">
        <v>110</v>
      </c>
      <c r="E83" t="s">
        <v>1611</v>
      </c>
      <c r="F83" t="s">
        <v>1612</v>
      </c>
      <c r="G83" t="s">
        <v>118</v>
      </c>
      <c r="H83" t="s">
        <v>1615</v>
      </c>
      <c r="I83" t="s">
        <v>1655</v>
      </c>
      <c r="J83" t="s">
        <v>763</v>
      </c>
      <c r="K83" t="s">
        <v>986</v>
      </c>
      <c r="L83" t="s">
        <v>735</v>
      </c>
      <c r="M83" t="s">
        <v>752</v>
      </c>
      <c r="N83" t="s">
        <v>731</v>
      </c>
      <c r="O83" t="s">
        <v>1618</v>
      </c>
      <c r="P83" t="s">
        <v>713</v>
      </c>
      <c r="Q83" s="123">
        <v>1</v>
      </c>
    </row>
    <row r="84" spans="1:17" x14ac:dyDescent="0.3">
      <c r="A84" t="s">
        <v>105</v>
      </c>
      <c r="B84" t="s">
        <v>413</v>
      </c>
      <c r="C84" t="s">
        <v>840</v>
      </c>
      <c r="D84" t="s">
        <v>122</v>
      </c>
      <c r="E84" t="s">
        <v>838</v>
      </c>
      <c r="F84" t="s">
        <v>839</v>
      </c>
      <c r="G84" t="s">
        <v>148</v>
      </c>
      <c r="H84" t="s">
        <v>842</v>
      </c>
      <c r="I84" t="s">
        <v>1660</v>
      </c>
      <c r="J84" t="s">
        <v>763</v>
      </c>
      <c r="K84" t="s">
        <v>764</v>
      </c>
      <c r="L84" t="s">
        <v>848</v>
      </c>
      <c r="M84" t="s">
        <v>752</v>
      </c>
      <c r="N84" t="s">
        <v>753</v>
      </c>
      <c r="O84" t="s">
        <v>849</v>
      </c>
      <c r="P84" t="s">
        <v>713</v>
      </c>
      <c r="Q84" s="123">
        <v>1</v>
      </c>
    </row>
    <row r="85" spans="1:17" x14ac:dyDescent="0.3">
      <c r="A85" t="s">
        <v>105</v>
      </c>
      <c r="B85" t="s">
        <v>413</v>
      </c>
      <c r="C85" t="s">
        <v>862</v>
      </c>
      <c r="D85" t="s">
        <v>122</v>
      </c>
      <c r="E85" t="s">
        <v>860</v>
      </c>
      <c r="F85" t="s">
        <v>861</v>
      </c>
      <c r="G85" t="s">
        <v>118</v>
      </c>
      <c r="H85" t="s">
        <v>864</v>
      </c>
      <c r="I85" t="s">
        <v>1659</v>
      </c>
      <c r="J85" t="s">
        <v>867</v>
      </c>
      <c r="K85" t="s">
        <v>868</v>
      </c>
      <c r="L85" t="s">
        <v>865</v>
      </c>
      <c r="M85" t="s">
        <v>752</v>
      </c>
      <c r="N85" t="s">
        <v>753</v>
      </c>
      <c r="O85" t="s">
        <v>869</v>
      </c>
      <c r="P85" t="s">
        <v>713</v>
      </c>
      <c r="Q85" s="123">
        <v>1</v>
      </c>
    </row>
    <row r="86" spans="1:17" x14ac:dyDescent="0.3">
      <c r="A86" t="s">
        <v>105</v>
      </c>
      <c r="B86" t="s">
        <v>413</v>
      </c>
      <c r="C86" t="s">
        <v>896</v>
      </c>
      <c r="D86" t="s">
        <v>122</v>
      </c>
      <c r="E86" t="s">
        <v>894</v>
      </c>
      <c r="F86" t="s">
        <v>895</v>
      </c>
      <c r="G86" t="s">
        <v>112</v>
      </c>
      <c r="H86" t="s">
        <v>898</v>
      </c>
      <c r="I86" t="s">
        <v>1662</v>
      </c>
      <c r="J86" t="s">
        <v>901</v>
      </c>
      <c r="K86" t="s">
        <v>902</v>
      </c>
      <c r="L86" t="s">
        <v>903</v>
      </c>
      <c r="M86" t="s">
        <v>752</v>
      </c>
      <c r="N86" t="s">
        <v>904</v>
      </c>
      <c r="O86" t="s">
        <v>905</v>
      </c>
      <c r="P86" t="s">
        <v>713</v>
      </c>
      <c r="Q86" s="123">
        <v>1</v>
      </c>
    </row>
    <row r="87" spans="1:17" x14ac:dyDescent="0.3">
      <c r="A87" t="s">
        <v>105</v>
      </c>
      <c r="B87" t="s">
        <v>413</v>
      </c>
      <c r="C87" t="s">
        <v>909</v>
      </c>
      <c r="D87" t="s">
        <v>115</v>
      </c>
      <c r="E87" t="s">
        <v>907</v>
      </c>
      <c r="F87" t="s">
        <v>908</v>
      </c>
      <c r="G87" t="s">
        <v>118</v>
      </c>
      <c r="H87" t="s">
        <v>911</v>
      </c>
      <c r="I87" t="s">
        <v>1662</v>
      </c>
      <c r="J87" t="s">
        <v>914</v>
      </c>
      <c r="K87" t="s">
        <v>915</v>
      </c>
      <c r="L87" t="s">
        <v>916</v>
      </c>
      <c r="M87" t="s">
        <v>752</v>
      </c>
      <c r="N87" t="s">
        <v>731</v>
      </c>
      <c r="O87" t="s">
        <v>917</v>
      </c>
      <c r="P87" t="s">
        <v>120</v>
      </c>
      <c r="Q87" s="123">
        <v>1</v>
      </c>
    </row>
    <row r="88" spans="1:17" x14ac:dyDescent="0.3">
      <c r="A88" t="s">
        <v>105</v>
      </c>
      <c r="B88" t="s">
        <v>413</v>
      </c>
      <c r="C88" t="s">
        <v>1484</v>
      </c>
      <c r="D88" t="s">
        <v>104</v>
      </c>
      <c r="E88" t="s">
        <v>1482</v>
      </c>
      <c r="F88" t="s">
        <v>1483</v>
      </c>
      <c r="G88" t="s">
        <v>148</v>
      </c>
      <c r="H88" t="s">
        <v>1568</v>
      </c>
      <c r="I88" t="s">
        <v>1659</v>
      </c>
      <c r="J88" t="s">
        <v>763</v>
      </c>
      <c r="K88" t="s">
        <v>1008</v>
      </c>
      <c r="L88" t="s">
        <v>1487</v>
      </c>
      <c r="M88" t="s">
        <v>752</v>
      </c>
      <c r="N88" t="s">
        <v>731</v>
      </c>
      <c r="O88" t="s">
        <v>1488</v>
      </c>
      <c r="P88" t="s">
        <v>713</v>
      </c>
      <c r="Q88" s="123">
        <v>1</v>
      </c>
    </row>
    <row r="89" spans="1:17" x14ac:dyDescent="0.3">
      <c r="A89" t="s">
        <v>1577</v>
      </c>
      <c r="Q89" s="123">
        <v>9</v>
      </c>
    </row>
    <row r="90" spans="1:17" x14ac:dyDescent="0.3">
      <c r="A90" t="s">
        <v>1004</v>
      </c>
      <c r="B90" t="s">
        <v>1476</v>
      </c>
      <c r="C90" t="s">
        <v>1473</v>
      </c>
      <c r="D90" t="s">
        <v>110</v>
      </c>
      <c r="E90" t="s">
        <v>1471</v>
      </c>
      <c r="F90" t="s">
        <v>1472</v>
      </c>
      <c r="G90" t="s">
        <v>124</v>
      </c>
      <c r="H90" t="s">
        <v>1475</v>
      </c>
      <c r="I90" t="s">
        <v>1669</v>
      </c>
      <c r="J90" t="s">
        <v>1478</v>
      </c>
      <c r="K90" t="s">
        <v>1032</v>
      </c>
      <c r="L90" t="s">
        <v>1479</v>
      </c>
      <c r="M90" t="s">
        <v>752</v>
      </c>
      <c r="N90" t="s">
        <v>731</v>
      </c>
      <c r="O90" t="s">
        <v>1480</v>
      </c>
      <c r="P90" t="s">
        <v>713</v>
      </c>
      <c r="Q90" s="123">
        <v>1</v>
      </c>
    </row>
    <row r="91" spans="1:17" x14ac:dyDescent="0.3">
      <c r="A91" t="s">
        <v>1004</v>
      </c>
      <c r="B91" t="s">
        <v>1476</v>
      </c>
      <c r="C91" t="s">
        <v>2810</v>
      </c>
      <c r="D91" t="s">
        <v>104</v>
      </c>
      <c r="E91" t="s">
        <v>2808</v>
      </c>
      <c r="F91" t="s">
        <v>2809</v>
      </c>
      <c r="G91" t="s">
        <v>124</v>
      </c>
      <c r="H91" t="s">
        <v>2812</v>
      </c>
      <c r="I91" t="s">
        <v>1656</v>
      </c>
      <c r="J91" t="s">
        <v>2815</v>
      </c>
      <c r="K91" t="s">
        <v>986</v>
      </c>
      <c r="L91" t="s">
        <v>986</v>
      </c>
      <c r="M91" t="s">
        <v>752</v>
      </c>
      <c r="N91" t="s">
        <v>731</v>
      </c>
      <c r="O91" t="s">
        <v>2816</v>
      </c>
      <c r="P91" t="s">
        <v>713</v>
      </c>
      <c r="Q91" s="123">
        <v>1</v>
      </c>
    </row>
    <row r="92" spans="1:17" x14ac:dyDescent="0.3">
      <c r="A92" t="s">
        <v>1004</v>
      </c>
      <c r="B92" t="s">
        <v>235</v>
      </c>
      <c r="C92" t="s">
        <v>2485</v>
      </c>
      <c r="D92" t="s">
        <v>122</v>
      </c>
      <c r="E92" t="s">
        <v>2483</v>
      </c>
      <c r="F92" t="s">
        <v>2484</v>
      </c>
      <c r="G92" t="s">
        <v>124</v>
      </c>
      <c r="H92" t="s">
        <v>2487</v>
      </c>
      <c r="I92" t="s">
        <v>1671</v>
      </c>
      <c r="J92" t="s">
        <v>2491</v>
      </c>
      <c r="K92" t="s">
        <v>1008</v>
      </c>
      <c r="L92" t="s">
        <v>736</v>
      </c>
      <c r="M92" t="s">
        <v>752</v>
      </c>
      <c r="N92" t="s">
        <v>731</v>
      </c>
      <c r="O92" t="s">
        <v>2492</v>
      </c>
      <c r="P92" t="s">
        <v>713</v>
      </c>
      <c r="Q92" s="123">
        <v>1</v>
      </c>
    </row>
    <row r="93" spans="1:17" x14ac:dyDescent="0.3">
      <c r="A93" t="s">
        <v>1004</v>
      </c>
      <c r="B93" t="s">
        <v>235</v>
      </c>
      <c r="C93" t="s">
        <v>2732</v>
      </c>
      <c r="D93" t="s">
        <v>121</v>
      </c>
      <c r="E93" t="s">
        <v>2730</v>
      </c>
      <c r="F93" t="s">
        <v>2731</v>
      </c>
      <c r="G93" t="s">
        <v>124</v>
      </c>
      <c r="H93" t="s">
        <v>2734</v>
      </c>
      <c r="I93" t="s">
        <v>1675</v>
      </c>
      <c r="J93" t="s">
        <v>2737</v>
      </c>
      <c r="K93" t="s">
        <v>764</v>
      </c>
      <c r="L93" t="s">
        <v>764</v>
      </c>
      <c r="M93" t="s">
        <v>752</v>
      </c>
      <c r="N93" t="s">
        <v>731</v>
      </c>
      <c r="O93" t="s">
        <v>2738</v>
      </c>
      <c r="P93" t="s">
        <v>713</v>
      </c>
      <c r="Q93" s="123">
        <v>1</v>
      </c>
    </row>
    <row r="94" spans="1:17" x14ac:dyDescent="0.3">
      <c r="A94" t="s">
        <v>1004</v>
      </c>
      <c r="B94" t="s">
        <v>2712</v>
      </c>
      <c r="C94" t="s">
        <v>2709</v>
      </c>
      <c r="D94" t="s">
        <v>117</v>
      </c>
      <c r="E94" t="s">
        <v>2707</v>
      </c>
      <c r="F94" t="s">
        <v>2708</v>
      </c>
      <c r="G94" t="s">
        <v>124</v>
      </c>
      <c r="H94" t="s">
        <v>2711</v>
      </c>
      <c r="I94" t="s">
        <v>2368</v>
      </c>
      <c r="J94" t="s">
        <v>2716</v>
      </c>
      <c r="K94" t="s">
        <v>789</v>
      </c>
      <c r="L94" t="s">
        <v>1106</v>
      </c>
      <c r="M94" t="s">
        <v>752</v>
      </c>
      <c r="N94" t="s">
        <v>753</v>
      </c>
      <c r="O94" t="s">
        <v>2520</v>
      </c>
      <c r="P94" t="s">
        <v>120</v>
      </c>
      <c r="Q94" s="123">
        <v>1</v>
      </c>
    </row>
    <row r="95" spans="1:17" x14ac:dyDescent="0.3">
      <c r="A95" t="s">
        <v>1004</v>
      </c>
      <c r="B95" t="s">
        <v>2712</v>
      </c>
      <c r="C95" t="s">
        <v>2864</v>
      </c>
      <c r="D95" t="s">
        <v>115</v>
      </c>
      <c r="E95" t="s">
        <v>2862</v>
      </c>
      <c r="F95" t="s">
        <v>2863</v>
      </c>
      <c r="G95" t="s">
        <v>124</v>
      </c>
      <c r="H95" t="s">
        <v>2866</v>
      </c>
      <c r="I95" t="s">
        <v>1654</v>
      </c>
      <c r="J95" t="s">
        <v>2869</v>
      </c>
      <c r="K95" t="s">
        <v>789</v>
      </c>
      <c r="L95" t="s">
        <v>880</v>
      </c>
      <c r="M95" t="s">
        <v>752</v>
      </c>
      <c r="N95" t="s">
        <v>731</v>
      </c>
      <c r="O95" t="s">
        <v>2870</v>
      </c>
      <c r="P95" t="s">
        <v>713</v>
      </c>
      <c r="Q95" s="123">
        <v>1</v>
      </c>
    </row>
    <row r="96" spans="1:17" x14ac:dyDescent="0.3">
      <c r="A96" t="s">
        <v>1004</v>
      </c>
      <c r="B96" t="s">
        <v>1003</v>
      </c>
      <c r="C96" t="s">
        <v>999</v>
      </c>
      <c r="D96" t="s">
        <v>122</v>
      </c>
      <c r="E96" t="s">
        <v>1555</v>
      </c>
      <c r="F96" t="s">
        <v>998</v>
      </c>
      <c r="G96" t="s">
        <v>1001</v>
      </c>
      <c r="H96" t="s">
        <v>1002</v>
      </c>
      <c r="I96" t="s">
        <v>1656</v>
      </c>
      <c r="J96" t="s">
        <v>1007</v>
      </c>
      <c r="K96" t="s">
        <v>1008</v>
      </c>
      <c r="L96" t="s">
        <v>835</v>
      </c>
      <c r="M96" t="s">
        <v>752</v>
      </c>
      <c r="N96" t="s">
        <v>1009</v>
      </c>
      <c r="O96" t="s">
        <v>1010</v>
      </c>
      <c r="P96" t="s">
        <v>713</v>
      </c>
      <c r="Q96" s="123">
        <v>1</v>
      </c>
    </row>
    <row r="97" spans="1:17" x14ac:dyDescent="0.3">
      <c r="A97" t="s">
        <v>1004</v>
      </c>
      <c r="B97" t="s">
        <v>1003</v>
      </c>
      <c r="C97" t="s">
        <v>1013</v>
      </c>
      <c r="D97" t="s">
        <v>117</v>
      </c>
      <c r="E97" t="s">
        <v>1556</v>
      </c>
      <c r="F97" t="s">
        <v>1012</v>
      </c>
      <c r="G97" t="s">
        <v>1039</v>
      </c>
      <c r="H97" t="s">
        <v>1015</v>
      </c>
      <c r="I97" t="s">
        <v>1655</v>
      </c>
      <c r="J97" t="s">
        <v>763</v>
      </c>
      <c r="K97" t="s">
        <v>764</v>
      </c>
      <c r="L97" t="s">
        <v>835</v>
      </c>
      <c r="M97" t="s">
        <v>752</v>
      </c>
      <c r="N97" t="s">
        <v>731</v>
      </c>
      <c r="O97" t="s">
        <v>1020</v>
      </c>
      <c r="P97" t="s">
        <v>713</v>
      </c>
      <c r="Q97" s="123">
        <v>1</v>
      </c>
    </row>
    <row r="98" spans="1:17" x14ac:dyDescent="0.3">
      <c r="A98" t="s">
        <v>1004</v>
      </c>
      <c r="B98" t="s">
        <v>1003</v>
      </c>
      <c r="C98" t="s">
        <v>1037</v>
      </c>
      <c r="D98" t="s">
        <v>122</v>
      </c>
      <c r="E98" t="s">
        <v>1035</v>
      </c>
      <c r="F98" t="s">
        <v>1036</v>
      </c>
      <c r="G98" t="s">
        <v>1039</v>
      </c>
      <c r="H98" t="s">
        <v>1040</v>
      </c>
      <c r="I98" t="s">
        <v>1665</v>
      </c>
      <c r="J98" t="s">
        <v>763</v>
      </c>
      <c r="K98" t="s">
        <v>915</v>
      </c>
      <c r="L98" t="s">
        <v>1042</v>
      </c>
      <c r="M98" t="s">
        <v>752</v>
      </c>
      <c r="N98" t="s">
        <v>731</v>
      </c>
      <c r="O98" t="s">
        <v>1043</v>
      </c>
      <c r="P98" t="s">
        <v>713</v>
      </c>
      <c r="Q98" s="123">
        <v>1</v>
      </c>
    </row>
    <row r="99" spans="1:17" x14ac:dyDescent="0.3">
      <c r="A99" t="s">
        <v>1004</v>
      </c>
      <c r="B99" t="s">
        <v>1003</v>
      </c>
      <c r="C99" t="s">
        <v>1047</v>
      </c>
      <c r="D99" t="s">
        <v>122</v>
      </c>
      <c r="E99" t="s">
        <v>1045</v>
      </c>
      <c r="F99" t="s">
        <v>1046</v>
      </c>
      <c r="G99" t="s">
        <v>124</v>
      </c>
      <c r="H99" t="s">
        <v>1049</v>
      </c>
      <c r="I99" t="s">
        <v>1662</v>
      </c>
      <c r="J99" t="s">
        <v>763</v>
      </c>
      <c r="K99" t="s">
        <v>835</v>
      </c>
      <c r="L99" t="s">
        <v>736</v>
      </c>
      <c r="M99" t="s">
        <v>752</v>
      </c>
      <c r="N99" t="s">
        <v>731</v>
      </c>
      <c r="O99" t="s">
        <v>1051</v>
      </c>
      <c r="P99" t="s">
        <v>713</v>
      </c>
      <c r="Q99" s="123">
        <v>1</v>
      </c>
    </row>
    <row r="100" spans="1:17" x14ac:dyDescent="0.3">
      <c r="A100" t="s">
        <v>1004</v>
      </c>
      <c r="B100" t="s">
        <v>1003</v>
      </c>
      <c r="C100" t="s">
        <v>1067</v>
      </c>
      <c r="D100" t="s">
        <v>117</v>
      </c>
      <c r="E100" t="s">
        <v>1065</v>
      </c>
      <c r="F100" t="s">
        <v>1066</v>
      </c>
      <c r="G100" t="s">
        <v>1039</v>
      </c>
      <c r="H100" t="s">
        <v>1563</v>
      </c>
      <c r="I100" t="s">
        <v>1665</v>
      </c>
      <c r="J100" t="s">
        <v>763</v>
      </c>
      <c r="K100" t="s">
        <v>1008</v>
      </c>
      <c r="L100" t="s">
        <v>735</v>
      </c>
      <c r="M100" t="s">
        <v>752</v>
      </c>
      <c r="N100" t="s">
        <v>731</v>
      </c>
      <c r="O100" t="s">
        <v>1070</v>
      </c>
      <c r="P100" t="s">
        <v>713</v>
      </c>
      <c r="Q100" s="123">
        <v>1</v>
      </c>
    </row>
    <row r="101" spans="1:17" x14ac:dyDescent="0.3">
      <c r="A101" t="s">
        <v>1004</v>
      </c>
      <c r="B101" t="s">
        <v>1003</v>
      </c>
      <c r="C101" t="s">
        <v>1187</v>
      </c>
      <c r="D101" t="s">
        <v>121</v>
      </c>
      <c r="E101" t="s">
        <v>1557</v>
      </c>
      <c r="F101" t="s">
        <v>1186</v>
      </c>
      <c r="G101" t="s">
        <v>1039</v>
      </c>
      <c r="H101" t="s">
        <v>1189</v>
      </c>
      <c r="I101" t="s">
        <v>1670</v>
      </c>
      <c r="J101" t="s">
        <v>1191</v>
      </c>
      <c r="K101" t="s">
        <v>789</v>
      </c>
      <c r="L101" t="s">
        <v>764</v>
      </c>
      <c r="M101" t="s">
        <v>752</v>
      </c>
      <c r="N101" t="s">
        <v>731</v>
      </c>
      <c r="O101" t="s">
        <v>1192</v>
      </c>
      <c r="P101" t="s">
        <v>120</v>
      </c>
      <c r="Q101" s="123">
        <v>1</v>
      </c>
    </row>
    <row r="102" spans="1:17" x14ac:dyDescent="0.3">
      <c r="A102" t="s">
        <v>1004</v>
      </c>
      <c r="B102" t="s">
        <v>1003</v>
      </c>
      <c r="C102" t="s">
        <v>1290</v>
      </c>
      <c r="D102" t="s">
        <v>122</v>
      </c>
      <c r="E102" t="s">
        <v>1288</v>
      </c>
      <c r="F102" t="s">
        <v>1289</v>
      </c>
      <c r="G102" t="s">
        <v>1039</v>
      </c>
      <c r="H102" t="s">
        <v>1292</v>
      </c>
      <c r="I102" t="s">
        <v>1656</v>
      </c>
      <c r="J102" t="s">
        <v>763</v>
      </c>
      <c r="K102" t="s">
        <v>1032</v>
      </c>
      <c r="L102" t="s">
        <v>735</v>
      </c>
      <c r="M102" t="s">
        <v>752</v>
      </c>
      <c r="N102" t="s">
        <v>731</v>
      </c>
      <c r="O102" t="s">
        <v>1149</v>
      </c>
      <c r="P102" t="s">
        <v>713</v>
      </c>
      <c r="Q102" s="123">
        <v>1</v>
      </c>
    </row>
    <row r="103" spans="1:17" x14ac:dyDescent="0.3">
      <c r="A103" t="s">
        <v>1004</v>
      </c>
      <c r="B103" t="s">
        <v>1003</v>
      </c>
      <c r="C103" t="s">
        <v>1318</v>
      </c>
      <c r="D103" t="s">
        <v>115</v>
      </c>
      <c r="E103" t="s">
        <v>1316</v>
      </c>
      <c r="F103" t="s">
        <v>1317</v>
      </c>
      <c r="G103" t="s">
        <v>1039</v>
      </c>
      <c r="H103" t="s">
        <v>1320</v>
      </c>
      <c r="I103" t="s">
        <v>1662</v>
      </c>
      <c r="J103" t="s">
        <v>763</v>
      </c>
      <c r="K103" t="s">
        <v>789</v>
      </c>
      <c r="L103" t="s">
        <v>736</v>
      </c>
      <c r="M103" t="s">
        <v>752</v>
      </c>
      <c r="N103" t="s">
        <v>731</v>
      </c>
      <c r="O103" t="s">
        <v>1323</v>
      </c>
      <c r="P103" t="s">
        <v>713</v>
      </c>
      <c r="Q103" s="123">
        <v>1</v>
      </c>
    </row>
    <row r="104" spans="1:17" x14ac:dyDescent="0.3">
      <c r="A104" t="s">
        <v>1004</v>
      </c>
      <c r="B104" t="s">
        <v>1003</v>
      </c>
      <c r="C104" t="s">
        <v>1382</v>
      </c>
      <c r="D104" t="s">
        <v>115</v>
      </c>
      <c r="E104" t="s">
        <v>1380</v>
      </c>
      <c r="F104" t="s">
        <v>1381</v>
      </c>
      <c r="G104" t="s">
        <v>1039</v>
      </c>
      <c r="H104" t="s">
        <v>1384</v>
      </c>
      <c r="I104" t="s">
        <v>1665</v>
      </c>
      <c r="J104" t="s">
        <v>1386</v>
      </c>
      <c r="K104" t="s">
        <v>915</v>
      </c>
      <c r="L104" t="s">
        <v>735</v>
      </c>
      <c r="M104" t="s">
        <v>752</v>
      </c>
      <c r="N104" t="s">
        <v>731</v>
      </c>
      <c r="O104" t="s">
        <v>1387</v>
      </c>
      <c r="P104" t="s">
        <v>713</v>
      </c>
      <c r="Q104" s="123">
        <v>1</v>
      </c>
    </row>
    <row r="105" spans="1:17" x14ac:dyDescent="0.3">
      <c r="A105" t="s">
        <v>1004</v>
      </c>
      <c r="B105" t="s">
        <v>692</v>
      </c>
      <c r="C105" t="s">
        <v>1342</v>
      </c>
      <c r="D105" t="s">
        <v>117</v>
      </c>
      <c r="E105" t="s">
        <v>1340</v>
      </c>
      <c r="F105" t="s">
        <v>1341</v>
      </c>
      <c r="G105" t="s">
        <v>124</v>
      </c>
      <c r="H105" t="s">
        <v>1344</v>
      </c>
      <c r="I105" t="s">
        <v>1665</v>
      </c>
      <c r="J105" t="s">
        <v>763</v>
      </c>
      <c r="K105" t="s">
        <v>1347</v>
      </c>
      <c r="L105" t="s">
        <v>1348</v>
      </c>
      <c r="M105" t="s">
        <v>752</v>
      </c>
      <c r="N105" t="s">
        <v>731</v>
      </c>
      <c r="O105" t="s">
        <v>882</v>
      </c>
      <c r="P105" t="s">
        <v>730</v>
      </c>
      <c r="Q105" s="123">
        <v>1</v>
      </c>
    </row>
    <row r="106" spans="1:17" x14ac:dyDescent="0.3">
      <c r="A106" t="s">
        <v>1004</v>
      </c>
      <c r="B106" t="s">
        <v>692</v>
      </c>
      <c r="C106" t="s">
        <v>1371</v>
      </c>
      <c r="D106" t="s">
        <v>117</v>
      </c>
      <c r="E106" t="s">
        <v>1369</v>
      </c>
      <c r="F106" t="s">
        <v>1370</v>
      </c>
      <c r="G106" t="s">
        <v>124</v>
      </c>
      <c r="H106" t="s">
        <v>1373</v>
      </c>
      <c r="I106" t="s">
        <v>1659</v>
      </c>
      <c r="J106" t="s">
        <v>763</v>
      </c>
      <c r="K106" t="s">
        <v>1376</v>
      </c>
      <c r="L106" t="s">
        <v>1377</v>
      </c>
      <c r="M106" t="s">
        <v>752</v>
      </c>
      <c r="N106" t="s">
        <v>731</v>
      </c>
      <c r="O106" t="s">
        <v>1378</v>
      </c>
      <c r="P106" t="s">
        <v>730</v>
      </c>
      <c r="Q106" s="123">
        <v>1</v>
      </c>
    </row>
    <row r="107" spans="1:17" x14ac:dyDescent="0.3">
      <c r="A107" t="s">
        <v>1004</v>
      </c>
      <c r="B107" t="s">
        <v>692</v>
      </c>
      <c r="C107" t="s">
        <v>1391</v>
      </c>
      <c r="D107" t="s">
        <v>122</v>
      </c>
      <c r="E107" t="s">
        <v>1389</v>
      </c>
      <c r="F107" t="s">
        <v>1390</v>
      </c>
      <c r="G107" t="s">
        <v>124</v>
      </c>
      <c r="H107" t="s">
        <v>1566</v>
      </c>
      <c r="I107" t="s">
        <v>1662</v>
      </c>
      <c r="J107" t="s">
        <v>763</v>
      </c>
      <c r="K107" t="s">
        <v>969</v>
      </c>
      <c r="L107" t="s">
        <v>736</v>
      </c>
      <c r="M107" t="s">
        <v>752</v>
      </c>
      <c r="N107" t="s">
        <v>904</v>
      </c>
      <c r="O107" t="s">
        <v>1394</v>
      </c>
      <c r="P107" t="s">
        <v>730</v>
      </c>
      <c r="Q107" s="123">
        <v>1</v>
      </c>
    </row>
    <row r="108" spans="1:17" x14ac:dyDescent="0.3">
      <c r="A108" t="s">
        <v>1004</v>
      </c>
      <c r="B108" t="s">
        <v>692</v>
      </c>
      <c r="C108" t="s">
        <v>1398</v>
      </c>
      <c r="D108" t="s">
        <v>117</v>
      </c>
      <c r="E108" t="s">
        <v>1396</v>
      </c>
      <c r="F108" t="s">
        <v>1397</v>
      </c>
      <c r="G108" t="s">
        <v>124</v>
      </c>
      <c r="H108" t="s">
        <v>1400</v>
      </c>
      <c r="I108" t="s">
        <v>1659</v>
      </c>
      <c r="J108" t="s">
        <v>1403</v>
      </c>
      <c r="K108" t="s">
        <v>764</v>
      </c>
      <c r="L108" t="s">
        <v>735</v>
      </c>
      <c r="M108" t="s">
        <v>752</v>
      </c>
      <c r="N108" t="s">
        <v>731</v>
      </c>
      <c r="O108" t="s">
        <v>1404</v>
      </c>
      <c r="P108" t="s">
        <v>730</v>
      </c>
      <c r="Q108" s="123">
        <v>1</v>
      </c>
    </row>
    <row r="109" spans="1:17" x14ac:dyDescent="0.3">
      <c r="A109" t="s">
        <v>1004</v>
      </c>
      <c r="B109" t="s">
        <v>692</v>
      </c>
      <c r="C109" t="s">
        <v>1408</v>
      </c>
      <c r="D109" t="s">
        <v>115</v>
      </c>
      <c r="E109" t="s">
        <v>1406</v>
      </c>
      <c r="F109" t="s">
        <v>1407</v>
      </c>
      <c r="G109" t="s">
        <v>124</v>
      </c>
      <c r="H109" t="s">
        <v>1410</v>
      </c>
      <c r="I109" t="s">
        <v>1662</v>
      </c>
      <c r="J109" t="s">
        <v>1413</v>
      </c>
      <c r="K109" t="s">
        <v>915</v>
      </c>
      <c r="L109" t="s">
        <v>944</v>
      </c>
      <c r="M109" t="s">
        <v>752</v>
      </c>
      <c r="N109" t="s">
        <v>731</v>
      </c>
      <c r="O109" t="s">
        <v>858</v>
      </c>
      <c r="P109" t="s">
        <v>730</v>
      </c>
      <c r="Q109" s="123">
        <v>1</v>
      </c>
    </row>
    <row r="110" spans="1:17" x14ac:dyDescent="0.3">
      <c r="A110" t="s">
        <v>1004</v>
      </c>
      <c r="B110" t="s">
        <v>692</v>
      </c>
      <c r="C110" t="s">
        <v>1417</v>
      </c>
      <c r="D110" t="s">
        <v>115</v>
      </c>
      <c r="E110" t="s">
        <v>1415</v>
      </c>
      <c r="F110" t="s">
        <v>1416</v>
      </c>
      <c r="G110" t="s">
        <v>118</v>
      </c>
      <c r="H110" t="s">
        <v>1419</v>
      </c>
      <c r="I110" t="s">
        <v>1665</v>
      </c>
      <c r="J110" t="s">
        <v>1423</v>
      </c>
      <c r="K110" t="s">
        <v>764</v>
      </c>
      <c r="L110" t="s">
        <v>735</v>
      </c>
      <c r="M110" t="s">
        <v>752</v>
      </c>
      <c r="N110" t="s">
        <v>753</v>
      </c>
      <c r="O110" t="s">
        <v>971</v>
      </c>
      <c r="P110" t="s">
        <v>730</v>
      </c>
      <c r="Q110" s="123">
        <v>1</v>
      </c>
    </row>
    <row r="111" spans="1:17" x14ac:dyDescent="0.3">
      <c r="A111" t="s">
        <v>1004</v>
      </c>
      <c r="B111" t="s">
        <v>692</v>
      </c>
      <c r="C111" t="s">
        <v>1955</v>
      </c>
      <c r="D111" t="s">
        <v>110</v>
      </c>
      <c r="E111" t="s">
        <v>1953</v>
      </c>
      <c r="F111" t="s">
        <v>1954</v>
      </c>
      <c r="G111" t="s">
        <v>124</v>
      </c>
      <c r="H111" t="s">
        <v>1957</v>
      </c>
      <c r="I111" t="s">
        <v>1665</v>
      </c>
      <c r="J111" t="s">
        <v>1960</v>
      </c>
      <c r="K111" t="s">
        <v>764</v>
      </c>
      <c r="L111" t="s">
        <v>736</v>
      </c>
      <c r="M111" t="s">
        <v>752</v>
      </c>
      <c r="N111" t="s">
        <v>731</v>
      </c>
      <c r="O111" t="s">
        <v>1961</v>
      </c>
      <c r="P111" t="s">
        <v>120</v>
      </c>
      <c r="Q111" s="123">
        <v>1</v>
      </c>
    </row>
    <row r="112" spans="1:17" x14ac:dyDescent="0.3">
      <c r="A112" t="s">
        <v>1004</v>
      </c>
      <c r="B112" t="s">
        <v>692</v>
      </c>
      <c r="C112" t="s">
        <v>2079</v>
      </c>
      <c r="D112" t="s">
        <v>115</v>
      </c>
      <c r="E112" t="s">
        <v>2077</v>
      </c>
      <c r="F112" t="s">
        <v>2078</v>
      </c>
      <c r="G112" t="s">
        <v>124</v>
      </c>
      <c r="H112" t="s">
        <v>2081</v>
      </c>
      <c r="I112" t="s">
        <v>1656</v>
      </c>
      <c r="J112" t="s">
        <v>2084</v>
      </c>
      <c r="K112" t="s">
        <v>986</v>
      </c>
      <c r="L112" t="s">
        <v>2085</v>
      </c>
      <c r="M112" t="s">
        <v>752</v>
      </c>
      <c r="N112" t="s">
        <v>731</v>
      </c>
      <c r="O112" t="s">
        <v>1689</v>
      </c>
      <c r="P112" t="s">
        <v>713</v>
      </c>
      <c r="Q112" s="123">
        <v>1</v>
      </c>
    </row>
    <row r="113" spans="1:17" x14ac:dyDescent="0.3">
      <c r="A113" t="s">
        <v>1004</v>
      </c>
      <c r="B113" t="s">
        <v>692</v>
      </c>
      <c r="C113" t="s">
        <v>2108</v>
      </c>
      <c r="D113" t="s">
        <v>104</v>
      </c>
      <c r="E113" t="s">
        <v>2106</v>
      </c>
      <c r="F113" t="s">
        <v>2107</v>
      </c>
      <c r="G113" t="s">
        <v>124</v>
      </c>
      <c r="H113" t="s">
        <v>2110</v>
      </c>
      <c r="I113" t="s">
        <v>1659</v>
      </c>
      <c r="J113" t="s">
        <v>763</v>
      </c>
      <c r="K113" t="s">
        <v>986</v>
      </c>
      <c r="L113" t="s">
        <v>735</v>
      </c>
      <c r="M113" t="s">
        <v>752</v>
      </c>
      <c r="N113" t="s">
        <v>731</v>
      </c>
      <c r="O113" t="s">
        <v>2112</v>
      </c>
      <c r="P113" t="s">
        <v>730</v>
      </c>
      <c r="Q113" s="123">
        <v>1</v>
      </c>
    </row>
    <row r="114" spans="1:17" x14ac:dyDescent="0.3">
      <c r="A114" t="s">
        <v>1004</v>
      </c>
      <c r="B114" t="s">
        <v>692</v>
      </c>
      <c r="C114" t="s">
        <v>2116</v>
      </c>
      <c r="D114" t="s">
        <v>110</v>
      </c>
      <c r="E114" t="s">
        <v>2114</v>
      </c>
      <c r="F114" t="s">
        <v>2115</v>
      </c>
      <c r="G114" t="s">
        <v>124</v>
      </c>
      <c r="H114" t="s">
        <v>2118</v>
      </c>
      <c r="I114" t="s">
        <v>2126</v>
      </c>
      <c r="J114" t="s">
        <v>2121</v>
      </c>
      <c r="K114" t="s">
        <v>2122</v>
      </c>
      <c r="L114" t="s">
        <v>736</v>
      </c>
      <c r="M114" t="s">
        <v>790</v>
      </c>
      <c r="N114" t="s">
        <v>2123</v>
      </c>
      <c r="O114" t="s">
        <v>2124</v>
      </c>
      <c r="P114" t="s">
        <v>713</v>
      </c>
      <c r="Q114" s="123">
        <v>1</v>
      </c>
    </row>
    <row r="115" spans="1:17" x14ac:dyDescent="0.3">
      <c r="A115" t="s">
        <v>1004</v>
      </c>
      <c r="B115" t="s">
        <v>692</v>
      </c>
      <c r="C115" t="s">
        <v>2324</v>
      </c>
      <c r="D115" t="s">
        <v>121</v>
      </c>
      <c r="E115" t="s">
        <v>2322</v>
      </c>
      <c r="F115" t="s">
        <v>2323</v>
      </c>
      <c r="G115" t="s">
        <v>118</v>
      </c>
      <c r="H115" t="s">
        <v>2326</v>
      </c>
      <c r="I115" t="s">
        <v>1656</v>
      </c>
      <c r="J115" t="s">
        <v>2330</v>
      </c>
      <c r="K115" t="s">
        <v>1234</v>
      </c>
      <c r="L115" t="s">
        <v>2331</v>
      </c>
      <c r="M115" t="s">
        <v>752</v>
      </c>
      <c r="N115" t="s">
        <v>753</v>
      </c>
      <c r="O115" t="s">
        <v>2332</v>
      </c>
      <c r="P115" t="s">
        <v>713</v>
      </c>
      <c r="Q115" s="123">
        <v>1</v>
      </c>
    </row>
    <row r="116" spans="1:17" x14ac:dyDescent="0.3">
      <c r="A116" t="s">
        <v>1004</v>
      </c>
      <c r="B116" t="s">
        <v>692</v>
      </c>
      <c r="C116" t="s">
        <v>2563</v>
      </c>
      <c r="D116" t="s">
        <v>104</v>
      </c>
      <c r="E116" t="s">
        <v>2561</v>
      </c>
      <c r="F116" t="s">
        <v>2562</v>
      </c>
      <c r="G116" t="s">
        <v>124</v>
      </c>
      <c r="H116" t="s">
        <v>2565</v>
      </c>
      <c r="I116" t="s">
        <v>1655</v>
      </c>
      <c r="J116" t="s">
        <v>2567</v>
      </c>
      <c r="K116" t="s">
        <v>1008</v>
      </c>
      <c r="L116" t="s">
        <v>735</v>
      </c>
      <c r="M116" t="s">
        <v>752</v>
      </c>
      <c r="N116" t="s">
        <v>731</v>
      </c>
      <c r="O116" t="s">
        <v>1449</v>
      </c>
      <c r="P116" t="s">
        <v>713</v>
      </c>
      <c r="Q116" s="123">
        <v>1</v>
      </c>
    </row>
    <row r="117" spans="1:17" x14ac:dyDescent="0.3">
      <c r="A117" t="s">
        <v>1574</v>
      </c>
      <c r="Q117" s="123">
        <v>27</v>
      </c>
    </row>
    <row r="118" spans="1:17" x14ac:dyDescent="0.3">
      <c r="A118" t="s">
        <v>1718</v>
      </c>
      <c r="B118" t="s">
        <v>939</v>
      </c>
      <c r="C118" t="s">
        <v>936</v>
      </c>
      <c r="D118" t="s">
        <v>104</v>
      </c>
      <c r="E118" t="s">
        <v>934</v>
      </c>
      <c r="F118" t="s">
        <v>935</v>
      </c>
      <c r="G118" t="s">
        <v>522</v>
      </c>
      <c r="H118" t="s">
        <v>938</v>
      </c>
      <c r="I118" t="s">
        <v>1671</v>
      </c>
      <c r="J118" t="s">
        <v>943</v>
      </c>
      <c r="K118" t="s">
        <v>944</v>
      </c>
      <c r="L118" t="s">
        <v>945</v>
      </c>
      <c r="M118" t="s">
        <v>752</v>
      </c>
      <c r="N118" t="s">
        <v>731</v>
      </c>
      <c r="O118" t="s">
        <v>946</v>
      </c>
      <c r="P118" t="s">
        <v>713</v>
      </c>
      <c r="Q118" s="123">
        <v>1</v>
      </c>
    </row>
    <row r="119" spans="1:17" x14ac:dyDescent="0.3">
      <c r="A119" t="s">
        <v>1741</v>
      </c>
      <c r="Q119" s="123">
        <v>1</v>
      </c>
    </row>
    <row r="120" spans="1:17" x14ac:dyDescent="0.3">
      <c r="A120" t="s">
        <v>1890</v>
      </c>
      <c r="B120" t="s">
        <v>2665</v>
      </c>
      <c r="C120" t="s">
        <v>3045</v>
      </c>
      <c r="D120" t="s">
        <v>104</v>
      </c>
      <c r="E120" t="s">
        <v>3043</v>
      </c>
      <c r="F120" t="s">
        <v>3044</v>
      </c>
      <c r="G120" t="s">
        <v>112</v>
      </c>
      <c r="H120" t="s">
        <v>3047</v>
      </c>
      <c r="I120" t="s">
        <v>1655</v>
      </c>
      <c r="J120" t="s">
        <v>763</v>
      </c>
      <c r="K120" t="s">
        <v>1032</v>
      </c>
      <c r="L120" t="s">
        <v>835</v>
      </c>
      <c r="M120" t="s">
        <v>752</v>
      </c>
      <c r="N120" t="s">
        <v>731</v>
      </c>
      <c r="O120" t="s">
        <v>3049</v>
      </c>
      <c r="P120" t="s">
        <v>713</v>
      </c>
      <c r="Q120" s="123">
        <v>1</v>
      </c>
    </row>
    <row r="121" spans="1:17" x14ac:dyDescent="0.3">
      <c r="A121" t="s">
        <v>1890</v>
      </c>
      <c r="B121" t="s">
        <v>1300</v>
      </c>
      <c r="C121" t="s">
        <v>1297</v>
      </c>
      <c r="D121" t="s">
        <v>122</v>
      </c>
      <c r="E121" t="s">
        <v>1295</v>
      </c>
      <c r="F121" t="s">
        <v>1296</v>
      </c>
      <c r="G121" t="s">
        <v>112</v>
      </c>
      <c r="H121" t="s">
        <v>1299</v>
      </c>
      <c r="I121" t="s">
        <v>1673</v>
      </c>
      <c r="J121" t="s">
        <v>1303</v>
      </c>
      <c r="K121" t="s">
        <v>800</v>
      </c>
      <c r="L121" t="s">
        <v>848</v>
      </c>
      <c r="M121" t="s">
        <v>752</v>
      </c>
      <c r="N121" t="s">
        <v>753</v>
      </c>
      <c r="O121" t="s">
        <v>1304</v>
      </c>
      <c r="P121" t="s">
        <v>713</v>
      </c>
      <c r="Q121" s="123">
        <v>1</v>
      </c>
    </row>
    <row r="122" spans="1:17" x14ac:dyDescent="0.3">
      <c r="A122" t="s">
        <v>1890</v>
      </c>
      <c r="B122" t="s">
        <v>1300</v>
      </c>
      <c r="C122" t="s">
        <v>1544</v>
      </c>
      <c r="D122" t="s">
        <v>117</v>
      </c>
      <c r="E122" t="s">
        <v>1542</v>
      </c>
      <c r="F122" t="s">
        <v>1543</v>
      </c>
      <c r="G122" t="s">
        <v>112</v>
      </c>
      <c r="H122" t="s">
        <v>1546</v>
      </c>
      <c r="I122" t="s">
        <v>1675</v>
      </c>
      <c r="J122" t="s">
        <v>1549</v>
      </c>
      <c r="K122" t="s">
        <v>1550</v>
      </c>
      <c r="L122" t="s">
        <v>774</v>
      </c>
      <c r="M122" t="s">
        <v>752</v>
      </c>
      <c r="N122" t="s">
        <v>753</v>
      </c>
      <c r="O122" t="s">
        <v>1551</v>
      </c>
      <c r="P122" t="s">
        <v>730</v>
      </c>
      <c r="Q122" s="123">
        <v>1</v>
      </c>
    </row>
    <row r="123" spans="1:17" x14ac:dyDescent="0.3">
      <c r="A123" t="s">
        <v>1890</v>
      </c>
      <c r="B123" t="s">
        <v>1300</v>
      </c>
      <c r="C123" t="s">
        <v>1630</v>
      </c>
      <c r="D123" t="s">
        <v>115</v>
      </c>
      <c r="E123" t="s">
        <v>1628</v>
      </c>
      <c r="F123" t="s">
        <v>1629</v>
      </c>
      <c r="G123" t="s">
        <v>771</v>
      </c>
      <c r="H123" t="s">
        <v>1632</v>
      </c>
      <c r="I123" t="s">
        <v>1672</v>
      </c>
      <c r="J123" t="s">
        <v>1638</v>
      </c>
      <c r="K123" t="s">
        <v>1639</v>
      </c>
      <c r="L123" t="s">
        <v>736</v>
      </c>
      <c r="M123" t="s">
        <v>752</v>
      </c>
      <c r="N123" t="s">
        <v>904</v>
      </c>
      <c r="O123" t="s">
        <v>1640</v>
      </c>
      <c r="P123" t="s">
        <v>713</v>
      </c>
      <c r="Q123" s="123">
        <v>1</v>
      </c>
    </row>
    <row r="124" spans="1:17" x14ac:dyDescent="0.3">
      <c r="A124" t="s">
        <v>1890</v>
      </c>
      <c r="B124" t="s">
        <v>1300</v>
      </c>
      <c r="C124" t="s">
        <v>2593</v>
      </c>
      <c r="D124" t="s">
        <v>110</v>
      </c>
      <c r="E124" t="s">
        <v>2591</v>
      </c>
      <c r="F124" t="s">
        <v>2592</v>
      </c>
      <c r="G124" t="s">
        <v>112</v>
      </c>
      <c r="H124" t="s">
        <v>2595</v>
      </c>
      <c r="I124" t="s">
        <v>2604</v>
      </c>
      <c r="J124" t="s">
        <v>2600</v>
      </c>
      <c r="K124" t="s">
        <v>733</v>
      </c>
      <c r="L124" t="s">
        <v>2601</v>
      </c>
      <c r="M124" t="s">
        <v>790</v>
      </c>
      <c r="N124" t="s">
        <v>904</v>
      </c>
      <c r="O124" t="s">
        <v>2602</v>
      </c>
      <c r="P124" t="s">
        <v>713</v>
      </c>
      <c r="Q124" s="123">
        <v>1</v>
      </c>
    </row>
    <row r="125" spans="1:17" x14ac:dyDescent="0.3">
      <c r="A125" t="s">
        <v>1890</v>
      </c>
      <c r="B125" t="s">
        <v>1300</v>
      </c>
      <c r="C125" t="s">
        <v>2993</v>
      </c>
      <c r="D125" t="s">
        <v>121</v>
      </c>
      <c r="E125" t="s">
        <v>2991</v>
      </c>
      <c r="F125" t="s">
        <v>2992</v>
      </c>
      <c r="G125" t="s">
        <v>148</v>
      </c>
      <c r="H125" t="s">
        <v>2995</v>
      </c>
      <c r="I125" t="s">
        <v>1669</v>
      </c>
      <c r="J125" t="s">
        <v>2999</v>
      </c>
      <c r="K125" t="s">
        <v>3000</v>
      </c>
      <c r="L125" t="s">
        <v>733</v>
      </c>
      <c r="M125" t="s">
        <v>752</v>
      </c>
      <c r="N125" t="s">
        <v>731</v>
      </c>
      <c r="O125" t="s">
        <v>3001</v>
      </c>
      <c r="P125" t="s">
        <v>713</v>
      </c>
      <c r="Q125" s="123">
        <v>1</v>
      </c>
    </row>
    <row r="126" spans="1:17" x14ac:dyDescent="0.3">
      <c r="A126" t="s">
        <v>1890</v>
      </c>
      <c r="B126" t="s">
        <v>1300</v>
      </c>
      <c r="C126" t="s">
        <v>3007</v>
      </c>
      <c r="D126" t="s">
        <v>104</v>
      </c>
      <c r="E126" t="s">
        <v>3005</v>
      </c>
      <c r="F126" t="s">
        <v>3006</v>
      </c>
      <c r="G126" t="s">
        <v>112</v>
      </c>
      <c r="H126" t="s">
        <v>3009</v>
      </c>
      <c r="I126" t="s">
        <v>1675</v>
      </c>
      <c r="J126" t="s">
        <v>3014</v>
      </c>
      <c r="K126" t="s">
        <v>2029</v>
      </c>
      <c r="L126" t="s">
        <v>3015</v>
      </c>
      <c r="M126" t="s">
        <v>1062</v>
      </c>
      <c r="N126" t="s">
        <v>731</v>
      </c>
      <c r="O126" t="s">
        <v>3016</v>
      </c>
      <c r="P126" t="s">
        <v>713</v>
      </c>
      <c r="Q126" s="123">
        <v>1</v>
      </c>
    </row>
    <row r="127" spans="1:17" x14ac:dyDescent="0.3">
      <c r="A127" t="s">
        <v>1890</v>
      </c>
      <c r="B127" t="s">
        <v>113</v>
      </c>
      <c r="C127" t="s">
        <v>1024</v>
      </c>
      <c r="D127" t="s">
        <v>104</v>
      </c>
      <c r="E127" t="s">
        <v>1022</v>
      </c>
      <c r="F127" t="s">
        <v>1023</v>
      </c>
      <c r="G127" t="s">
        <v>112</v>
      </c>
      <c r="H127" t="s">
        <v>1026</v>
      </c>
      <c r="I127" t="s">
        <v>1666</v>
      </c>
      <c r="J127" t="s">
        <v>1031</v>
      </c>
      <c r="K127" t="s">
        <v>1032</v>
      </c>
      <c r="L127" t="s">
        <v>764</v>
      </c>
      <c r="M127" t="s">
        <v>752</v>
      </c>
      <c r="N127" t="s">
        <v>753</v>
      </c>
      <c r="O127" t="s">
        <v>1033</v>
      </c>
      <c r="P127" t="s">
        <v>713</v>
      </c>
      <c r="Q127" s="123">
        <v>1</v>
      </c>
    </row>
    <row r="128" spans="1:17" x14ac:dyDescent="0.3">
      <c r="A128" t="s">
        <v>1890</v>
      </c>
      <c r="B128" t="s">
        <v>113</v>
      </c>
      <c r="C128" t="s">
        <v>783</v>
      </c>
      <c r="D128" t="s">
        <v>121</v>
      </c>
      <c r="E128" t="s">
        <v>781</v>
      </c>
      <c r="F128" t="s">
        <v>782</v>
      </c>
      <c r="G128" t="s">
        <v>148</v>
      </c>
      <c r="H128" t="s">
        <v>785</v>
      </c>
      <c r="I128" t="s">
        <v>1658</v>
      </c>
      <c r="J128" t="s">
        <v>788</v>
      </c>
      <c r="K128" t="s">
        <v>789</v>
      </c>
      <c r="L128" t="s">
        <v>778</v>
      </c>
      <c r="M128" t="s">
        <v>790</v>
      </c>
      <c r="N128" t="s">
        <v>753</v>
      </c>
      <c r="O128" t="s">
        <v>791</v>
      </c>
      <c r="P128" t="s">
        <v>713</v>
      </c>
      <c r="Q128" s="123">
        <v>1</v>
      </c>
    </row>
    <row r="129" spans="1:17" x14ac:dyDescent="0.3">
      <c r="A129" t="s">
        <v>1890</v>
      </c>
      <c r="B129" t="s">
        <v>113</v>
      </c>
      <c r="C129" t="s">
        <v>817</v>
      </c>
      <c r="D129" t="s">
        <v>122</v>
      </c>
      <c r="E129" t="s">
        <v>815</v>
      </c>
      <c r="F129" t="s">
        <v>816</v>
      </c>
      <c r="G129" t="s">
        <v>112</v>
      </c>
      <c r="H129" t="s">
        <v>819</v>
      </c>
      <c r="I129" t="s">
        <v>1656</v>
      </c>
      <c r="J129" t="s">
        <v>763</v>
      </c>
      <c r="K129" t="s">
        <v>825</v>
      </c>
      <c r="L129" t="s">
        <v>736</v>
      </c>
      <c r="M129" t="s">
        <v>752</v>
      </c>
      <c r="N129" t="s">
        <v>731</v>
      </c>
      <c r="O129" t="s">
        <v>826</v>
      </c>
      <c r="P129" t="s">
        <v>713</v>
      </c>
      <c r="Q129" s="123">
        <v>1</v>
      </c>
    </row>
    <row r="130" spans="1:17" x14ac:dyDescent="0.3">
      <c r="A130" t="s">
        <v>1890</v>
      </c>
      <c r="B130" t="s">
        <v>113</v>
      </c>
      <c r="C130" t="s">
        <v>1760</v>
      </c>
      <c r="D130" t="s">
        <v>115</v>
      </c>
      <c r="E130" t="s">
        <v>1758</v>
      </c>
      <c r="F130" t="s">
        <v>1759</v>
      </c>
      <c r="G130" t="s">
        <v>148</v>
      </c>
      <c r="H130" t="s">
        <v>1762</v>
      </c>
      <c r="I130" t="s">
        <v>1675</v>
      </c>
      <c r="J130" t="s">
        <v>1767</v>
      </c>
      <c r="K130" t="s">
        <v>1768</v>
      </c>
      <c r="L130" t="s">
        <v>736</v>
      </c>
      <c r="M130" t="s">
        <v>752</v>
      </c>
      <c r="N130" t="s">
        <v>904</v>
      </c>
      <c r="O130" t="s">
        <v>1769</v>
      </c>
      <c r="P130" t="s">
        <v>713</v>
      </c>
      <c r="Q130" s="123">
        <v>1</v>
      </c>
    </row>
    <row r="131" spans="1:17" x14ac:dyDescent="0.3">
      <c r="A131" t="s">
        <v>1890</v>
      </c>
      <c r="B131" t="s">
        <v>113</v>
      </c>
      <c r="C131" t="s">
        <v>1902</v>
      </c>
      <c r="D131" t="s">
        <v>110</v>
      </c>
      <c r="E131" t="s">
        <v>1900</v>
      </c>
      <c r="F131" t="s">
        <v>1901</v>
      </c>
      <c r="G131" t="s">
        <v>148</v>
      </c>
      <c r="H131" t="s">
        <v>1904</v>
      </c>
      <c r="I131" t="s">
        <v>1671</v>
      </c>
      <c r="J131" t="s">
        <v>1549</v>
      </c>
      <c r="K131" t="s">
        <v>969</v>
      </c>
      <c r="L131" t="s">
        <v>736</v>
      </c>
      <c r="M131" t="s">
        <v>752</v>
      </c>
      <c r="N131" t="s">
        <v>731</v>
      </c>
      <c r="O131" t="s">
        <v>1906</v>
      </c>
      <c r="P131" t="s">
        <v>713</v>
      </c>
      <c r="Q131" s="123">
        <v>1</v>
      </c>
    </row>
    <row r="132" spans="1:17" x14ac:dyDescent="0.3">
      <c r="A132" t="s">
        <v>1890</v>
      </c>
      <c r="B132" t="s">
        <v>150</v>
      </c>
      <c r="C132" t="s">
        <v>2056</v>
      </c>
      <c r="D132" t="s">
        <v>121</v>
      </c>
      <c r="E132" t="s">
        <v>2054</v>
      </c>
      <c r="F132" t="s">
        <v>2055</v>
      </c>
      <c r="G132" t="s">
        <v>112</v>
      </c>
      <c r="H132" t="s">
        <v>2058</v>
      </c>
      <c r="I132" t="s">
        <v>1670</v>
      </c>
      <c r="J132" t="s">
        <v>1705</v>
      </c>
      <c r="K132" t="s">
        <v>880</v>
      </c>
      <c r="L132" t="s">
        <v>986</v>
      </c>
      <c r="M132" t="s">
        <v>752</v>
      </c>
      <c r="N132" t="s">
        <v>753</v>
      </c>
      <c r="O132" t="s">
        <v>2060</v>
      </c>
      <c r="P132" t="s">
        <v>713</v>
      </c>
      <c r="Q132" s="123">
        <v>1</v>
      </c>
    </row>
    <row r="133" spans="1:17" x14ac:dyDescent="0.3">
      <c r="A133" t="s">
        <v>1890</v>
      </c>
      <c r="B133" t="s">
        <v>150</v>
      </c>
      <c r="C133" t="s">
        <v>2064</v>
      </c>
      <c r="D133" t="s">
        <v>122</v>
      </c>
      <c r="E133" t="s">
        <v>2062</v>
      </c>
      <c r="F133" t="s">
        <v>2063</v>
      </c>
      <c r="G133" t="s">
        <v>148</v>
      </c>
      <c r="H133" t="s">
        <v>2066</v>
      </c>
      <c r="I133" t="s">
        <v>1670</v>
      </c>
      <c r="J133" t="s">
        <v>2073</v>
      </c>
      <c r="K133" t="s">
        <v>1148</v>
      </c>
      <c r="L133" t="s">
        <v>2074</v>
      </c>
      <c r="M133" t="s">
        <v>752</v>
      </c>
      <c r="N133" t="s">
        <v>753</v>
      </c>
      <c r="O133" t="s">
        <v>2075</v>
      </c>
      <c r="P133" t="s">
        <v>120</v>
      </c>
      <c r="Q133" s="123">
        <v>1</v>
      </c>
    </row>
    <row r="134" spans="1:17" x14ac:dyDescent="0.3">
      <c r="A134" t="s">
        <v>1890</v>
      </c>
      <c r="B134" t="s">
        <v>150</v>
      </c>
      <c r="C134" t="s">
        <v>2441</v>
      </c>
      <c r="D134" t="s">
        <v>121</v>
      </c>
      <c r="E134" t="s">
        <v>2439</v>
      </c>
      <c r="F134" t="s">
        <v>2440</v>
      </c>
      <c r="G134" t="s">
        <v>112</v>
      </c>
      <c r="H134" t="s">
        <v>2443</v>
      </c>
      <c r="I134" t="s">
        <v>1673</v>
      </c>
      <c r="J134" t="s">
        <v>1705</v>
      </c>
      <c r="K134" t="s">
        <v>1106</v>
      </c>
      <c r="L134" t="s">
        <v>1686</v>
      </c>
      <c r="M134" t="s">
        <v>752</v>
      </c>
      <c r="N134" t="s">
        <v>731</v>
      </c>
      <c r="O134" t="s">
        <v>2450</v>
      </c>
      <c r="P134" t="s">
        <v>713</v>
      </c>
      <c r="Q134" s="123">
        <v>1</v>
      </c>
    </row>
    <row r="135" spans="1:17" x14ac:dyDescent="0.3">
      <c r="A135" t="s">
        <v>1890</v>
      </c>
      <c r="B135" t="s">
        <v>150</v>
      </c>
      <c r="C135" t="s">
        <v>2454</v>
      </c>
      <c r="D135" t="s">
        <v>122</v>
      </c>
      <c r="E135" t="s">
        <v>2452</v>
      </c>
      <c r="F135" t="s">
        <v>2453</v>
      </c>
      <c r="G135" t="s">
        <v>112</v>
      </c>
      <c r="H135" t="s">
        <v>2456</v>
      </c>
      <c r="I135" t="s">
        <v>1659</v>
      </c>
      <c r="J135" t="s">
        <v>2462</v>
      </c>
      <c r="K135" t="s">
        <v>736</v>
      </c>
      <c r="L135" t="s">
        <v>1331</v>
      </c>
      <c r="M135" t="s">
        <v>752</v>
      </c>
      <c r="N135" t="s">
        <v>753</v>
      </c>
      <c r="O135" t="s">
        <v>2463</v>
      </c>
      <c r="P135" t="s">
        <v>713</v>
      </c>
      <c r="Q135" s="123">
        <v>1</v>
      </c>
    </row>
    <row r="136" spans="1:17" x14ac:dyDescent="0.3">
      <c r="A136" t="s">
        <v>1890</v>
      </c>
      <c r="B136" t="s">
        <v>150</v>
      </c>
      <c r="C136" t="s">
        <v>2467</v>
      </c>
      <c r="D136" t="s">
        <v>110</v>
      </c>
      <c r="E136" t="s">
        <v>2465</v>
      </c>
      <c r="F136" t="s">
        <v>2466</v>
      </c>
      <c r="G136" t="s">
        <v>112</v>
      </c>
      <c r="H136" t="s">
        <v>2719</v>
      </c>
      <c r="I136" t="s">
        <v>1659</v>
      </c>
      <c r="J136" t="s">
        <v>2470</v>
      </c>
      <c r="K136" t="s">
        <v>1159</v>
      </c>
      <c r="L136" t="s">
        <v>2471</v>
      </c>
      <c r="M136" t="s">
        <v>752</v>
      </c>
      <c r="N136" t="s">
        <v>731</v>
      </c>
      <c r="O136" t="s">
        <v>869</v>
      </c>
      <c r="P136" t="s">
        <v>713</v>
      </c>
      <c r="Q136" s="123">
        <v>1</v>
      </c>
    </row>
    <row r="137" spans="1:17" x14ac:dyDescent="0.3">
      <c r="A137" t="s">
        <v>1890</v>
      </c>
      <c r="B137" t="s">
        <v>150</v>
      </c>
      <c r="C137" t="s">
        <v>2524</v>
      </c>
      <c r="D137" t="s">
        <v>117</v>
      </c>
      <c r="E137" t="s">
        <v>2522</v>
      </c>
      <c r="F137" t="s">
        <v>2523</v>
      </c>
      <c r="G137" t="s">
        <v>112</v>
      </c>
      <c r="H137" t="s">
        <v>2526</v>
      </c>
      <c r="I137" t="s">
        <v>1659</v>
      </c>
      <c r="J137" t="s">
        <v>2528</v>
      </c>
      <c r="K137" t="s">
        <v>915</v>
      </c>
      <c r="L137" t="s">
        <v>835</v>
      </c>
      <c r="M137" t="s">
        <v>752</v>
      </c>
      <c r="N137" t="s">
        <v>731</v>
      </c>
      <c r="O137" t="s">
        <v>869</v>
      </c>
      <c r="P137" t="s">
        <v>713</v>
      </c>
      <c r="Q137" s="123">
        <v>1</v>
      </c>
    </row>
    <row r="138" spans="1:17" x14ac:dyDescent="0.3">
      <c r="A138" t="s">
        <v>1890</v>
      </c>
      <c r="B138" t="s">
        <v>1928</v>
      </c>
      <c r="C138" t="s">
        <v>1925</v>
      </c>
      <c r="D138" t="s">
        <v>121</v>
      </c>
      <c r="E138" t="s">
        <v>1923</v>
      </c>
      <c r="F138" t="s">
        <v>1924</v>
      </c>
      <c r="G138" t="s">
        <v>112</v>
      </c>
      <c r="H138" t="s">
        <v>1927</v>
      </c>
      <c r="I138" t="s">
        <v>1654</v>
      </c>
      <c r="J138" t="s">
        <v>1936</v>
      </c>
      <c r="K138" t="s">
        <v>1937</v>
      </c>
      <c r="L138" t="s">
        <v>1938</v>
      </c>
      <c r="M138" t="s">
        <v>752</v>
      </c>
      <c r="N138" t="s">
        <v>1939</v>
      </c>
      <c r="O138" t="s">
        <v>1940</v>
      </c>
      <c r="P138" t="s">
        <v>730</v>
      </c>
      <c r="Q138" s="123">
        <v>1</v>
      </c>
    </row>
    <row r="139" spans="1:17" x14ac:dyDescent="0.3">
      <c r="A139" t="s">
        <v>1890</v>
      </c>
      <c r="B139" t="s">
        <v>1928</v>
      </c>
      <c r="C139" t="s">
        <v>1944</v>
      </c>
      <c r="D139" t="s">
        <v>110</v>
      </c>
      <c r="E139" t="s">
        <v>1942</v>
      </c>
      <c r="F139" t="s">
        <v>1943</v>
      </c>
      <c r="G139" t="s">
        <v>112</v>
      </c>
      <c r="H139" t="s">
        <v>1946</v>
      </c>
      <c r="I139" t="s">
        <v>1669</v>
      </c>
      <c r="J139" t="s">
        <v>1950</v>
      </c>
      <c r="K139" t="s">
        <v>986</v>
      </c>
      <c r="L139" t="s">
        <v>735</v>
      </c>
      <c r="M139" t="s">
        <v>752</v>
      </c>
      <c r="N139" t="s">
        <v>731</v>
      </c>
      <c r="O139" t="s">
        <v>1951</v>
      </c>
      <c r="P139" t="s">
        <v>730</v>
      </c>
      <c r="Q139" s="123">
        <v>1</v>
      </c>
    </row>
    <row r="140" spans="1:17" x14ac:dyDescent="0.3">
      <c r="A140" t="s">
        <v>1890</v>
      </c>
      <c r="B140" t="s">
        <v>1928</v>
      </c>
      <c r="C140" t="s">
        <v>2143</v>
      </c>
      <c r="D140" t="s">
        <v>117</v>
      </c>
      <c r="E140" t="s">
        <v>2141</v>
      </c>
      <c r="F140" t="s">
        <v>2142</v>
      </c>
      <c r="G140" t="s">
        <v>112</v>
      </c>
      <c r="H140" t="s">
        <v>2145</v>
      </c>
      <c r="I140" t="s">
        <v>1675</v>
      </c>
      <c r="J140" t="s">
        <v>1705</v>
      </c>
      <c r="K140" t="s">
        <v>2149</v>
      </c>
      <c r="L140" t="s">
        <v>778</v>
      </c>
      <c r="M140" t="s">
        <v>790</v>
      </c>
      <c r="N140" t="s">
        <v>1939</v>
      </c>
      <c r="O140" t="s">
        <v>2150</v>
      </c>
      <c r="P140" t="s">
        <v>730</v>
      </c>
      <c r="Q140" s="123">
        <v>1</v>
      </c>
    </row>
    <row r="141" spans="1:17" x14ac:dyDescent="0.3">
      <c r="A141" t="s">
        <v>1890</v>
      </c>
      <c r="B141" t="s">
        <v>1928</v>
      </c>
      <c r="C141" t="s">
        <v>2239</v>
      </c>
      <c r="D141" t="s">
        <v>122</v>
      </c>
      <c r="E141" t="s">
        <v>2237</v>
      </c>
      <c r="F141" t="s">
        <v>2238</v>
      </c>
      <c r="G141" t="s">
        <v>112</v>
      </c>
      <c r="H141" t="s">
        <v>2241</v>
      </c>
      <c r="I141" t="s">
        <v>1672</v>
      </c>
      <c r="J141" t="s">
        <v>2245</v>
      </c>
      <c r="K141" t="s">
        <v>1008</v>
      </c>
      <c r="L141" t="s">
        <v>986</v>
      </c>
      <c r="M141" t="s">
        <v>752</v>
      </c>
      <c r="N141" t="s">
        <v>731</v>
      </c>
      <c r="O141" t="s">
        <v>2246</v>
      </c>
      <c r="P141" t="s">
        <v>713</v>
      </c>
      <c r="Q141" s="123">
        <v>1</v>
      </c>
    </row>
    <row r="142" spans="1:17" x14ac:dyDescent="0.3">
      <c r="A142" t="s">
        <v>1890</v>
      </c>
      <c r="B142" t="s">
        <v>132</v>
      </c>
      <c r="C142" t="s">
        <v>1492</v>
      </c>
      <c r="D142" t="s">
        <v>121</v>
      </c>
      <c r="E142" t="s">
        <v>1490</v>
      </c>
      <c r="F142" t="s">
        <v>1491</v>
      </c>
      <c r="G142" t="s">
        <v>112</v>
      </c>
      <c r="H142" t="s">
        <v>1494</v>
      </c>
      <c r="I142" t="s">
        <v>1661</v>
      </c>
      <c r="J142" t="s">
        <v>1497</v>
      </c>
      <c r="K142" t="s">
        <v>764</v>
      </c>
      <c r="L142" t="s">
        <v>1498</v>
      </c>
      <c r="M142" t="s">
        <v>790</v>
      </c>
      <c r="N142" t="s">
        <v>731</v>
      </c>
      <c r="O142" t="s">
        <v>1499</v>
      </c>
      <c r="P142" t="s">
        <v>713</v>
      </c>
      <c r="Q142" s="123">
        <v>1</v>
      </c>
    </row>
    <row r="143" spans="1:17" x14ac:dyDescent="0.3">
      <c r="A143" t="s">
        <v>1890</v>
      </c>
      <c r="B143" t="s">
        <v>132</v>
      </c>
      <c r="C143" t="s">
        <v>1893</v>
      </c>
      <c r="D143" t="s">
        <v>104</v>
      </c>
      <c r="E143" t="s">
        <v>1891</v>
      </c>
      <c r="F143" t="s">
        <v>1892</v>
      </c>
      <c r="G143" t="s">
        <v>112</v>
      </c>
      <c r="H143" t="s">
        <v>1895</v>
      </c>
      <c r="I143" t="s">
        <v>1656</v>
      </c>
      <c r="J143" t="s">
        <v>1897</v>
      </c>
      <c r="K143" t="s">
        <v>986</v>
      </c>
      <c r="L143" t="s">
        <v>1435</v>
      </c>
      <c r="M143" t="s">
        <v>752</v>
      </c>
      <c r="N143" t="s">
        <v>731</v>
      </c>
      <c r="O143" t="s">
        <v>1898</v>
      </c>
      <c r="P143" t="s">
        <v>713</v>
      </c>
      <c r="Q143" s="123">
        <v>1</v>
      </c>
    </row>
    <row r="144" spans="1:17" x14ac:dyDescent="0.3">
      <c r="A144" t="s">
        <v>1890</v>
      </c>
      <c r="B144" t="s">
        <v>132</v>
      </c>
      <c r="C144" t="s">
        <v>2199</v>
      </c>
      <c r="D144" t="s">
        <v>104</v>
      </c>
      <c r="E144" t="s">
        <v>2197</v>
      </c>
      <c r="F144" t="s">
        <v>2198</v>
      </c>
      <c r="G144" t="s">
        <v>148</v>
      </c>
      <c r="H144" t="s">
        <v>2201</v>
      </c>
      <c r="I144" t="s">
        <v>1656</v>
      </c>
      <c r="J144" t="s">
        <v>763</v>
      </c>
      <c r="K144" t="s">
        <v>915</v>
      </c>
      <c r="L144" t="s">
        <v>735</v>
      </c>
      <c r="M144" t="s">
        <v>752</v>
      </c>
      <c r="N144" t="s">
        <v>731</v>
      </c>
      <c r="O144" t="s">
        <v>1222</v>
      </c>
      <c r="P144" t="s">
        <v>713</v>
      </c>
      <c r="Q144" s="123">
        <v>1</v>
      </c>
    </row>
    <row r="145" spans="1:17" x14ac:dyDescent="0.3">
      <c r="A145" t="s">
        <v>1890</v>
      </c>
      <c r="B145" t="s">
        <v>132</v>
      </c>
      <c r="C145" t="s">
        <v>2213</v>
      </c>
      <c r="D145" t="s">
        <v>110</v>
      </c>
      <c r="E145" t="s">
        <v>2211</v>
      </c>
      <c r="F145" t="s">
        <v>2212</v>
      </c>
      <c r="G145" t="s">
        <v>112</v>
      </c>
      <c r="H145" t="s">
        <v>2215</v>
      </c>
      <c r="I145" t="s">
        <v>1662</v>
      </c>
      <c r="J145" t="s">
        <v>1813</v>
      </c>
      <c r="K145" t="s">
        <v>981</v>
      </c>
      <c r="L145" t="s">
        <v>844</v>
      </c>
      <c r="M145" t="s">
        <v>752</v>
      </c>
      <c r="N145" t="s">
        <v>731</v>
      </c>
      <c r="O145" t="s">
        <v>2217</v>
      </c>
      <c r="P145" t="s">
        <v>713</v>
      </c>
      <c r="Q145" s="123">
        <v>1</v>
      </c>
    </row>
    <row r="146" spans="1:17" x14ac:dyDescent="0.3">
      <c r="A146" t="s">
        <v>1890</v>
      </c>
      <c r="B146" t="s">
        <v>132</v>
      </c>
      <c r="C146" t="s">
        <v>2475</v>
      </c>
      <c r="D146" t="s">
        <v>121</v>
      </c>
      <c r="E146" t="s">
        <v>2473</v>
      </c>
      <c r="F146" t="s">
        <v>2474</v>
      </c>
      <c r="G146" t="s">
        <v>118</v>
      </c>
      <c r="H146" t="s">
        <v>2477</v>
      </c>
      <c r="I146" t="s">
        <v>1670</v>
      </c>
      <c r="J146" t="s">
        <v>2480</v>
      </c>
      <c r="K146" t="s">
        <v>1234</v>
      </c>
      <c r="L146" t="s">
        <v>986</v>
      </c>
      <c r="M146" t="s">
        <v>752</v>
      </c>
      <c r="N146" t="s">
        <v>731</v>
      </c>
      <c r="O146" t="s">
        <v>2481</v>
      </c>
      <c r="P146" t="s">
        <v>713</v>
      </c>
      <c r="Q146" s="123">
        <v>1</v>
      </c>
    </row>
    <row r="147" spans="1:17" x14ac:dyDescent="0.3">
      <c r="A147" t="s">
        <v>1890</v>
      </c>
      <c r="B147" t="s">
        <v>132</v>
      </c>
      <c r="C147" t="s">
        <v>2571</v>
      </c>
      <c r="D147" t="s">
        <v>115</v>
      </c>
      <c r="E147" t="s">
        <v>2569</v>
      </c>
      <c r="F147" t="s">
        <v>2570</v>
      </c>
      <c r="G147" t="s">
        <v>112</v>
      </c>
      <c r="H147" t="s">
        <v>2573</v>
      </c>
      <c r="I147" t="s">
        <v>1659</v>
      </c>
      <c r="J147" t="s">
        <v>763</v>
      </c>
      <c r="K147" t="s">
        <v>733</v>
      </c>
      <c r="L147" t="s">
        <v>944</v>
      </c>
      <c r="M147" t="s">
        <v>752</v>
      </c>
      <c r="N147" t="s">
        <v>731</v>
      </c>
      <c r="O147" t="s">
        <v>2576</v>
      </c>
      <c r="P147" t="s">
        <v>713</v>
      </c>
      <c r="Q147" s="123">
        <v>1</v>
      </c>
    </row>
    <row r="148" spans="1:17" x14ac:dyDescent="0.3">
      <c r="A148" t="s">
        <v>1890</v>
      </c>
      <c r="B148" t="s">
        <v>132</v>
      </c>
      <c r="C148" t="s">
        <v>2580</v>
      </c>
      <c r="D148" t="s">
        <v>104</v>
      </c>
      <c r="E148" t="s">
        <v>2578</v>
      </c>
      <c r="F148" t="s">
        <v>2579</v>
      </c>
      <c r="G148" t="s">
        <v>148</v>
      </c>
      <c r="H148" t="s">
        <v>2582</v>
      </c>
      <c r="I148" t="s">
        <v>1673</v>
      </c>
      <c r="J148" t="s">
        <v>2586</v>
      </c>
      <c r="K148" t="s">
        <v>2587</v>
      </c>
      <c r="L148" t="s">
        <v>2588</v>
      </c>
      <c r="M148" t="s">
        <v>752</v>
      </c>
      <c r="N148" t="s">
        <v>753</v>
      </c>
      <c r="O148" t="s">
        <v>2589</v>
      </c>
      <c r="P148" t="s">
        <v>713</v>
      </c>
      <c r="Q148" s="123">
        <v>1</v>
      </c>
    </row>
    <row r="149" spans="1:17" x14ac:dyDescent="0.3">
      <c r="A149" t="s">
        <v>1890</v>
      </c>
      <c r="B149" t="s">
        <v>386</v>
      </c>
      <c r="C149" t="s">
        <v>1644</v>
      </c>
      <c r="D149" t="s">
        <v>121</v>
      </c>
      <c r="E149" t="s">
        <v>1642</v>
      </c>
      <c r="F149" t="s">
        <v>1643</v>
      </c>
      <c r="G149" t="s">
        <v>112</v>
      </c>
      <c r="H149" t="s">
        <v>1646</v>
      </c>
      <c r="I149" t="s">
        <v>1673</v>
      </c>
      <c r="J149" t="s">
        <v>1652</v>
      </c>
      <c r="K149" t="s">
        <v>986</v>
      </c>
      <c r="L149" t="s">
        <v>764</v>
      </c>
      <c r="M149" t="s">
        <v>752</v>
      </c>
      <c r="N149" t="s">
        <v>731</v>
      </c>
      <c r="O149" t="s">
        <v>971</v>
      </c>
      <c r="P149" t="s">
        <v>713</v>
      </c>
      <c r="Q149" s="123">
        <v>1</v>
      </c>
    </row>
    <row r="150" spans="1:17" x14ac:dyDescent="0.3">
      <c r="A150" t="s">
        <v>2008</v>
      </c>
      <c r="Q150" s="123">
        <v>30</v>
      </c>
    </row>
    <row r="151" spans="1:17" x14ac:dyDescent="0.3">
      <c r="A151" t="s">
        <v>2807</v>
      </c>
      <c r="B151" t="s">
        <v>3055</v>
      </c>
      <c r="C151" t="s">
        <v>2382</v>
      </c>
      <c r="D151" t="s">
        <v>104</v>
      </c>
      <c r="E151" t="s">
        <v>2380</v>
      </c>
      <c r="F151" t="s">
        <v>2381</v>
      </c>
      <c r="G151" t="s">
        <v>2384</v>
      </c>
      <c r="H151" t="s">
        <v>2385</v>
      </c>
      <c r="I151" t="s">
        <v>1655</v>
      </c>
      <c r="J151" t="s">
        <v>2390</v>
      </c>
      <c r="K151" t="s">
        <v>789</v>
      </c>
      <c r="L151" t="s">
        <v>963</v>
      </c>
      <c r="M151" t="s">
        <v>752</v>
      </c>
      <c r="N151" t="s">
        <v>731</v>
      </c>
      <c r="O151" t="s">
        <v>2391</v>
      </c>
      <c r="P151" t="s">
        <v>713</v>
      </c>
      <c r="Q151" s="123">
        <v>1</v>
      </c>
    </row>
    <row r="152" spans="1:17" x14ac:dyDescent="0.3">
      <c r="A152" t="s">
        <v>2858</v>
      </c>
      <c r="Q152" s="123">
        <v>1</v>
      </c>
    </row>
    <row r="153" spans="1:17" x14ac:dyDescent="0.3">
      <c r="A153" t="s">
        <v>3052</v>
      </c>
      <c r="B153" t="s">
        <v>876</v>
      </c>
      <c r="C153" t="s">
        <v>873</v>
      </c>
      <c r="D153" t="s">
        <v>110</v>
      </c>
      <c r="E153" t="s">
        <v>871</v>
      </c>
      <c r="F153" t="s">
        <v>872</v>
      </c>
      <c r="G153" t="s">
        <v>875</v>
      </c>
      <c r="H153" t="s">
        <v>1562</v>
      </c>
      <c r="I153" t="s">
        <v>1656</v>
      </c>
      <c r="J153" t="s">
        <v>879</v>
      </c>
      <c r="K153" t="s">
        <v>880</v>
      </c>
      <c r="L153" t="s">
        <v>881</v>
      </c>
      <c r="M153" t="s">
        <v>752</v>
      </c>
      <c r="N153" t="s">
        <v>731</v>
      </c>
      <c r="O153" t="s">
        <v>882</v>
      </c>
      <c r="P153" t="s">
        <v>713</v>
      </c>
      <c r="Q153" s="123">
        <v>1</v>
      </c>
    </row>
    <row r="154" spans="1:17" x14ac:dyDescent="0.3">
      <c r="A154" t="s">
        <v>3052</v>
      </c>
      <c r="B154" t="s">
        <v>876</v>
      </c>
      <c r="C154" t="s">
        <v>886</v>
      </c>
      <c r="D154" t="s">
        <v>104</v>
      </c>
      <c r="E154" t="s">
        <v>884</v>
      </c>
      <c r="F154" t="s">
        <v>885</v>
      </c>
      <c r="G154" t="s">
        <v>875</v>
      </c>
      <c r="H154" t="s">
        <v>888</v>
      </c>
      <c r="I154" t="s">
        <v>1661</v>
      </c>
      <c r="J154" t="s">
        <v>891</v>
      </c>
      <c r="K154" t="s">
        <v>733</v>
      </c>
      <c r="L154" t="s">
        <v>736</v>
      </c>
      <c r="M154" t="s">
        <v>790</v>
      </c>
      <c r="N154" t="s">
        <v>731</v>
      </c>
      <c r="O154" t="s">
        <v>892</v>
      </c>
      <c r="P154" t="s">
        <v>713</v>
      </c>
      <c r="Q154" s="123">
        <v>1</v>
      </c>
    </row>
    <row r="155" spans="1:17" x14ac:dyDescent="0.3">
      <c r="A155" t="s">
        <v>3053</v>
      </c>
      <c r="Q155" s="123">
        <v>2</v>
      </c>
    </row>
    <row r="156" spans="1:17" x14ac:dyDescent="0.3">
      <c r="A156" t="s">
        <v>182</v>
      </c>
      <c r="Q156" s="123">
        <v>142</v>
      </c>
    </row>
  </sheetData>
  <pageMargins left="0.27" right="0.22" top="0.71" bottom="0.74803149606299213" header="0.31496062992125984" footer="0.31496062992125984"/>
  <pageSetup scale="66" fitToHeight="8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44576-CB41-4800-BF28-D06380590F07}">
  <sheetPr>
    <tabColor theme="8"/>
  </sheetPr>
  <dimension ref="A1:P39"/>
  <sheetViews>
    <sheetView tabSelected="1" topLeftCell="J28" workbookViewId="0">
      <selection activeCell="M41" sqref="M41"/>
    </sheetView>
  </sheetViews>
  <sheetFormatPr baseColWidth="10" defaultRowHeight="14.4" x14ac:dyDescent="0.3"/>
  <cols>
    <col min="1" max="1" width="22.88671875" bestFit="1" customWidth="1"/>
    <col min="2" max="2" width="44.6640625" bestFit="1" customWidth="1"/>
    <col min="3" max="3" width="13.21875" bestFit="1" customWidth="1"/>
    <col min="4" max="4" width="12.77734375" bestFit="1" customWidth="1"/>
    <col min="5" max="5" width="32.109375" bestFit="1" customWidth="1"/>
    <col min="6" max="6" width="16.88671875" bestFit="1" customWidth="1"/>
    <col min="7" max="7" width="15" bestFit="1" customWidth="1"/>
    <col min="8" max="8" width="7.88671875" bestFit="1" customWidth="1"/>
    <col min="9" max="9" width="55.44140625" bestFit="1" customWidth="1"/>
    <col min="10" max="10" width="19" bestFit="1" customWidth="1"/>
    <col min="11" max="11" width="52.88671875" bestFit="1" customWidth="1"/>
    <col min="12" max="12" width="15.33203125" bestFit="1" customWidth="1"/>
    <col min="13" max="13" width="19.21875" bestFit="1" customWidth="1"/>
    <col min="14" max="14" width="12" bestFit="1" customWidth="1"/>
    <col min="15" max="15" width="22.109375" bestFit="1" customWidth="1"/>
    <col min="16" max="16" width="7.44140625" bestFit="1" customWidth="1"/>
  </cols>
  <sheetData>
    <row r="1" spans="1:16" x14ac:dyDescent="0.3">
      <c r="A1" s="10" t="s">
        <v>3</v>
      </c>
      <c r="B1" t="s">
        <v>4</v>
      </c>
    </row>
    <row r="2" spans="1:16" x14ac:dyDescent="0.3">
      <c r="A2" s="10" t="s">
        <v>76</v>
      </c>
      <c r="B2" t="s">
        <v>77</v>
      </c>
    </row>
    <row r="3" spans="1:16" x14ac:dyDescent="0.3">
      <c r="A3" s="10" t="s">
        <v>237</v>
      </c>
      <c r="B3" t="s">
        <v>189</v>
      </c>
    </row>
    <row r="4" spans="1:16" x14ac:dyDescent="0.3">
      <c r="A4" s="10" t="s">
        <v>3401</v>
      </c>
      <c r="B4" t="s">
        <v>3402</v>
      </c>
    </row>
    <row r="6" spans="1:16" x14ac:dyDescent="0.3">
      <c r="A6" s="10" t="s">
        <v>238</v>
      </c>
      <c r="B6" s="10" t="s">
        <v>96</v>
      </c>
      <c r="C6" s="10" t="s">
        <v>187</v>
      </c>
      <c r="D6" s="10" t="s">
        <v>249</v>
      </c>
      <c r="E6" s="10" t="s">
        <v>184</v>
      </c>
      <c r="F6" s="10" t="s">
        <v>185</v>
      </c>
      <c r="G6" s="10" t="s">
        <v>186</v>
      </c>
      <c r="H6" s="10" t="s">
        <v>436</v>
      </c>
      <c r="I6" s="10" t="s">
        <v>440</v>
      </c>
      <c r="J6" s="10" t="s">
        <v>705</v>
      </c>
      <c r="K6" s="10" t="s">
        <v>442</v>
      </c>
      <c r="L6" s="10" t="s">
        <v>443</v>
      </c>
      <c r="M6" s="10" t="s">
        <v>444</v>
      </c>
      <c r="N6" s="10" t="s">
        <v>441</v>
      </c>
      <c r="O6" s="10" t="s">
        <v>48</v>
      </c>
      <c r="P6" t="s">
        <v>183</v>
      </c>
    </row>
    <row r="7" spans="1:16" x14ac:dyDescent="0.3">
      <c r="A7" t="s">
        <v>114</v>
      </c>
      <c r="B7" t="s">
        <v>2742</v>
      </c>
      <c r="C7" t="s">
        <v>104</v>
      </c>
      <c r="D7" t="s">
        <v>2740</v>
      </c>
      <c r="E7" t="s">
        <v>2741</v>
      </c>
      <c r="F7" t="s">
        <v>367</v>
      </c>
      <c r="G7" t="s">
        <v>2744</v>
      </c>
      <c r="H7" t="s">
        <v>1656</v>
      </c>
      <c r="I7" t="s">
        <v>2746</v>
      </c>
      <c r="J7" t="s">
        <v>969</v>
      </c>
      <c r="K7" t="s">
        <v>733</v>
      </c>
      <c r="L7" t="s">
        <v>752</v>
      </c>
      <c r="M7" t="s">
        <v>731</v>
      </c>
      <c r="N7" t="s">
        <v>2747</v>
      </c>
      <c r="O7" t="s">
        <v>730</v>
      </c>
      <c r="P7" s="123">
        <v>1</v>
      </c>
    </row>
    <row r="8" spans="1:16" x14ac:dyDescent="0.3">
      <c r="A8" t="s">
        <v>1300</v>
      </c>
      <c r="B8" t="s">
        <v>1630</v>
      </c>
      <c r="C8" t="s">
        <v>115</v>
      </c>
      <c r="D8" t="s">
        <v>1628</v>
      </c>
      <c r="E8" t="s">
        <v>1629</v>
      </c>
      <c r="F8" t="s">
        <v>771</v>
      </c>
      <c r="G8" t="s">
        <v>1632</v>
      </c>
      <c r="H8" t="s">
        <v>1672</v>
      </c>
      <c r="I8" t="s">
        <v>1638</v>
      </c>
      <c r="J8" t="s">
        <v>1639</v>
      </c>
      <c r="K8" t="s">
        <v>736</v>
      </c>
      <c r="L8" t="s">
        <v>752</v>
      </c>
      <c r="M8" t="s">
        <v>904</v>
      </c>
      <c r="N8" t="s">
        <v>1640</v>
      </c>
      <c r="O8" t="s">
        <v>713</v>
      </c>
      <c r="P8" s="123">
        <v>1</v>
      </c>
    </row>
    <row r="9" spans="1:16" x14ac:dyDescent="0.3">
      <c r="A9" t="s">
        <v>1125</v>
      </c>
      <c r="B9" t="s">
        <v>1143</v>
      </c>
      <c r="C9" t="s">
        <v>117</v>
      </c>
      <c r="D9" t="s">
        <v>1141</v>
      </c>
      <c r="E9" t="s">
        <v>1142</v>
      </c>
      <c r="F9" t="s">
        <v>118</v>
      </c>
      <c r="G9" t="s">
        <v>1145</v>
      </c>
      <c r="H9" t="s">
        <v>1659</v>
      </c>
      <c r="I9" t="s">
        <v>1147</v>
      </c>
      <c r="J9" t="s">
        <v>1148</v>
      </c>
      <c r="K9" t="s">
        <v>835</v>
      </c>
      <c r="L9" t="s">
        <v>752</v>
      </c>
      <c r="M9" t="s">
        <v>753</v>
      </c>
      <c r="N9" t="s">
        <v>1149</v>
      </c>
      <c r="O9" t="s">
        <v>713</v>
      </c>
      <c r="P9" s="123">
        <v>1</v>
      </c>
    </row>
    <row r="10" spans="1:16" x14ac:dyDescent="0.3">
      <c r="A10" t="s">
        <v>1476</v>
      </c>
      <c r="B10" t="s">
        <v>1473</v>
      </c>
      <c r="C10" t="s">
        <v>110</v>
      </c>
      <c r="D10" t="s">
        <v>1471</v>
      </c>
      <c r="E10" t="s">
        <v>1472</v>
      </c>
      <c r="F10" t="s">
        <v>124</v>
      </c>
      <c r="G10" t="s">
        <v>1475</v>
      </c>
      <c r="H10" t="s">
        <v>1669</v>
      </c>
      <c r="I10" t="s">
        <v>1478</v>
      </c>
      <c r="J10" t="s">
        <v>1032</v>
      </c>
      <c r="K10" t="s">
        <v>1479</v>
      </c>
      <c r="L10" t="s">
        <v>752</v>
      </c>
      <c r="M10" t="s">
        <v>731</v>
      </c>
      <c r="N10" t="s">
        <v>1480</v>
      </c>
      <c r="O10" t="s">
        <v>713</v>
      </c>
      <c r="P10" s="123">
        <v>1</v>
      </c>
    </row>
    <row r="11" spans="1:16" x14ac:dyDescent="0.3">
      <c r="A11" t="s">
        <v>1476</v>
      </c>
      <c r="B11" t="s">
        <v>2810</v>
      </c>
      <c r="C11" t="s">
        <v>104</v>
      </c>
      <c r="D11" t="s">
        <v>2808</v>
      </c>
      <c r="E11" t="s">
        <v>2809</v>
      </c>
      <c r="F11" t="s">
        <v>124</v>
      </c>
      <c r="G11" t="s">
        <v>2812</v>
      </c>
      <c r="H11" t="s">
        <v>1656</v>
      </c>
      <c r="I11" t="s">
        <v>2815</v>
      </c>
      <c r="J11" t="s">
        <v>986</v>
      </c>
      <c r="K11" t="s">
        <v>986</v>
      </c>
      <c r="L11" t="s">
        <v>752</v>
      </c>
      <c r="M11" t="s">
        <v>731</v>
      </c>
      <c r="N11" t="s">
        <v>2816</v>
      </c>
      <c r="O11" t="s">
        <v>713</v>
      </c>
      <c r="P11" s="123">
        <v>1</v>
      </c>
    </row>
    <row r="12" spans="1:16" x14ac:dyDescent="0.3">
      <c r="A12" t="s">
        <v>235</v>
      </c>
      <c r="B12" t="s">
        <v>2485</v>
      </c>
      <c r="C12" t="s">
        <v>122</v>
      </c>
      <c r="D12" t="s">
        <v>2483</v>
      </c>
      <c r="E12" t="s">
        <v>2484</v>
      </c>
      <c r="F12" t="s">
        <v>124</v>
      </c>
      <c r="G12" t="s">
        <v>2487</v>
      </c>
      <c r="H12" t="s">
        <v>1671</v>
      </c>
      <c r="I12" t="s">
        <v>2491</v>
      </c>
      <c r="J12" t="s">
        <v>1008</v>
      </c>
      <c r="K12" t="s">
        <v>736</v>
      </c>
      <c r="L12" t="s">
        <v>752</v>
      </c>
      <c r="M12" t="s">
        <v>731</v>
      </c>
      <c r="N12" t="s">
        <v>2492</v>
      </c>
      <c r="O12" t="s">
        <v>713</v>
      </c>
      <c r="P12" s="123">
        <v>1</v>
      </c>
    </row>
    <row r="13" spans="1:16" x14ac:dyDescent="0.3">
      <c r="A13" t="s">
        <v>235</v>
      </c>
      <c r="B13" t="s">
        <v>2732</v>
      </c>
      <c r="C13" t="s">
        <v>121</v>
      </c>
      <c r="D13" t="s">
        <v>2730</v>
      </c>
      <c r="E13" t="s">
        <v>2731</v>
      </c>
      <c r="F13" t="s">
        <v>124</v>
      </c>
      <c r="G13" t="s">
        <v>2734</v>
      </c>
      <c r="H13" t="s">
        <v>1675</v>
      </c>
      <c r="I13" t="s">
        <v>2737</v>
      </c>
      <c r="J13" t="s">
        <v>764</v>
      </c>
      <c r="K13" t="s">
        <v>764</v>
      </c>
      <c r="L13" t="s">
        <v>752</v>
      </c>
      <c r="M13" t="s">
        <v>731</v>
      </c>
      <c r="N13" t="s">
        <v>2738</v>
      </c>
      <c r="O13" t="s">
        <v>713</v>
      </c>
      <c r="P13" s="123">
        <v>1</v>
      </c>
    </row>
    <row r="14" spans="1:16" x14ac:dyDescent="0.3">
      <c r="A14" t="s">
        <v>2712</v>
      </c>
      <c r="B14" t="s">
        <v>2709</v>
      </c>
      <c r="C14" t="s">
        <v>117</v>
      </c>
      <c r="D14" t="s">
        <v>2707</v>
      </c>
      <c r="E14" t="s">
        <v>2708</v>
      </c>
      <c r="F14" t="s">
        <v>124</v>
      </c>
      <c r="G14" t="s">
        <v>2711</v>
      </c>
      <c r="H14" t="s">
        <v>2368</v>
      </c>
      <c r="I14" t="s">
        <v>2716</v>
      </c>
      <c r="J14" t="s">
        <v>789</v>
      </c>
      <c r="K14" t="s">
        <v>1106</v>
      </c>
      <c r="L14" t="s">
        <v>752</v>
      </c>
      <c r="M14" t="s">
        <v>753</v>
      </c>
      <c r="N14" t="s">
        <v>2520</v>
      </c>
      <c r="O14" t="s">
        <v>120</v>
      </c>
      <c r="P14" s="123">
        <v>1</v>
      </c>
    </row>
    <row r="15" spans="1:16" x14ac:dyDescent="0.3">
      <c r="A15" t="s">
        <v>2712</v>
      </c>
      <c r="B15" t="s">
        <v>2864</v>
      </c>
      <c r="C15" t="s">
        <v>115</v>
      </c>
      <c r="D15" t="s">
        <v>2862</v>
      </c>
      <c r="E15" t="s">
        <v>2863</v>
      </c>
      <c r="F15" t="s">
        <v>124</v>
      </c>
      <c r="G15" t="s">
        <v>2866</v>
      </c>
      <c r="H15" t="s">
        <v>1654</v>
      </c>
      <c r="I15" t="s">
        <v>2869</v>
      </c>
      <c r="J15" t="s">
        <v>789</v>
      </c>
      <c r="K15" t="s">
        <v>880</v>
      </c>
      <c r="L15" t="s">
        <v>752</v>
      </c>
      <c r="M15" t="s">
        <v>731</v>
      </c>
      <c r="N15" t="s">
        <v>2870</v>
      </c>
      <c r="O15" t="s">
        <v>713</v>
      </c>
      <c r="P15" s="123">
        <v>1</v>
      </c>
    </row>
    <row r="16" spans="1:16" x14ac:dyDescent="0.3">
      <c r="A16" t="s">
        <v>876</v>
      </c>
      <c r="B16" t="s">
        <v>873</v>
      </c>
      <c r="C16" t="s">
        <v>110</v>
      </c>
      <c r="D16" t="s">
        <v>871</v>
      </c>
      <c r="E16" t="s">
        <v>872</v>
      </c>
      <c r="F16" t="s">
        <v>875</v>
      </c>
      <c r="G16" t="s">
        <v>1562</v>
      </c>
      <c r="H16" t="s">
        <v>1656</v>
      </c>
      <c r="I16" t="s">
        <v>879</v>
      </c>
      <c r="J16" t="s">
        <v>880</v>
      </c>
      <c r="K16" t="s">
        <v>881</v>
      </c>
      <c r="L16" t="s">
        <v>752</v>
      </c>
      <c r="M16" t="s">
        <v>731</v>
      </c>
      <c r="N16" t="s">
        <v>882</v>
      </c>
      <c r="O16" t="s">
        <v>713</v>
      </c>
      <c r="P16" s="123">
        <v>1</v>
      </c>
    </row>
    <row r="17" spans="1:16" x14ac:dyDescent="0.3">
      <c r="A17" t="s">
        <v>876</v>
      </c>
      <c r="B17" t="s">
        <v>886</v>
      </c>
      <c r="C17" t="s">
        <v>104</v>
      </c>
      <c r="D17" t="s">
        <v>884</v>
      </c>
      <c r="E17" t="s">
        <v>885</v>
      </c>
      <c r="F17" t="s">
        <v>875</v>
      </c>
      <c r="G17" t="s">
        <v>888</v>
      </c>
      <c r="H17" t="s">
        <v>1661</v>
      </c>
      <c r="I17" t="s">
        <v>891</v>
      </c>
      <c r="J17" t="s">
        <v>733</v>
      </c>
      <c r="K17" t="s">
        <v>736</v>
      </c>
      <c r="L17" t="s">
        <v>790</v>
      </c>
      <c r="M17" t="s">
        <v>731</v>
      </c>
      <c r="N17" t="s">
        <v>892</v>
      </c>
      <c r="O17" t="s">
        <v>713</v>
      </c>
      <c r="P17" s="123">
        <v>1</v>
      </c>
    </row>
    <row r="18" spans="1:16" x14ac:dyDescent="0.3">
      <c r="A18" t="s">
        <v>939</v>
      </c>
      <c r="B18" t="s">
        <v>936</v>
      </c>
      <c r="C18" t="s">
        <v>104</v>
      </c>
      <c r="D18" t="s">
        <v>934</v>
      </c>
      <c r="E18" t="s">
        <v>935</v>
      </c>
      <c r="F18" t="s">
        <v>522</v>
      </c>
      <c r="G18" t="s">
        <v>938</v>
      </c>
      <c r="H18" t="s">
        <v>1671</v>
      </c>
      <c r="I18" t="s">
        <v>943</v>
      </c>
      <c r="J18" t="s">
        <v>944</v>
      </c>
      <c r="K18" t="s">
        <v>945</v>
      </c>
      <c r="L18" t="s">
        <v>752</v>
      </c>
      <c r="M18" t="s">
        <v>731</v>
      </c>
      <c r="N18" t="s">
        <v>946</v>
      </c>
      <c r="O18" t="s">
        <v>713</v>
      </c>
      <c r="P18" s="123">
        <v>1</v>
      </c>
    </row>
    <row r="19" spans="1:16" x14ac:dyDescent="0.3">
      <c r="A19" t="s">
        <v>1003</v>
      </c>
      <c r="B19" t="s">
        <v>999</v>
      </c>
      <c r="C19" t="s">
        <v>122</v>
      </c>
      <c r="D19" t="s">
        <v>1555</v>
      </c>
      <c r="E19" t="s">
        <v>998</v>
      </c>
      <c r="F19" t="s">
        <v>1001</v>
      </c>
      <c r="G19" t="s">
        <v>1002</v>
      </c>
      <c r="H19" t="s">
        <v>1656</v>
      </c>
      <c r="I19" t="s">
        <v>1007</v>
      </c>
      <c r="J19" t="s">
        <v>1008</v>
      </c>
      <c r="K19" t="s">
        <v>835</v>
      </c>
      <c r="L19" t="s">
        <v>752</v>
      </c>
      <c r="M19" t="s">
        <v>1009</v>
      </c>
      <c r="N19" t="s">
        <v>1010</v>
      </c>
      <c r="O19" t="s">
        <v>713</v>
      </c>
      <c r="P19" s="123">
        <v>1</v>
      </c>
    </row>
    <row r="20" spans="1:16" x14ac:dyDescent="0.3">
      <c r="A20" t="s">
        <v>1003</v>
      </c>
      <c r="B20" t="s">
        <v>1013</v>
      </c>
      <c r="C20" t="s">
        <v>117</v>
      </c>
      <c r="D20" t="s">
        <v>1556</v>
      </c>
      <c r="E20" t="s">
        <v>1012</v>
      </c>
      <c r="F20" t="s">
        <v>1039</v>
      </c>
      <c r="G20" t="s">
        <v>1015</v>
      </c>
      <c r="H20" t="s">
        <v>1655</v>
      </c>
      <c r="I20" t="s">
        <v>763</v>
      </c>
      <c r="J20" t="s">
        <v>764</v>
      </c>
      <c r="K20" t="s">
        <v>835</v>
      </c>
      <c r="L20" t="s">
        <v>752</v>
      </c>
      <c r="M20" t="s">
        <v>731</v>
      </c>
      <c r="N20" t="s">
        <v>1020</v>
      </c>
      <c r="O20" t="s">
        <v>713</v>
      </c>
      <c r="P20" s="123">
        <v>1</v>
      </c>
    </row>
    <row r="21" spans="1:16" x14ac:dyDescent="0.3">
      <c r="A21" t="s">
        <v>1003</v>
      </c>
      <c r="B21" t="s">
        <v>1037</v>
      </c>
      <c r="C21" t="s">
        <v>122</v>
      </c>
      <c r="D21" t="s">
        <v>1035</v>
      </c>
      <c r="E21" t="s">
        <v>1036</v>
      </c>
      <c r="F21" t="s">
        <v>1039</v>
      </c>
      <c r="G21" t="s">
        <v>1040</v>
      </c>
      <c r="H21" t="s">
        <v>1665</v>
      </c>
      <c r="I21" t="s">
        <v>763</v>
      </c>
      <c r="J21" t="s">
        <v>915</v>
      </c>
      <c r="K21" t="s">
        <v>1042</v>
      </c>
      <c r="L21" t="s">
        <v>752</v>
      </c>
      <c r="M21" t="s">
        <v>731</v>
      </c>
      <c r="N21" t="s">
        <v>1043</v>
      </c>
      <c r="O21" t="s">
        <v>713</v>
      </c>
      <c r="P21" s="123">
        <v>1</v>
      </c>
    </row>
    <row r="22" spans="1:16" x14ac:dyDescent="0.3">
      <c r="A22" t="s">
        <v>1003</v>
      </c>
      <c r="B22" t="s">
        <v>1047</v>
      </c>
      <c r="C22" t="s">
        <v>122</v>
      </c>
      <c r="D22" t="s">
        <v>1045</v>
      </c>
      <c r="E22" t="s">
        <v>1046</v>
      </c>
      <c r="F22" t="s">
        <v>124</v>
      </c>
      <c r="G22" t="s">
        <v>1049</v>
      </c>
      <c r="H22" t="s">
        <v>1662</v>
      </c>
      <c r="I22" t="s">
        <v>763</v>
      </c>
      <c r="J22" t="s">
        <v>835</v>
      </c>
      <c r="K22" t="s">
        <v>736</v>
      </c>
      <c r="L22" t="s">
        <v>752</v>
      </c>
      <c r="M22" t="s">
        <v>731</v>
      </c>
      <c r="N22" t="s">
        <v>1051</v>
      </c>
      <c r="O22" t="s">
        <v>713</v>
      </c>
      <c r="P22" s="123">
        <v>1</v>
      </c>
    </row>
    <row r="23" spans="1:16" x14ac:dyDescent="0.3">
      <c r="A23" t="s">
        <v>1003</v>
      </c>
      <c r="B23" t="s">
        <v>1067</v>
      </c>
      <c r="C23" t="s">
        <v>117</v>
      </c>
      <c r="D23" t="s">
        <v>1065</v>
      </c>
      <c r="E23" t="s">
        <v>1066</v>
      </c>
      <c r="F23" t="s">
        <v>1039</v>
      </c>
      <c r="G23" t="s">
        <v>1563</v>
      </c>
      <c r="H23" t="s">
        <v>1665</v>
      </c>
      <c r="I23" t="s">
        <v>763</v>
      </c>
      <c r="J23" t="s">
        <v>1008</v>
      </c>
      <c r="K23" t="s">
        <v>735</v>
      </c>
      <c r="L23" t="s">
        <v>752</v>
      </c>
      <c r="M23" t="s">
        <v>731</v>
      </c>
      <c r="N23" t="s">
        <v>1070</v>
      </c>
      <c r="O23" t="s">
        <v>713</v>
      </c>
      <c r="P23" s="123">
        <v>1</v>
      </c>
    </row>
    <row r="24" spans="1:16" x14ac:dyDescent="0.3">
      <c r="A24" t="s">
        <v>1003</v>
      </c>
      <c r="B24" t="s">
        <v>1187</v>
      </c>
      <c r="C24" t="s">
        <v>121</v>
      </c>
      <c r="D24" t="s">
        <v>1557</v>
      </c>
      <c r="E24" t="s">
        <v>1186</v>
      </c>
      <c r="F24" t="s">
        <v>1039</v>
      </c>
      <c r="G24" t="s">
        <v>1189</v>
      </c>
      <c r="H24" t="s">
        <v>1670</v>
      </c>
      <c r="I24" t="s">
        <v>1191</v>
      </c>
      <c r="J24" t="s">
        <v>789</v>
      </c>
      <c r="K24" t="s">
        <v>764</v>
      </c>
      <c r="L24" t="s">
        <v>752</v>
      </c>
      <c r="M24" t="s">
        <v>731</v>
      </c>
      <c r="N24" t="s">
        <v>1192</v>
      </c>
      <c r="O24" t="s">
        <v>120</v>
      </c>
      <c r="P24" s="123">
        <v>1</v>
      </c>
    </row>
    <row r="25" spans="1:16" x14ac:dyDescent="0.3">
      <c r="A25" t="s">
        <v>1003</v>
      </c>
      <c r="B25" t="s">
        <v>1290</v>
      </c>
      <c r="C25" t="s">
        <v>122</v>
      </c>
      <c r="D25" t="s">
        <v>1288</v>
      </c>
      <c r="E25" t="s">
        <v>1289</v>
      </c>
      <c r="F25" t="s">
        <v>1039</v>
      </c>
      <c r="G25" t="s">
        <v>1292</v>
      </c>
      <c r="H25" t="s">
        <v>1656</v>
      </c>
      <c r="I25" t="s">
        <v>763</v>
      </c>
      <c r="J25" t="s">
        <v>1032</v>
      </c>
      <c r="K25" t="s">
        <v>735</v>
      </c>
      <c r="L25" t="s">
        <v>752</v>
      </c>
      <c r="M25" t="s">
        <v>731</v>
      </c>
      <c r="N25" t="s">
        <v>1149</v>
      </c>
      <c r="O25" t="s">
        <v>713</v>
      </c>
      <c r="P25" s="123">
        <v>1</v>
      </c>
    </row>
    <row r="26" spans="1:16" x14ac:dyDescent="0.3">
      <c r="A26" t="s">
        <v>1003</v>
      </c>
      <c r="B26" t="s">
        <v>1318</v>
      </c>
      <c r="C26" t="s">
        <v>115</v>
      </c>
      <c r="D26" t="s">
        <v>1316</v>
      </c>
      <c r="E26" t="s">
        <v>1317</v>
      </c>
      <c r="F26" t="s">
        <v>1039</v>
      </c>
      <c r="G26" t="s">
        <v>1320</v>
      </c>
      <c r="H26" t="s">
        <v>1662</v>
      </c>
      <c r="I26" t="s">
        <v>763</v>
      </c>
      <c r="J26" t="s">
        <v>789</v>
      </c>
      <c r="K26" t="s">
        <v>736</v>
      </c>
      <c r="L26" t="s">
        <v>752</v>
      </c>
      <c r="M26" t="s">
        <v>731</v>
      </c>
      <c r="N26" t="s">
        <v>1323</v>
      </c>
      <c r="O26" t="s">
        <v>713</v>
      </c>
      <c r="P26" s="123">
        <v>1</v>
      </c>
    </row>
    <row r="27" spans="1:16" x14ac:dyDescent="0.3">
      <c r="A27" t="s">
        <v>1003</v>
      </c>
      <c r="B27" t="s">
        <v>1382</v>
      </c>
      <c r="C27" t="s">
        <v>115</v>
      </c>
      <c r="D27" t="s">
        <v>1380</v>
      </c>
      <c r="E27" t="s">
        <v>1381</v>
      </c>
      <c r="F27" t="s">
        <v>1039</v>
      </c>
      <c r="G27" t="s">
        <v>1384</v>
      </c>
      <c r="H27" t="s">
        <v>1665</v>
      </c>
      <c r="I27" t="s">
        <v>1386</v>
      </c>
      <c r="J27" t="s">
        <v>915</v>
      </c>
      <c r="K27" t="s">
        <v>735</v>
      </c>
      <c r="L27" t="s">
        <v>752</v>
      </c>
      <c r="M27" t="s">
        <v>731</v>
      </c>
      <c r="N27" t="s">
        <v>1387</v>
      </c>
      <c r="O27" t="s">
        <v>713</v>
      </c>
      <c r="P27" s="123">
        <v>1</v>
      </c>
    </row>
    <row r="28" spans="1:16" x14ac:dyDescent="0.3">
      <c r="A28" t="s">
        <v>692</v>
      </c>
      <c r="B28" t="s">
        <v>1342</v>
      </c>
      <c r="C28" t="s">
        <v>117</v>
      </c>
      <c r="D28" t="s">
        <v>1340</v>
      </c>
      <c r="E28" t="s">
        <v>1341</v>
      </c>
      <c r="F28" t="s">
        <v>124</v>
      </c>
      <c r="G28" t="s">
        <v>1344</v>
      </c>
      <c r="H28" t="s">
        <v>1665</v>
      </c>
      <c r="I28" t="s">
        <v>763</v>
      </c>
      <c r="J28" t="s">
        <v>1347</v>
      </c>
      <c r="K28" t="s">
        <v>1348</v>
      </c>
      <c r="L28" t="s">
        <v>752</v>
      </c>
      <c r="M28" t="s">
        <v>731</v>
      </c>
      <c r="N28" t="s">
        <v>882</v>
      </c>
      <c r="O28" t="s">
        <v>730</v>
      </c>
      <c r="P28" s="123">
        <v>1</v>
      </c>
    </row>
    <row r="29" spans="1:16" x14ac:dyDescent="0.3">
      <c r="A29" t="s">
        <v>692</v>
      </c>
      <c r="B29" t="s">
        <v>1371</v>
      </c>
      <c r="C29" t="s">
        <v>117</v>
      </c>
      <c r="D29" t="s">
        <v>1369</v>
      </c>
      <c r="E29" t="s">
        <v>1370</v>
      </c>
      <c r="F29" t="s">
        <v>124</v>
      </c>
      <c r="G29" t="s">
        <v>1373</v>
      </c>
      <c r="H29" t="s">
        <v>1659</v>
      </c>
      <c r="I29" t="s">
        <v>763</v>
      </c>
      <c r="J29" t="s">
        <v>1376</v>
      </c>
      <c r="K29" t="s">
        <v>1377</v>
      </c>
      <c r="L29" t="s">
        <v>752</v>
      </c>
      <c r="M29" t="s">
        <v>731</v>
      </c>
      <c r="N29" t="s">
        <v>1378</v>
      </c>
      <c r="O29" t="s">
        <v>730</v>
      </c>
      <c r="P29" s="123">
        <v>1</v>
      </c>
    </row>
    <row r="30" spans="1:16" x14ac:dyDescent="0.3">
      <c r="A30" t="s">
        <v>692</v>
      </c>
      <c r="B30" t="s">
        <v>1391</v>
      </c>
      <c r="C30" t="s">
        <v>122</v>
      </c>
      <c r="D30" t="s">
        <v>1389</v>
      </c>
      <c r="E30" t="s">
        <v>1390</v>
      </c>
      <c r="F30" t="s">
        <v>124</v>
      </c>
      <c r="G30" t="s">
        <v>1566</v>
      </c>
      <c r="H30" t="s">
        <v>1662</v>
      </c>
      <c r="I30" t="s">
        <v>763</v>
      </c>
      <c r="J30" t="s">
        <v>969</v>
      </c>
      <c r="K30" t="s">
        <v>736</v>
      </c>
      <c r="L30" t="s">
        <v>752</v>
      </c>
      <c r="M30" t="s">
        <v>904</v>
      </c>
      <c r="N30" t="s">
        <v>1394</v>
      </c>
      <c r="O30" t="s">
        <v>730</v>
      </c>
      <c r="P30" s="123">
        <v>1</v>
      </c>
    </row>
    <row r="31" spans="1:16" x14ac:dyDescent="0.3">
      <c r="A31" t="s">
        <v>692</v>
      </c>
      <c r="B31" t="s">
        <v>1398</v>
      </c>
      <c r="C31" t="s">
        <v>117</v>
      </c>
      <c r="D31" t="s">
        <v>1396</v>
      </c>
      <c r="E31" t="s">
        <v>1397</v>
      </c>
      <c r="F31" t="s">
        <v>124</v>
      </c>
      <c r="G31" t="s">
        <v>1400</v>
      </c>
      <c r="H31" t="s">
        <v>1659</v>
      </c>
      <c r="I31" t="s">
        <v>1403</v>
      </c>
      <c r="J31" t="s">
        <v>764</v>
      </c>
      <c r="K31" t="s">
        <v>735</v>
      </c>
      <c r="L31" t="s">
        <v>752</v>
      </c>
      <c r="M31" t="s">
        <v>731</v>
      </c>
      <c r="N31" t="s">
        <v>1404</v>
      </c>
      <c r="O31" t="s">
        <v>730</v>
      </c>
      <c r="P31" s="123">
        <v>1</v>
      </c>
    </row>
    <row r="32" spans="1:16" x14ac:dyDescent="0.3">
      <c r="A32" t="s">
        <v>692</v>
      </c>
      <c r="B32" t="s">
        <v>1408</v>
      </c>
      <c r="C32" t="s">
        <v>115</v>
      </c>
      <c r="D32" t="s">
        <v>1406</v>
      </c>
      <c r="E32" t="s">
        <v>1407</v>
      </c>
      <c r="F32" t="s">
        <v>124</v>
      </c>
      <c r="G32" t="s">
        <v>1410</v>
      </c>
      <c r="H32" t="s">
        <v>1662</v>
      </c>
      <c r="I32" t="s">
        <v>1413</v>
      </c>
      <c r="J32" t="s">
        <v>915</v>
      </c>
      <c r="K32" t="s">
        <v>944</v>
      </c>
      <c r="L32" t="s">
        <v>752</v>
      </c>
      <c r="M32" t="s">
        <v>731</v>
      </c>
      <c r="N32" t="s">
        <v>858</v>
      </c>
      <c r="O32" t="s">
        <v>730</v>
      </c>
      <c r="P32" s="123">
        <v>1</v>
      </c>
    </row>
    <row r="33" spans="1:16" x14ac:dyDescent="0.3">
      <c r="A33" t="s">
        <v>692</v>
      </c>
      <c r="B33" t="s">
        <v>1417</v>
      </c>
      <c r="C33" t="s">
        <v>115</v>
      </c>
      <c r="D33" t="s">
        <v>1415</v>
      </c>
      <c r="E33" t="s">
        <v>1416</v>
      </c>
      <c r="F33" t="s">
        <v>118</v>
      </c>
      <c r="G33" t="s">
        <v>1419</v>
      </c>
      <c r="H33" t="s">
        <v>1665</v>
      </c>
      <c r="I33" t="s">
        <v>1423</v>
      </c>
      <c r="J33" t="s">
        <v>764</v>
      </c>
      <c r="K33" t="s">
        <v>735</v>
      </c>
      <c r="L33" t="s">
        <v>752</v>
      </c>
      <c r="M33" t="s">
        <v>753</v>
      </c>
      <c r="N33" t="s">
        <v>971</v>
      </c>
      <c r="O33" t="s">
        <v>730</v>
      </c>
      <c r="P33" s="123">
        <v>1</v>
      </c>
    </row>
    <row r="34" spans="1:16" x14ac:dyDescent="0.3">
      <c r="A34" t="s">
        <v>692</v>
      </c>
      <c r="B34" t="s">
        <v>2079</v>
      </c>
      <c r="C34" t="s">
        <v>115</v>
      </c>
      <c r="D34" t="s">
        <v>2077</v>
      </c>
      <c r="E34" t="s">
        <v>2078</v>
      </c>
      <c r="F34" t="s">
        <v>124</v>
      </c>
      <c r="G34" t="s">
        <v>2081</v>
      </c>
      <c r="H34" t="s">
        <v>1656</v>
      </c>
      <c r="I34" t="s">
        <v>2084</v>
      </c>
      <c r="J34" t="s">
        <v>986</v>
      </c>
      <c r="K34" t="s">
        <v>2085</v>
      </c>
      <c r="L34" t="s">
        <v>752</v>
      </c>
      <c r="M34" t="s">
        <v>731</v>
      </c>
      <c r="N34" t="s">
        <v>1689</v>
      </c>
      <c r="O34" t="s">
        <v>713</v>
      </c>
      <c r="P34" s="123">
        <v>1</v>
      </c>
    </row>
    <row r="35" spans="1:16" x14ac:dyDescent="0.3">
      <c r="A35" t="s">
        <v>692</v>
      </c>
      <c r="B35" t="s">
        <v>2108</v>
      </c>
      <c r="C35" t="s">
        <v>104</v>
      </c>
      <c r="D35" t="s">
        <v>2106</v>
      </c>
      <c r="E35" t="s">
        <v>2107</v>
      </c>
      <c r="F35" t="s">
        <v>124</v>
      </c>
      <c r="G35" t="s">
        <v>2110</v>
      </c>
      <c r="H35" t="s">
        <v>1659</v>
      </c>
      <c r="I35" t="s">
        <v>763</v>
      </c>
      <c r="J35" t="s">
        <v>986</v>
      </c>
      <c r="K35" t="s">
        <v>735</v>
      </c>
      <c r="L35" t="s">
        <v>752</v>
      </c>
      <c r="M35" t="s">
        <v>731</v>
      </c>
      <c r="N35" t="s">
        <v>2112</v>
      </c>
      <c r="O35" t="s">
        <v>730</v>
      </c>
      <c r="P35" s="123">
        <v>1</v>
      </c>
    </row>
    <row r="36" spans="1:16" x14ac:dyDescent="0.3">
      <c r="A36" t="s">
        <v>692</v>
      </c>
      <c r="B36" t="s">
        <v>2116</v>
      </c>
      <c r="C36" t="s">
        <v>110</v>
      </c>
      <c r="D36" t="s">
        <v>2114</v>
      </c>
      <c r="E36" t="s">
        <v>2115</v>
      </c>
      <c r="F36" t="s">
        <v>124</v>
      </c>
      <c r="G36" t="s">
        <v>2118</v>
      </c>
      <c r="H36" t="s">
        <v>2126</v>
      </c>
      <c r="I36" t="s">
        <v>2121</v>
      </c>
      <c r="J36" t="s">
        <v>2122</v>
      </c>
      <c r="K36" t="s">
        <v>736</v>
      </c>
      <c r="L36" t="s">
        <v>790</v>
      </c>
      <c r="M36" t="s">
        <v>2123</v>
      </c>
      <c r="N36" t="s">
        <v>2124</v>
      </c>
      <c r="O36" t="s">
        <v>713</v>
      </c>
      <c r="P36" s="123">
        <v>1</v>
      </c>
    </row>
    <row r="37" spans="1:16" x14ac:dyDescent="0.3">
      <c r="A37" t="s">
        <v>692</v>
      </c>
      <c r="B37" t="s">
        <v>2563</v>
      </c>
      <c r="C37" t="s">
        <v>104</v>
      </c>
      <c r="D37" t="s">
        <v>2561</v>
      </c>
      <c r="E37" t="s">
        <v>2562</v>
      </c>
      <c r="F37" t="s">
        <v>124</v>
      </c>
      <c r="G37" t="s">
        <v>2565</v>
      </c>
      <c r="H37" t="s">
        <v>1655</v>
      </c>
      <c r="I37" t="s">
        <v>2567</v>
      </c>
      <c r="J37" t="s">
        <v>1008</v>
      </c>
      <c r="K37" t="s">
        <v>735</v>
      </c>
      <c r="L37" t="s">
        <v>752</v>
      </c>
      <c r="M37" t="s">
        <v>731</v>
      </c>
      <c r="N37" t="s">
        <v>1449</v>
      </c>
      <c r="O37" t="s">
        <v>713</v>
      </c>
      <c r="P37" s="123">
        <v>1</v>
      </c>
    </row>
    <row r="38" spans="1:16" x14ac:dyDescent="0.3">
      <c r="A38" t="s">
        <v>3055</v>
      </c>
      <c r="B38" t="s">
        <v>2382</v>
      </c>
      <c r="C38" t="s">
        <v>104</v>
      </c>
      <c r="D38" t="s">
        <v>2380</v>
      </c>
      <c r="E38" t="s">
        <v>2381</v>
      </c>
      <c r="F38" t="s">
        <v>2384</v>
      </c>
      <c r="G38" t="s">
        <v>2385</v>
      </c>
      <c r="H38" t="s">
        <v>1655</v>
      </c>
      <c r="I38" t="s">
        <v>2390</v>
      </c>
      <c r="J38" t="s">
        <v>789</v>
      </c>
      <c r="K38" t="s">
        <v>963</v>
      </c>
      <c r="L38" t="s">
        <v>752</v>
      </c>
      <c r="M38" t="s">
        <v>731</v>
      </c>
      <c r="N38" t="s">
        <v>2391</v>
      </c>
      <c r="O38" t="s">
        <v>713</v>
      </c>
      <c r="P38" s="123">
        <v>1</v>
      </c>
    </row>
    <row r="39" spans="1:16" x14ac:dyDescent="0.3">
      <c r="A39" t="s">
        <v>182</v>
      </c>
      <c r="P39" s="123">
        <v>32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7507-2553-46C3-A4BE-EC669B3725EB}">
  <sheetPr codeName="Hoja13">
    <tabColor theme="8"/>
  </sheetPr>
  <dimension ref="A1:G276"/>
  <sheetViews>
    <sheetView workbookViewId="0">
      <selection activeCell="H20" sqref="H20"/>
    </sheetView>
  </sheetViews>
  <sheetFormatPr baseColWidth="10" defaultRowHeight="14.4" x14ac:dyDescent="0.3"/>
  <cols>
    <col min="1" max="1" width="17.33203125" bestFit="1" customWidth="1"/>
    <col min="2" max="2" width="26.109375" bestFit="1" customWidth="1"/>
    <col min="3" max="3" width="43.109375" bestFit="1" customWidth="1"/>
    <col min="4" max="4" width="37.88671875" bestFit="1" customWidth="1"/>
    <col min="5" max="5" width="15.88671875" bestFit="1" customWidth="1"/>
    <col min="6" max="7" width="7.6640625" bestFit="1" customWidth="1"/>
  </cols>
  <sheetData>
    <row r="1" spans="1:7" x14ac:dyDescent="0.3">
      <c r="A1" s="10" t="s">
        <v>3</v>
      </c>
      <c r="B1" t="s">
        <v>189</v>
      </c>
    </row>
    <row r="2" spans="1:7" x14ac:dyDescent="0.3">
      <c r="A2" s="10" t="s">
        <v>76</v>
      </c>
      <c r="B2" t="s">
        <v>189</v>
      </c>
    </row>
    <row r="4" spans="1:7" s="1" customFormat="1" x14ac:dyDescent="0.3">
      <c r="A4" s="17" t="s">
        <v>236</v>
      </c>
      <c r="B4" s="17" t="s">
        <v>239</v>
      </c>
      <c r="C4" s="17" t="s">
        <v>96</v>
      </c>
      <c r="D4" s="17" t="s">
        <v>184</v>
      </c>
      <c r="E4" s="17" t="s">
        <v>187</v>
      </c>
      <c r="F4" s="1" t="s">
        <v>183</v>
      </c>
      <c r="G4"/>
    </row>
    <row r="5" spans="1:7" x14ac:dyDescent="0.3">
      <c r="A5" t="s">
        <v>116</v>
      </c>
      <c r="B5" t="s">
        <v>114</v>
      </c>
      <c r="C5" t="s">
        <v>1800</v>
      </c>
      <c r="D5" t="s">
        <v>1799</v>
      </c>
      <c r="E5" t="s">
        <v>110</v>
      </c>
      <c r="F5" s="123">
        <v>1</v>
      </c>
    </row>
    <row r="6" spans="1:7" x14ac:dyDescent="0.3">
      <c r="A6" t="s">
        <v>116</v>
      </c>
      <c r="B6" t="s">
        <v>114</v>
      </c>
      <c r="C6" t="s">
        <v>2629</v>
      </c>
      <c r="D6" t="s">
        <v>2628</v>
      </c>
      <c r="E6" t="s">
        <v>121</v>
      </c>
      <c r="F6" s="123">
        <v>1</v>
      </c>
    </row>
    <row r="7" spans="1:7" x14ac:dyDescent="0.3">
      <c r="A7" t="s">
        <v>116</v>
      </c>
      <c r="B7" t="s">
        <v>114</v>
      </c>
      <c r="C7" t="s">
        <v>2742</v>
      </c>
      <c r="D7" t="s">
        <v>2741</v>
      </c>
      <c r="E7" t="s">
        <v>104</v>
      </c>
      <c r="F7" s="123">
        <v>1</v>
      </c>
    </row>
    <row r="8" spans="1:7" x14ac:dyDescent="0.3">
      <c r="A8" t="s">
        <v>116</v>
      </c>
      <c r="B8" t="s">
        <v>1885</v>
      </c>
      <c r="F8" s="123">
        <v>3</v>
      </c>
    </row>
    <row r="9" spans="1:7" x14ac:dyDescent="0.3">
      <c r="A9" t="s">
        <v>116</v>
      </c>
      <c r="B9" t="s">
        <v>126</v>
      </c>
      <c r="C9" t="s">
        <v>2641</v>
      </c>
      <c r="D9" t="s">
        <v>2640</v>
      </c>
      <c r="E9" t="s">
        <v>122</v>
      </c>
      <c r="F9" s="123">
        <v>1</v>
      </c>
    </row>
    <row r="10" spans="1:7" x14ac:dyDescent="0.3">
      <c r="A10" t="s">
        <v>116</v>
      </c>
      <c r="B10" t="s">
        <v>126</v>
      </c>
      <c r="C10" t="s">
        <v>195</v>
      </c>
      <c r="D10" t="s">
        <v>194</v>
      </c>
      <c r="E10" t="s">
        <v>115</v>
      </c>
      <c r="F10" s="123">
        <v>1</v>
      </c>
    </row>
    <row r="11" spans="1:7" x14ac:dyDescent="0.3">
      <c r="A11" t="s">
        <v>116</v>
      </c>
      <c r="B11" t="s">
        <v>126</v>
      </c>
      <c r="C11" t="s">
        <v>1308</v>
      </c>
      <c r="D11" t="s">
        <v>1307</v>
      </c>
      <c r="E11" t="s">
        <v>110</v>
      </c>
      <c r="F11" s="123">
        <v>1</v>
      </c>
    </row>
    <row r="12" spans="1:7" x14ac:dyDescent="0.3">
      <c r="A12" t="s">
        <v>116</v>
      </c>
      <c r="B12" t="s">
        <v>126</v>
      </c>
      <c r="C12" t="s">
        <v>1352</v>
      </c>
      <c r="D12" t="s">
        <v>1351</v>
      </c>
      <c r="E12" t="s">
        <v>115</v>
      </c>
      <c r="F12" s="123">
        <v>1</v>
      </c>
    </row>
    <row r="13" spans="1:7" x14ac:dyDescent="0.3">
      <c r="A13" t="s">
        <v>116</v>
      </c>
      <c r="B13" t="s">
        <v>126</v>
      </c>
      <c r="C13" t="s">
        <v>1427</v>
      </c>
      <c r="D13" t="s">
        <v>1426</v>
      </c>
      <c r="E13" t="s">
        <v>115</v>
      </c>
      <c r="F13" s="123">
        <v>1</v>
      </c>
    </row>
    <row r="14" spans="1:7" x14ac:dyDescent="0.3">
      <c r="A14" t="s">
        <v>116</v>
      </c>
      <c r="B14" t="s">
        <v>126</v>
      </c>
      <c r="C14" t="s">
        <v>1440</v>
      </c>
      <c r="D14" t="s">
        <v>1439</v>
      </c>
      <c r="E14" t="s">
        <v>110</v>
      </c>
      <c r="F14" s="123">
        <v>1</v>
      </c>
    </row>
    <row r="15" spans="1:7" x14ac:dyDescent="0.3">
      <c r="A15" t="s">
        <v>116</v>
      </c>
      <c r="B15" t="s">
        <v>126</v>
      </c>
      <c r="C15" t="s">
        <v>1515</v>
      </c>
      <c r="D15" t="s">
        <v>1514</v>
      </c>
      <c r="E15" t="s">
        <v>122</v>
      </c>
      <c r="F15" s="123">
        <v>1</v>
      </c>
    </row>
    <row r="16" spans="1:7" x14ac:dyDescent="0.3">
      <c r="A16" t="s">
        <v>116</v>
      </c>
      <c r="B16" t="s">
        <v>126</v>
      </c>
      <c r="C16" t="s">
        <v>3004</v>
      </c>
      <c r="D16" t="s">
        <v>1522</v>
      </c>
      <c r="E16" t="s">
        <v>110</v>
      </c>
      <c r="F16" s="123">
        <v>1</v>
      </c>
    </row>
    <row r="17" spans="1:6" x14ac:dyDescent="0.3">
      <c r="A17" t="s">
        <v>116</v>
      </c>
      <c r="B17" t="s">
        <v>1578</v>
      </c>
      <c r="F17" s="123">
        <v>8</v>
      </c>
    </row>
    <row r="18" spans="1:6" x14ac:dyDescent="0.3">
      <c r="A18" t="s">
        <v>116</v>
      </c>
      <c r="B18" t="s">
        <v>2767</v>
      </c>
      <c r="C18" t="s">
        <v>2764</v>
      </c>
      <c r="D18" t="s">
        <v>2763</v>
      </c>
      <c r="E18" t="s">
        <v>104</v>
      </c>
      <c r="F18" s="123">
        <v>1</v>
      </c>
    </row>
    <row r="19" spans="1:6" x14ac:dyDescent="0.3">
      <c r="A19" t="s">
        <v>116</v>
      </c>
      <c r="B19" t="s">
        <v>2772</v>
      </c>
      <c r="F19" s="123">
        <v>1</v>
      </c>
    </row>
    <row r="20" spans="1:6" x14ac:dyDescent="0.3">
      <c r="A20" t="s">
        <v>116</v>
      </c>
      <c r="B20" t="s">
        <v>2101</v>
      </c>
      <c r="C20" t="s">
        <v>2097</v>
      </c>
      <c r="D20" t="s">
        <v>2096</v>
      </c>
      <c r="E20" t="s">
        <v>117</v>
      </c>
      <c r="F20" s="123">
        <v>1</v>
      </c>
    </row>
    <row r="21" spans="1:6" x14ac:dyDescent="0.3">
      <c r="A21" t="s">
        <v>116</v>
      </c>
      <c r="B21" t="s">
        <v>2162</v>
      </c>
      <c r="F21" s="123">
        <v>1</v>
      </c>
    </row>
    <row r="22" spans="1:6" x14ac:dyDescent="0.3">
      <c r="A22" t="s">
        <v>116</v>
      </c>
      <c r="B22" t="s">
        <v>745</v>
      </c>
      <c r="C22" t="s">
        <v>2371</v>
      </c>
      <c r="D22" t="s">
        <v>2370</v>
      </c>
      <c r="E22" t="s">
        <v>121</v>
      </c>
      <c r="F22" s="123">
        <v>1</v>
      </c>
    </row>
    <row r="23" spans="1:6" x14ac:dyDescent="0.3">
      <c r="A23" t="s">
        <v>116</v>
      </c>
      <c r="B23" t="s">
        <v>745</v>
      </c>
      <c r="C23" t="s">
        <v>742</v>
      </c>
      <c r="D23" t="s">
        <v>741</v>
      </c>
      <c r="E23" t="s">
        <v>117</v>
      </c>
      <c r="F23" s="123">
        <v>1</v>
      </c>
    </row>
    <row r="24" spans="1:6" x14ac:dyDescent="0.3">
      <c r="A24" t="s">
        <v>116</v>
      </c>
      <c r="B24" t="s">
        <v>745</v>
      </c>
      <c r="C24" t="s">
        <v>805</v>
      </c>
      <c r="D24" t="s">
        <v>804</v>
      </c>
      <c r="E24" t="s">
        <v>121</v>
      </c>
      <c r="F24" s="123">
        <v>1</v>
      </c>
    </row>
    <row r="25" spans="1:6" x14ac:dyDescent="0.3">
      <c r="A25" t="s">
        <v>116</v>
      </c>
      <c r="B25" t="s">
        <v>745</v>
      </c>
      <c r="C25" t="s">
        <v>1453</v>
      </c>
      <c r="D25" t="s">
        <v>1452</v>
      </c>
      <c r="E25" t="s">
        <v>122</v>
      </c>
      <c r="F25" s="123">
        <v>1</v>
      </c>
    </row>
    <row r="26" spans="1:6" x14ac:dyDescent="0.3">
      <c r="A26" t="s">
        <v>116</v>
      </c>
      <c r="B26" t="s">
        <v>745</v>
      </c>
      <c r="C26" t="s">
        <v>1604</v>
      </c>
      <c r="D26" t="s">
        <v>1603</v>
      </c>
      <c r="E26" t="s">
        <v>121</v>
      </c>
      <c r="F26" s="123">
        <v>1</v>
      </c>
    </row>
    <row r="27" spans="1:6" x14ac:dyDescent="0.3">
      <c r="A27" t="s">
        <v>116</v>
      </c>
      <c r="B27" t="s">
        <v>745</v>
      </c>
      <c r="C27" t="s">
        <v>1622</v>
      </c>
      <c r="D27" t="s">
        <v>1621</v>
      </c>
      <c r="E27" t="s">
        <v>117</v>
      </c>
      <c r="F27" s="123">
        <v>1</v>
      </c>
    </row>
    <row r="28" spans="1:6" x14ac:dyDescent="0.3">
      <c r="A28" t="s">
        <v>116</v>
      </c>
      <c r="B28" t="s">
        <v>745</v>
      </c>
      <c r="C28" t="s">
        <v>2260</v>
      </c>
      <c r="D28" t="s">
        <v>2259</v>
      </c>
      <c r="E28" t="s">
        <v>115</v>
      </c>
      <c r="F28" s="123">
        <v>1</v>
      </c>
    </row>
    <row r="29" spans="1:6" x14ac:dyDescent="0.3">
      <c r="A29" t="s">
        <v>116</v>
      </c>
      <c r="B29" t="s">
        <v>745</v>
      </c>
      <c r="C29" t="s">
        <v>2282</v>
      </c>
      <c r="D29" t="s">
        <v>2281</v>
      </c>
      <c r="E29" t="s">
        <v>115</v>
      </c>
      <c r="F29" s="123">
        <v>1</v>
      </c>
    </row>
    <row r="30" spans="1:6" x14ac:dyDescent="0.3">
      <c r="A30" t="s">
        <v>116</v>
      </c>
      <c r="B30" t="s">
        <v>745</v>
      </c>
      <c r="C30" t="s">
        <v>2309</v>
      </c>
      <c r="D30" t="s">
        <v>2308</v>
      </c>
      <c r="E30" t="s">
        <v>115</v>
      </c>
      <c r="F30" s="123">
        <v>1</v>
      </c>
    </row>
    <row r="31" spans="1:6" x14ac:dyDescent="0.3">
      <c r="A31" t="s">
        <v>116</v>
      </c>
      <c r="B31" t="s">
        <v>745</v>
      </c>
      <c r="C31" t="s">
        <v>2357</v>
      </c>
      <c r="D31" t="s">
        <v>2356</v>
      </c>
      <c r="E31" t="s">
        <v>104</v>
      </c>
      <c r="F31" s="123">
        <v>1</v>
      </c>
    </row>
    <row r="32" spans="1:6" x14ac:dyDescent="0.3">
      <c r="A32" t="s">
        <v>116</v>
      </c>
      <c r="B32" t="s">
        <v>1579</v>
      </c>
      <c r="F32" s="123">
        <v>10</v>
      </c>
    </row>
    <row r="33" spans="1:6" x14ac:dyDescent="0.3">
      <c r="A33" t="s">
        <v>116</v>
      </c>
      <c r="B33" t="s">
        <v>1972</v>
      </c>
      <c r="C33" t="s">
        <v>547</v>
      </c>
      <c r="D33" t="s">
        <v>545</v>
      </c>
      <c r="E33" t="s">
        <v>110</v>
      </c>
      <c r="F33" s="123">
        <v>1</v>
      </c>
    </row>
    <row r="34" spans="1:6" x14ac:dyDescent="0.3">
      <c r="A34" t="s">
        <v>116</v>
      </c>
      <c r="B34" t="s">
        <v>2011</v>
      </c>
      <c r="F34" s="123">
        <v>1</v>
      </c>
    </row>
    <row r="35" spans="1:6" x14ac:dyDescent="0.3">
      <c r="A35" t="s">
        <v>116</v>
      </c>
      <c r="B35" t="s">
        <v>2035</v>
      </c>
      <c r="C35" t="s">
        <v>526</v>
      </c>
      <c r="D35" t="s">
        <v>524</v>
      </c>
      <c r="E35" t="s">
        <v>121</v>
      </c>
      <c r="F35" s="123">
        <v>1</v>
      </c>
    </row>
    <row r="36" spans="1:6" x14ac:dyDescent="0.3">
      <c r="A36" t="s">
        <v>116</v>
      </c>
      <c r="B36" t="s">
        <v>2052</v>
      </c>
      <c r="F36" s="123">
        <v>1</v>
      </c>
    </row>
    <row r="37" spans="1:6" x14ac:dyDescent="0.3">
      <c r="A37" t="s">
        <v>116</v>
      </c>
      <c r="B37" t="s">
        <v>557</v>
      </c>
      <c r="C37" t="s">
        <v>3020</v>
      </c>
      <c r="D37" t="s">
        <v>3019</v>
      </c>
      <c r="E37" t="s">
        <v>117</v>
      </c>
      <c r="F37" s="123">
        <v>1</v>
      </c>
    </row>
    <row r="38" spans="1:6" x14ac:dyDescent="0.3">
      <c r="A38" t="s">
        <v>116</v>
      </c>
      <c r="B38" t="s">
        <v>3028</v>
      </c>
      <c r="F38" s="123">
        <v>1</v>
      </c>
    </row>
    <row r="39" spans="1:6" x14ac:dyDescent="0.3">
      <c r="A39" t="s">
        <v>1573</v>
      </c>
      <c r="F39" s="123">
        <v>26</v>
      </c>
    </row>
    <row r="40" spans="1:6" x14ac:dyDescent="0.3">
      <c r="A40" t="s">
        <v>118</v>
      </c>
      <c r="B40" t="s">
        <v>135</v>
      </c>
      <c r="C40" t="s">
        <v>289</v>
      </c>
      <c r="D40" t="s">
        <v>288</v>
      </c>
      <c r="E40" t="s">
        <v>122</v>
      </c>
      <c r="F40" s="123">
        <v>1</v>
      </c>
    </row>
    <row r="41" spans="1:6" x14ac:dyDescent="0.3">
      <c r="A41" t="s">
        <v>118</v>
      </c>
      <c r="B41" t="s">
        <v>135</v>
      </c>
      <c r="C41" t="s">
        <v>830</v>
      </c>
      <c r="D41" t="s">
        <v>829</v>
      </c>
      <c r="E41" t="s">
        <v>115</v>
      </c>
      <c r="F41" s="123">
        <v>1</v>
      </c>
    </row>
    <row r="42" spans="1:6" x14ac:dyDescent="0.3">
      <c r="A42" t="s">
        <v>118</v>
      </c>
      <c r="B42" t="s">
        <v>135</v>
      </c>
      <c r="C42" t="s">
        <v>950</v>
      </c>
      <c r="D42" t="s">
        <v>949</v>
      </c>
      <c r="E42" t="s">
        <v>121</v>
      </c>
      <c r="F42" s="123">
        <v>1</v>
      </c>
    </row>
    <row r="43" spans="1:6" x14ac:dyDescent="0.3">
      <c r="A43" t="s">
        <v>118</v>
      </c>
      <c r="B43" t="s">
        <v>135</v>
      </c>
      <c r="C43" t="s">
        <v>974</v>
      </c>
      <c r="D43" t="s">
        <v>973</v>
      </c>
      <c r="E43" t="s">
        <v>121</v>
      </c>
      <c r="F43" s="123">
        <v>1</v>
      </c>
    </row>
    <row r="44" spans="1:6" x14ac:dyDescent="0.3">
      <c r="A44" t="s">
        <v>118</v>
      </c>
      <c r="B44" t="s">
        <v>135</v>
      </c>
      <c r="C44" t="s">
        <v>1055</v>
      </c>
      <c r="D44" t="s">
        <v>1054</v>
      </c>
      <c r="E44" t="s">
        <v>110</v>
      </c>
      <c r="F44" s="123">
        <v>1</v>
      </c>
    </row>
    <row r="45" spans="1:6" x14ac:dyDescent="0.3">
      <c r="A45" t="s">
        <v>118</v>
      </c>
      <c r="B45" t="s">
        <v>135</v>
      </c>
      <c r="C45" t="s">
        <v>1773</v>
      </c>
      <c r="D45" t="s">
        <v>1772</v>
      </c>
      <c r="E45" t="s">
        <v>122</v>
      </c>
      <c r="F45" s="123">
        <v>1</v>
      </c>
    </row>
    <row r="46" spans="1:6" x14ac:dyDescent="0.3">
      <c r="A46" t="s">
        <v>118</v>
      </c>
      <c r="B46" t="s">
        <v>135</v>
      </c>
      <c r="C46" t="s">
        <v>1782</v>
      </c>
      <c r="D46" t="s">
        <v>1781</v>
      </c>
      <c r="E46" t="s">
        <v>122</v>
      </c>
      <c r="F46" s="123">
        <v>1</v>
      </c>
    </row>
    <row r="47" spans="1:6" x14ac:dyDescent="0.3">
      <c r="A47" t="s">
        <v>118</v>
      </c>
      <c r="B47" t="s">
        <v>135</v>
      </c>
      <c r="C47" t="s">
        <v>1876</v>
      </c>
      <c r="D47" t="s">
        <v>252</v>
      </c>
      <c r="E47" t="s">
        <v>104</v>
      </c>
      <c r="F47" s="123">
        <v>1</v>
      </c>
    </row>
    <row r="48" spans="1:6" x14ac:dyDescent="0.3">
      <c r="A48" t="s">
        <v>118</v>
      </c>
      <c r="B48" t="s">
        <v>135</v>
      </c>
      <c r="C48" t="s">
        <v>2839</v>
      </c>
      <c r="D48" t="s">
        <v>2838</v>
      </c>
      <c r="E48" t="s">
        <v>122</v>
      </c>
      <c r="F48" s="123">
        <v>1</v>
      </c>
    </row>
    <row r="49" spans="1:6" x14ac:dyDescent="0.3">
      <c r="A49" t="s">
        <v>118</v>
      </c>
      <c r="B49" t="s">
        <v>1580</v>
      </c>
      <c r="F49" s="123">
        <v>9</v>
      </c>
    </row>
    <row r="50" spans="1:6" x14ac:dyDescent="0.3">
      <c r="A50" t="s">
        <v>118</v>
      </c>
      <c r="B50" t="s">
        <v>123</v>
      </c>
      <c r="C50" t="s">
        <v>959</v>
      </c>
      <c r="D50" t="s">
        <v>958</v>
      </c>
      <c r="E50" t="s">
        <v>115</v>
      </c>
      <c r="F50" s="123">
        <v>1</v>
      </c>
    </row>
    <row r="51" spans="1:6" x14ac:dyDescent="0.3">
      <c r="A51" t="s">
        <v>118</v>
      </c>
      <c r="B51" t="s">
        <v>123</v>
      </c>
      <c r="C51" t="s">
        <v>564</v>
      </c>
      <c r="D51" t="s">
        <v>562</v>
      </c>
      <c r="E51" t="s">
        <v>121</v>
      </c>
      <c r="F51" s="123">
        <v>1</v>
      </c>
    </row>
    <row r="52" spans="1:6" x14ac:dyDescent="0.3">
      <c r="A52" t="s">
        <v>118</v>
      </c>
      <c r="B52" t="s">
        <v>123</v>
      </c>
      <c r="C52" t="s">
        <v>991</v>
      </c>
      <c r="D52" t="s">
        <v>990</v>
      </c>
      <c r="E52" t="s">
        <v>115</v>
      </c>
      <c r="F52" s="123">
        <v>1</v>
      </c>
    </row>
    <row r="53" spans="1:6" x14ac:dyDescent="0.3">
      <c r="A53" t="s">
        <v>118</v>
      </c>
      <c r="B53" t="s">
        <v>123</v>
      </c>
      <c r="C53" t="s">
        <v>1111</v>
      </c>
      <c r="D53" t="s">
        <v>1110</v>
      </c>
      <c r="E53" t="s">
        <v>117</v>
      </c>
      <c r="F53" s="123">
        <v>1</v>
      </c>
    </row>
    <row r="54" spans="1:6" x14ac:dyDescent="0.3">
      <c r="A54" t="s">
        <v>118</v>
      </c>
      <c r="B54" t="s">
        <v>123</v>
      </c>
      <c r="C54" t="s">
        <v>1134</v>
      </c>
      <c r="D54" t="s">
        <v>1133</v>
      </c>
      <c r="E54" t="s">
        <v>104</v>
      </c>
      <c r="F54" s="123">
        <v>1</v>
      </c>
    </row>
    <row r="55" spans="1:6" x14ac:dyDescent="0.3">
      <c r="A55" t="s">
        <v>118</v>
      </c>
      <c r="B55" t="s">
        <v>123</v>
      </c>
      <c r="C55" t="s">
        <v>1153</v>
      </c>
      <c r="D55" t="s">
        <v>1152</v>
      </c>
      <c r="E55" t="s">
        <v>117</v>
      </c>
      <c r="F55" s="123">
        <v>1</v>
      </c>
    </row>
    <row r="56" spans="1:6" x14ac:dyDescent="0.3">
      <c r="A56" t="s">
        <v>118</v>
      </c>
      <c r="B56" t="s">
        <v>123</v>
      </c>
      <c r="C56" t="s">
        <v>1165</v>
      </c>
      <c r="D56" t="s">
        <v>1164</v>
      </c>
      <c r="E56" t="s">
        <v>122</v>
      </c>
      <c r="F56" s="123">
        <v>1</v>
      </c>
    </row>
    <row r="57" spans="1:6" x14ac:dyDescent="0.3">
      <c r="A57" t="s">
        <v>118</v>
      </c>
      <c r="B57" t="s">
        <v>123</v>
      </c>
      <c r="C57" t="s">
        <v>1178</v>
      </c>
      <c r="D57" t="s">
        <v>1177</v>
      </c>
      <c r="E57" t="s">
        <v>104</v>
      </c>
      <c r="F57" s="123">
        <v>1</v>
      </c>
    </row>
    <row r="58" spans="1:6" x14ac:dyDescent="0.3">
      <c r="A58" t="s">
        <v>118</v>
      </c>
      <c r="B58" t="s">
        <v>123</v>
      </c>
      <c r="C58" t="s">
        <v>1196</v>
      </c>
      <c r="D58" t="s">
        <v>1195</v>
      </c>
      <c r="E58" t="s">
        <v>122</v>
      </c>
      <c r="F58" s="123">
        <v>1</v>
      </c>
    </row>
    <row r="59" spans="1:6" x14ac:dyDescent="0.3">
      <c r="A59" t="s">
        <v>118</v>
      </c>
      <c r="B59" t="s">
        <v>123</v>
      </c>
      <c r="C59" t="s">
        <v>1206</v>
      </c>
      <c r="D59" t="s">
        <v>1205</v>
      </c>
      <c r="E59" t="s">
        <v>117</v>
      </c>
      <c r="F59" s="123">
        <v>1</v>
      </c>
    </row>
    <row r="60" spans="1:6" x14ac:dyDescent="0.3">
      <c r="A60" t="s">
        <v>118</v>
      </c>
      <c r="B60" t="s">
        <v>123</v>
      </c>
      <c r="C60" t="s">
        <v>1217</v>
      </c>
      <c r="D60" t="s">
        <v>1216</v>
      </c>
      <c r="E60" t="s">
        <v>104</v>
      </c>
      <c r="F60" s="123">
        <v>1</v>
      </c>
    </row>
    <row r="61" spans="1:6" x14ac:dyDescent="0.3">
      <c r="A61" t="s">
        <v>118</v>
      </c>
      <c r="B61" t="s">
        <v>123</v>
      </c>
      <c r="C61" t="s">
        <v>1226</v>
      </c>
      <c r="D61" t="s">
        <v>1225</v>
      </c>
      <c r="E61" t="s">
        <v>122</v>
      </c>
      <c r="F61" s="123">
        <v>1</v>
      </c>
    </row>
    <row r="62" spans="1:6" x14ac:dyDescent="0.3">
      <c r="A62" t="s">
        <v>118</v>
      </c>
      <c r="B62" t="s">
        <v>123</v>
      </c>
      <c r="C62" t="s">
        <v>1239</v>
      </c>
      <c r="D62" t="s">
        <v>1238</v>
      </c>
      <c r="E62" t="s">
        <v>121</v>
      </c>
      <c r="F62" s="123">
        <v>1</v>
      </c>
    </row>
    <row r="63" spans="1:6" x14ac:dyDescent="0.3">
      <c r="A63" t="s">
        <v>118</v>
      </c>
      <c r="B63" t="s">
        <v>123</v>
      </c>
      <c r="C63" t="s">
        <v>1327</v>
      </c>
      <c r="D63" t="s">
        <v>1326</v>
      </c>
      <c r="E63" t="s">
        <v>110</v>
      </c>
      <c r="F63" s="123">
        <v>1</v>
      </c>
    </row>
    <row r="64" spans="1:6" x14ac:dyDescent="0.3">
      <c r="A64" t="s">
        <v>118</v>
      </c>
      <c r="B64" t="s">
        <v>123</v>
      </c>
      <c r="C64" t="s">
        <v>1465</v>
      </c>
      <c r="D64" t="s">
        <v>1464</v>
      </c>
      <c r="E64" t="s">
        <v>115</v>
      </c>
      <c r="F64" s="123">
        <v>1</v>
      </c>
    </row>
    <row r="65" spans="1:6" x14ac:dyDescent="0.3">
      <c r="A65" t="s">
        <v>118</v>
      </c>
      <c r="B65" t="s">
        <v>123</v>
      </c>
      <c r="C65" t="s">
        <v>2496</v>
      </c>
      <c r="D65" t="s">
        <v>2495</v>
      </c>
      <c r="E65" t="s">
        <v>115</v>
      </c>
      <c r="F65" s="123">
        <v>1</v>
      </c>
    </row>
    <row r="66" spans="1:6" x14ac:dyDescent="0.3">
      <c r="A66" t="s">
        <v>118</v>
      </c>
      <c r="B66" t="s">
        <v>123</v>
      </c>
      <c r="C66" t="s">
        <v>2830</v>
      </c>
      <c r="D66" t="s">
        <v>2829</v>
      </c>
      <c r="E66" t="s">
        <v>117</v>
      </c>
      <c r="F66" s="123">
        <v>1</v>
      </c>
    </row>
    <row r="67" spans="1:6" x14ac:dyDescent="0.3">
      <c r="A67" t="s">
        <v>118</v>
      </c>
      <c r="B67" t="s">
        <v>123</v>
      </c>
      <c r="C67" t="s">
        <v>2938</v>
      </c>
      <c r="D67" t="s">
        <v>2937</v>
      </c>
      <c r="E67" t="s">
        <v>110</v>
      </c>
      <c r="F67" s="123">
        <v>1</v>
      </c>
    </row>
    <row r="68" spans="1:6" x14ac:dyDescent="0.3">
      <c r="A68" t="s">
        <v>118</v>
      </c>
      <c r="B68" t="s">
        <v>1581</v>
      </c>
      <c r="F68" s="123">
        <v>18</v>
      </c>
    </row>
    <row r="69" spans="1:6" x14ac:dyDescent="0.3">
      <c r="A69" t="s">
        <v>118</v>
      </c>
      <c r="B69" t="s">
        <v>1125</v>
      </c>
      <c r="C69" t="s">
        <v>1122</v>
      </c>
      <c r="D69" t="s">
        <v>1121</v>
      </c>
      <c r="E69" t="s">
        <v>117</v>
      </c>
      <c r="F69" s="123">
        <v>1</v>
      </c>
    </row>
    <row r="70" spans="1:6" x14ac:dyDescent="0.3">
      <c r="A70" t="s">
        <v>118</v>
      </c>
      <c r="B70" t="s">
        <v>1125</v>
      </c>
      <c r="C70" t="s">
        <v>1143</v>
      </c>
      <c r="D70" t="s">
        <v>1142</v>
      </c>
      <c r="E70" t="s">
        <v>117</v>
      </c>
      <c r="F70" s="123">
        <v>1</v>
      </c>
    </row>
    <row r="71" spans="1:6" x14ac:dyDescent="0.3">
      <c r="A71" t="s">
        <v>118</v>
      </c>
      <c r="B71" t="s">
        <v>1125</v>
      </c>
      <c r="C71" t="s">
        <v>2180</v>
      </c>
      <c r="D71" t="s">
        <v>2179</v>
      </c>
      <c r="E71" t="s">
        <v>110</v>
      </c>
      <c r="F71" s="123">
        <v>1</v>
      </c>
    </row>
    <row r="72" spans="1:6" x14ac:dyDescent="0.3">
      <c r="A72" t="s">
        <v>118</v>
      </c>
      <c r="B72" t="s">
        <v>1125</v>
      </c>
      <c r="C72" t="s">
        <v>2191</v>
      </c>
      <c r="D72" t="s">
        <v>2190</v>
      </c>
      <c r="E72" t="s">
        <v>122</v>
      </c>
      <c r="F72" s="123">
        <v>1</v>
      </c>
    </row>
    <row r="73" spans="1:6" x14ac:dyDescent="0.3">
      <c r="A73" t="s">
        <v>118</v>
      </c>
      <c r="B73" t="s">
        <v>1125</v>
      </c>
      <c r="C73" t="s">
        <v>2206</v>
      </c>
      <c r="D73" t="s">
        <v>2205</v>
      </c>
      <c r="E73" t="s">
        <v>122</v>
      </c>
      <c r="F73" s="123">
        <v>1</v>
      </c>
    </row>
    <row r="74" spans="1:6" x14ac:dyDescent="0.3">
      <c r="A74" t="s">
        <v>118</v>
      </c>
      <c r="B74" t="s">
        <v>1125</v>
      </c>
      <c r="C74" t="s">
        <v>2269</v>
      </c>
      <c r="D74" t="s">
        <v>2268</v>
      </c>
      <c r="E74" t="s">
        <v>115</v>
      </c>
      <c r="F74" s="123">
        <v>1</v>
      </c>
    </row>
    <row r="75" spans="1:6" x14ac:dyDescent="0.3">
      <c r="A75" t="s">
        <v>118</v>
      </c>
      <c r="B75" t="s">
        <v>1125</v>
      </c>
      <c r="C75" t="s">
        <v>2336</v>
      </c>
      <c r="D75" t="s">
        <v>2335</v>
      </c>
      <c r="E75" t="s">
        <v>122</v>
      </c>
      <c r="F75" s="123">
        <v>1</v>
      </c>
    </row>
    <row r="76" spans="1:6" x14ac:dyDescent="0.3">
      <c r="A76" t="s">
        <v>118</v>
      </c>
      <c r="B76" t="s">
        <v>1125</v>
      </c>
      <c r="C76" t="s">
        <v>2399</v>
      </c>
      <c r="D76" t="s">
        <v>2398</v>
      </c>
      <c r="E76" t="s">
        <v>115</v>
      </c>
      <c r="F76" s="123">
        <v>1</v>
      </c>
    </row>
    <row r="77" spans="1:6" x14ac:dyDescent="0.3">
      <c r="A77" t="s">
        <v>118</v>
      </c>
      <c r="B77" t="s">
        <v>1125</v>
      </c>
      <c r="C77" t="s">
        <v>2410</v>
      </c>
      <c r="D77" t="s">
        <v>2409</v>
      </c>
      <c r="E77" t="s">
        <v>122</v>
      </c>
      <c r="F77" s="123">
        <v>1</v>
      </c>
    </row>
    <row r="78" spans="1:6" x14ac:dyDescent="0.3">
      <c r="A78" t="s">
        <v>118</v>
      </c>
      <c r="B78" t="s">
        <v>1125</v>
      </c>
      <c r="C78" t="s">
        <v>2418</v>
      </c>
      <c r="D78" t="s">
        <v>2417</v>
      </c>
      <c r="E78" t="s">
        <v>115</v>
      </c>
      <c r="F78" s="123">
        <v>1</v>
      </c>
    </row>
    <row r="79" spans="1:6" x14ac:dyDescent="0.3">
      <c r="A79" t="s">
        <v>118</v>
      </c>
      <c r="B79" t="s">
        <v>1125</v>
      </c>
      <c r="C79" t="s">
        <v>2515</v>
      </c>
      <c r="D79" t="s">
        <v>2514</v>
      </c>
      <c r="E79" t="s">
        <v>115</v>
      </c>
      <c r="F79" s="123">
        <v>1</v>
      </c>
    </row>
    <row r="80" spans="1:6" x14ac:dyDescent="0.3">
      <c r="A80" t="s">
        <v>118</v>
      </c>
      <c r="B80" t="s">
        <v>1125</v>
      </c>
      <c r="C80" t="s">
        <v>2531</v>
      </c>
      <c r="D80" t="s">
        <v>2530</v>
      </c>
      <c r="E80" t="s">
        <v>104</v>
      </c>
      <c r="F80" s="123">
        <v>1</v>
      </c>
    </row>
    <row r="81" spans="1:6" x14ac:dyDescent="0.3">
      <c r="A81" t="s">
        <v>118</v>
      </c>
      <c r="B81" t="s">
        <v>1125</v>
      </c>
      <c r="C81" t="s">
        <v>2542</v>
      </c>
      <c r="D81" t="s">
        <v>2541</v>
      </c>
      <c r="E81" t="s">
        <v>110</v>
      </c>
      <c r="F81" s="123">
        <v>1</v>
      </c>
    </row>
    <row r="82" spans="1:6" x14ac:dyDescent="0.3">
      <c r="A82" t="s">
        <v>118</v>
      </c>
      <c r="B82" t="s">
        <v>1125</v>
      </c>
      <c r="C82" t="s">
        <v>2620</v>
      </c>
      <c r="D82" t="s">
        <v>2619</v>
      </c>
      <c r="E82" t="s">
        <v>104</v>
      </c>
      <c r="F82" s="123">
        <v>1</v>
      </c>
    </row>
    <row r="83" spans="1:6" x14ac:dyDescent="0.3">
      <c r="A83" t="s">
        <v>118</v>
      </c>
      <c r="B83" t="s">
        <v>1582</v>
      </c>
      <c r="F83" s="123">
        <v>14</v>
      </c>
    </row>
    <row r="84" spans="1:6" x14ac:dyDescent="0.3">
      <c r="A84" t="s">
        <v>118</v>
      </c>
      <c r="B84" t="s">
        <v>162</v>
      </c>
      <c r="C84" t="s">
        <v>3034</v>
      </c>
      <c r="D84" t="s">
        <v>3033</v>
      </c>
      <c r="E84" t="s">
        <v>104</v>
      </c>
      <c r="F84" s="123">
        <v>1</v>
      </c>
    </row>
    <row r="85" spans="1:6" x14ac:dyDescent="0.3">
      <c r="A85" t="s">
        <v>118</v>
      </c>
      <c r="B85" t="s">
        <v>162</v>
      </c>
      <c r="C85" t="s">
        <v>758</v>
      </c>
      <c r="D85" t="s">
        <v>757</v>
      </c>
      <c r="E85" t="s">
        <v>117</v>
      </c>
      <c r="F85" s="123">
        <v>1</v>
      </c>
    </row>
    <row r="86" spans="1:6" x14ac:dyDescent="0.3">
      <c r="A86" t="s">
        <v>118</v>
      </c>
      <c r="B86" t="s">
        <v>162</v>
      </c>
      <c r="C86" t="s">
        <v>769</v>
      </c>
      <c r="D86" t="s">
        <v>768</v>
      </c>
      <c r="E86" t="s">
        <v>104</v>
      </c>
      <c r="F86" s="123">
        <v>1</v>
      </c>
    </row>
    <row r="87" spans="1:6" x14ac:dyDescent="0.3">
      <c r="A87" t="s">
        <v>118</v>
      </c>
      <c r="B87" t="s">
        <v>162</v>
      </c>
      <c r="C87" t="s">
        <v>795</v>
      </c>
      <c r="D87" t="s">
        <v>794</v>
      </c>
      <c r="E87" t="s">
        <v>117</v>
      </c>
      <c r="F87" s="123">
        <v>1</v>
      </c>
    </row>
    <row r="88" spans="1:6" x14ac:dyDescent="0.3">
      <c r="A88" t="s">
        <v>118</v>
      </c>
      <c r="B88" t="s">
        <v>162</v>
      </c>
      <c r="C88" t="s">
        <v>1278</v>
      </c>
      <c r="D88" t="s">
        <v>1277</v>
      </c>
      <c r="E88" t="s">
        <v>104</v>
      </c>
      <c r="F88" s="123">
        <v>1</v>
      </c>
    </row>
    <row r="89" spans="1:6" x14ac:dyDescent="0.3">
      <c r="A89" t="s">
        <v>118</v>
      </c>
      <c r="B89" t="s">
        <v>162</v>
      </c>
      <c r="C89" t="s">
        <v>1809</v>
      </c>
      <c r="D89" t="s">
        <v>1808</v>
      </c>
      <c r="E89" t="s">
        <v>115</v>
      </c>
      <c r="F89" s="123">
        <v>1</v>
      </c>
    </row>
    <row r="90" spans="1:6" x14ac:dyDescent="0.3">
      <c r="A90" t="s">
        <v>118</v>
      </c>
      <c r="B90" t="s">
        <v>1583</v>
      </c>
      <c r="F90" s="123">
        <v>6</v>
      </c>
    </row>
    <row r="91" spans="1:6" x14ac:dyDescent="0.3">
      <c r="A91" t="s">
        <v>1575</v>
      </c>
      <c r="F91" s="123">
        <v>47</v>
      </c>
    </row>
    <row r="92" spans="1:6" x14ac:dyDescent="0.3">
      <c r="A92" t="s">
        <v>1866</v>
      </c>
      <c r="B92" t="s">
        <v>1851</v>
      </c>
      <c r="C92" t="s">
        <v>263</v>
      </c>
      <c r="D92" t="s">
        <v>176</v>
      </c>
      <c r="E92" t="s">
        <v>110</v>
      </c>
      <c r="F92" s="123">
        <v>1</v>
      </c>
    </row>
    <row r="93" spans="1:6" x14ac:dyDescent="0.3">
      <c r="A93" t="s">
        <v>1866</v>
      </c>
      <c r="B93" t="s">
        <v>1886</v>
      </c>
      <c r="F93" s="123">
        <v>1</v>
      </c>
    </row>
    <row r="94" spans="1:6" x14ac:dyDescent="0.3">
      <c r="A94" t="s">
        <v>1866</v>
      </c>
      <c r="B94" t="s">
        <v>1983</v>
      </c>
      <c r="C94" t="s">
        <v>536</v>
      </c>
      <c r="D94" t="s">
        <v>1981</v>
      </c>
      <c r="E94" t="s">
        <v>115</v>
      </c>
      <c r="F94" s="123">
        <v>1</v>
      </c>
    </row>
    <row r="95" spans="1:6" x14ac:dyDescent="0.3">
      <c r="A95" t="s">
        <v>1866</v>
      </c>
      <c r="B95" t="s">
        <v>2012</v>
      </c>
      <c r="F95" s="123">
        <v>1</v>
      </c>
    </row>
    <row r="96" spans="1:6" x14ac:dyDescent="0.3">
      <c r="A96" t="s">
        <v>1888</v>
      </c>
      <c r="F96" s="123">
        <v>2</v>
      </c>
    </row>
    <row r="97" spans="1:6" x14ac:dyDescent="0.3">
      <c r="A97" t="s">
        <v>167</v>
      </c>
      <c r="B97" t="s">
        <v>167</v>
      </c>
      <c r="C97" t="s">
        <v>164</v>
      </c>
      <c r="D97" t="s">
        <v>2885</v>
      </c>
      <c r="E97" t="s">
        <v>6</v>
      </c>
      <c r="F97" s="123">
        <v>1</v>
      </c>
    </row>
    <row r="98" spans="1:6" x14ac:dyDescent="0.3">
      <c r="A98" t="s">
        <v>167</v>
      </c>
      <c r="B98" t="s">
        <v>1887</v>
      </c>
      <c r="F98" s="123">
        <v>1</v>
      </c>
    </row>
    <row r="99" spans="1:6" x14ac:dyDescent="0.3">
      <c r="A99" t="s">
        <v>167</v>
      </c>
      <c r="B99" t="s">
        <v>123</v>
      </c>
      <c r="C99" t="s">
        <v>266</v>
      </c>
      <c r="D99" t="s">
        <v>265</v>
      </c>
      <c r="E99" t="s">
        <v>104</v>
      </c>
      <c r="F99" s="123">
        <v>1</v>
      </c>
    </row>
    <row r="100" spans="1:6" x14ac:dyDescent="0.3">
      <c r="A100" t="s">
        <v>167</v>
      </c>
      <c r="B100" t="s">
        <v>1581</v>
      </c>
      <c r="F100" s="123">
        <v>1</v>
      </c>
    </row>
    <row r="101" spans="1:6" x14ac:dyDescent="0.3">
      <c r="A101" t="s">
        <v>1887</v>
      </c>
      <c r="F101" s="123">
        <v>2</v>
      </c>
    </row>
    <row r="102" spans="1:6" x14ac:dyDescent="0.3">
      <c r="A102" t="s">
        <v>111</v>
      </c>
      <c r="B102" t="s">
        <v>2657</v>
      </c>
      <c r="C102" t="s">
        <v>2883</v>
      </c>
      <c r="D102" t="s">
        <v>2882</v>
      </c>
      <c r="E102" t="s">
        <v>6</v>
      </c>
      <c r="F102" s="123">
        <v>1</v>
      </c>
    </row>
    <row r="103" spans="1:6" x14ac:dyDescent="0.3">
      <c r="A103" t="s">
        <v>111</v>
      </c>
      <c r="B103" t="s">
        <v>2657</v>
      </c>
      <c r="C103" t="s">
        <v>2653</v>
      </c>
      <c r="D103" t="s">
        <v>2652</v>
      </c>
      <c r="E103" t="s">
        <v>122</v>
      </c>
      <c r="F103" s="123">
        <v>1</v>
      </c>
    </row>
    <row r="104" spans="1:6" x14ac:dyDescent="0.3">
      <c r="A104" t="s">
        <v>111</v>
      </c>
      <c r="B104" t="s">
        <v>2722</v>
      </c>
      <c r="F104" s="123">
        <v>2</v>
      </c>
    </row>
    <row r="105" spans="1:6" x14ac:dyDescent="0.3">
      <c r="A105" t="s">
        <v>111</v>
      </c>
      <c r="B105" t="s">
        <v>226</v>
      </c>
      <c r="C105" t="s">
        <v>223</v>
      </c>
      <c r="D105" t="s">
        <v>1690</v>
      </c>
      <c r="E105" t="s">
        <v>122</v>
      </c>
      <c r="F105" s="123">
        <v>1</v>
      </c>
    </row>
    <row r="106" spans="1:6" x14ac:dyDescent="0.3">
      <c r="A106" t="s">
        <v>111</v>
      </c>
      <c r="B106" t="s">
        <v>226</v>
      </c>
      <c r="C106" t="s">
        <v>724</v>
      </c>
      <c r="D106" t="s">
        <v>723</v>
      </c>
      <c r="E106" t="s">
        <v>117</v>
      </c>
      <c r="F106" s="123">
        <v>1</v>
      </c>
    </row>
    <row r="107" spans="1:6" x14ac:dyDescent="0.3">
      <c r="A107" t="s">
        <v>111</v>
      </c>
      <c r="B107" t="s">
        <v>226</v>
      </c>
      <c r="C107" t="s">
        <v>1074</v>
      </c>
      <c r="D107" t="s">
        <v>1073</v>
      </c>
      <c r="E107" t="s">
        <v>104</v>
      </c>
      <c r="F107" s="123">
        <v>1</v>
      </c>
    </row>
    <row r="108" spans="1:6" x14ac:dyDescent="0.3">
      <c r="A108" t="s">
        <v>111</v>
      </c>
      <c r="B108" t="s">
        <v>226</v>
      </c>
      <c r="C108" t="s">
        <v>1084</v>
      </c>
      <c r="D108" t="s">
        <v>1083</v>
      </c>
      <c r="E108" t="s">
        <v>115</v>
      </c>
      <c r="F108" s="123">
        <v>1</v>
      </c>
    </row>
    <row r="109" spans="1:6" x14ac:dyDescent="0.3">
      <c r="A109" t="s">
        <v>111</v>
      </c>
      <c r="B109" t="s">
        <v>226</v>
      </c>
      <c r="C109" t="s">
        <v>1266</v>
      </c>
      <c r="D109" t="s">
        <v>1265</v>
      </c>
      <c r="E109" t="s">
        <v>104</v>
      </c>
      <c r="F109" s="123">
        <v>1</v>
      </c>
    </row>
    <row r="110" spans="1:6" x14ac:dyDescent="0.3">
      <c r="A110" t="s">
        <v>111</v>
      </c>
      <c r="B110" t="s">
        <v>226</v>
      </c>
      <c r="C110" t="s">
        <v>1833</v>
      </c>
      <c r="D110" t="s">
        <v>1832</v>
      </c>
      <c r="E110" t="s">
        <v>121</v>
      </c>
      <c r="F110" s="123">
        <v>1</v>
      </c>
    </row>
    <row r="111" spans="1:6" x14ac:dyDescent="0.3">
      <c r="A111" t="s">
        <v>111</v>
      </c>
      <c r="B111" t="s">
        <v>1584</v>
      </c>
      <c r="F111" s="123">
        <v>6</v>
      </c>
    </row>
    <row r="112" spans="1:6" x14ac:dyDescent="0.3">
      <c r="A112" t="s">
        <v>111</v>
      </c>
      <c r="B112" t="s">
        <v>109</v>
      </c>
      <c r="C112" t="s">
        <v>1503</v>
      </c>
      <c r="D112" t="s">
        <v>1502</v>
      </c>
      <c r="E112" t="s">
        <v>122</v>
      </c>
      <c r="F112" s="123">
        <v>1</v>
      </c>
    </row>
    <row r="113" spans="1:6" x14ac:dyDescent="0.3">
      <c r="A113" t="s">
        <v>111</v>
      </c>
      <c r="B113" t="s">
        <v>109</v>
      </c>
      <c r="C113" t="s">
        <v>1680</v>
      </c>
      <c r="D113" t="s">
        <v>283</v>
      </c>
      <c r="E113" t="s">
        <v>104</v>
      </c>
      <c r="F113" s="123">
        <v>1</v>
      </c>
    </row>
    <row r="114" spans="1:6" x14ac:dyDescent="0.3">
      <c r="A114" t="s">
        <v>111</v>
      </c>
      <c r="B114" t="s">
        <v>109</v>
      </c>
      <c r="C114" t="s">
        <v>1729</v>
      </c>
      <c r="D114" t="s">
        <v>204</v>
      </c>
      <c r="E114" t="s">
        <v>115</v>
      </c>
      <c r="F114" s="123">
        <v>1</v>
      </c>
    </row>
    <row r="115" spans="1:6" x14ac:dyDescent="0.3">
      <c r="A115" t="s">
        <v>111</v>
      </c>
      <c r="B115" t="s">
        <v>109</v>
      </c>
      <c r="C115" t="s">
        <v>1840</v>
      </c>
      <c r="D115" t="s">
        <v>304</v>
      </c>
      <c r="E115" t="s">
        <v>110</v>
      </c>
      <c r="F115" s="123">
        <v>1</v>
      </c>
    </row>
    <row r="116" spans="1:6" x14ac:dyDescent="0.3">
      <c r="A116" t="s">
        <v>111</v>
      </c>
      <c r="B116" t="s">
        <v>1585</v>
      </c>
      <c r="F116" s="123">
        <v>4</v>
      </c>
    </row>
    <row r="117" spans="1:6" x14ac:dyDescent="0.3">
      <c r="A117" t="s">
        <v>111</v>
      </c>
      <c r="B117" t="s">
        <v>245</v>
      </c>
      <c r="C117" t="s">
        <v>1722</v>
      </c>
      <c r="D117" t="s">
        <v>1721</v>
      </c>
      <c r="E117" t="s">
        <v>115</v>
      </c>
      <c r="F117" s="123">
        <v>1</v>
      </c>
    </row>
    <row r="118" spans="1:6" x14ac:dyDescent="0.3">
      <c r="A118" t="s">
        <v>111</v>
      </c>
      <c r="B118" t="s">
        <v>245</v>
      </c>
      <c r="C118" t="s">
        <v>1747</v>
      </c>
      <c r="D118" t="s">
        <v>1746</v>
      </c>
      <c r="E118" t="s">
        <v>122</v>
      </c>
      <c r="F118" s="123">
        <v>1</v>
      </c>
    </row>
    <row r="119" spans="1:6" x14ac:dyDescent="0.3">
      <c r="A119" t="s">
        <v>111</v>
      </c>
      <c r="B119" t="s">
        <v>245</v>
      </c>
      <c r="C119" t="s">
        <v>2506</v>
      </c>
      <c r="D119" t="s">
        <v>2505</v>
      </c>
      <c r="E119" t="s">
        <v>104</v>
      </c>
      <c r="F119" s="123">
        <v>1</v>
      </c>
    </row>
    <row r="120" spans="1:6" x14ac:dyDescent="0.3">
      <c r="A120" t="s">
        <v>111</v>
      </c>
      <c r="B120" t="s">
        <v>1743</v>
      </c>
      <c r="F120" s="123">
        <v>3</v>
      </c>
    </row>
    <row r="121" spans="1:6" x14ac:dyDescent="0.3">
      <c r="A121" t="s">
        <v>111</v>
      </c>
      <c r="B121" t="s">
        <v>1914</v>
      </c>
      <c r="C121" t="s">
        <v>1910</v>
      </c>
      <c r="D121" t="s">
        <v>1909</v>
      </c>
      <c r="E121" t="s">
        <v>110</v>
      </c>
      <c r="F121" s="123">
        <v>1</v>
      </c>
    </row>
    <row r="122" spans="1:6" x14ac:dyDescent="0.3">
      <c r="A122" t="s">
        <v>111</v>
      </c>
      <c r="B122" t="s">
        <v>1914</v>
      </c>
      <c r="C122" t="s">
        <v>3234</v>
      </c>
      <c r="D122" t="s">
        <v>3233</v>
      </c>
      <c r="E122" t="s">
        <v>115</v>
      </c>
      <c r="F122" s="123">
        <v>1</v>
      </c>
    </row>
    <row r="123" spans="1:6" x14ac:dyDescent="0.3">
      <c r="A123" t="s">
        <v>111</v>
      </c>
      <c r="B123" t="s">
        <v>2013</v>
      </c>
      <c r="F123" s="123">
        <v>2</v>
      </c>
    </row>
    <row r="124" spans="1:6" x14ac:dyDescent="0.3">
      <c r="A124" t="s">
        <v>111</v>
      </c>
      <c r="B124" t="s">
        <v>1866</v>
      </c>
      <c r="C124" t="s">
        <v>137</v>
      </c>
      <c r="D124" t="s">
        <v>1864</v>
      </c>
      <c r="E124" t="s">
        <v>115</v>
      </c>
      <c r="F124" s="123">
        <v>1</v>
      </c>
    </row>
    <row r="125" spans="1:6" x14ac:dyDescent="0.3">
      <c r="A125" t="s">
        <v>111</v>
      </c>
      <c r="B125" t="s">
        <v>1888</v>
      </c>
      <c r="F125" s="123">
        <v>1</v>
      </c>
    </row>
    <row r="126" spans="1:6" x14ac:dyDescent="0.3">
      <c r="A126" t="s">
        <v>111</v>
      </c>
      <c r="B126" t="s">
        <v>2132</v>
      </c>
      <c r="C126" t="s">
        <v>2129</v>
      </c>
      <c r="D126" t="s">
        <v>2128</v>
      </c>
      <c r="E126" t="s">
        <v>110</v>
      </c>
      <c r="F126" s="123">
        <v>1</v>
      </c>
    </row>
    <row r="127" spans="1:6" x14ac:dyDescent="0.3">
      <c r="A127" t="s">
        <v>111</v>
      </c>
      <c r="B127" t="s">
        <v>2132</v>
      </c>
      <c r="C127" t="s">
        <v>2291</v>
      </c>
      <c r="D127" t="s">
        <v>2290</v>
      </c>
      <c r="E127" t="s">
        <v>110</v>
      </c>
      <c r="F127" s="123">
        <v>1</v>
      </c>
    </row>
    <row r="128" spans="1:6" x14ac:dyDescent="0.3">
      <c r="A128" t="s">
        <v>111</v>
      </c>
      <c r="B128" t="s">
        <v>2132</v>
      </c>
      <c r="C128" t="s">
        <v>2299</v>
      </c>
      <c r="D128" t="s">
        <v>2298</v>
      </c>
      <c r="E128" t="s">
        <v>117</v>
      </c>
      <c r="F128" s="123">
        <v>1</v>
      </c>
    </row>
    <row r="129" spans="1:6" x14ac:dyDescent="0.3">
      <c r="A129" t="s">
        <v>111</v>
      </c>
      <c r="B129" t="s">
        <v>2132</v>
      </c>
      <c r="C129" t="s">
        <v>2607</v>
      </c>
      <c r="D129" t="s">
        <v>2606</v>
      </c>
      <c r="E129" t="s">
        <v>122</v>
      </c>
      <c r="F129" s="123">
        <v>1</v>
      </c>
    </row>
    <row r="130" spans="1:6" x14ac:dyDescent="0.3">
      <c r="A130" t="s">
        <v>111</v>
      </c>
      <c r="B130" t="s">
        <v>2132</v>
      </c>
      <c r="C130" t="s">
        <v>2432</v>
      </c>
      <c r="D130" t="s">
        <v>2431</v>
      </c>
      <c r="E130" t="s">
        <v>115</v>
      </c>
      <c r="F130" s="123">
        <v>1</v>
      </c>
    </row>
    <row r="131" spans="1:6" x14ac:dyDescent="0.3">
      <c r="A131" t="s">
        <v>111</v>
      </c>
      <c r="B131" t="s">
        <v>2163</v>
      </c>
      <c r="F131" s="123">
        <v>5</v>
      </c>
    </row>
    <row r="132" spans="1:6" x14ac:dyDescent="0.3">
      <c r="A132" t="s">
        <v>1576</v>
      </c>
      <c r="F132" s="123">
        <v>23</v>
      </c>
    </row>
    <row r="133" spans="1:6" x14ac:dyDescent="0.3">
      <c r="A133" t="s">
        <v>105</v>
      </c>
      <c r="B133" t="s">
        <v>2878</v>
      </c>
      <c r="C133" t="s">
        <v>2874</v>
      </c>
      <c r="D133" t="s">
        <v>2873</v>
      </c>
      <c r="E133" t="s">
        <v>6</v>
      </c>
      <c r="F133" s="123">
        <v>1</v>
      </c>
    </row>
    <row r="134" spans="1:6" x14ac:dyDescent="0.3">
      <c r="A134" t="s">
        <v>105</v>
      </c>
      <c r="B134" t="s">
        <v>2878</v>
      </c>
      <c r="C134" t="s">
        <v>2880</v>
      </c>
      <c r="D134" t="s">
        <v>2879</v>
      </c>
      <c r="E134" t="s">
        <v>6</v>
      </c>
      <c r="F134" s="123">
        <v>1</v>
      </c>
    </row>
    <row r="135" spans="1:6" x14ac:dyDescent="0.3">
      <c r="A135" t="s">
        <v>105</v>
      </c>
      <c r="B135" t="s">
        <v>2925</v>
      </c>
      <c r="F135" s="123">
        <v>2</v>
      </c>
    </row>
    <row r="136" spans="1:6" x14ac:dyDescent="0.3">
      <c r="A136" t="s">
        <v>105</v>
      </c>
      <c r="B136" t="s">
        <v>167</v>
      </c>
      <c r="C136" t="s">
        <v>2890</v>
      </c>
      <c r="D136" t="s">
        <v>2889</v>
      </c>
      <c r="E136" t="s">
        <v>6</v>
      </c>
      <c r="F136" s="123">
        <v>1</v>
      </c>
    </row>
    <row r="137" spans="1:6" x14ac:dyDescent="0.3">
      <c r="A137" t="s">
        <v>105</v>
      </c>
      <c r="B137" t="s">
        <v>1887</v>
      </c>
      <c r="F137" s="123">
        <v>1</v>
      </c>
    </row>
    <row r="138" spans="1:6" x14ac:dyDescent="0.3">
      <c r="A138" t="s">
        <v>105</v>
      </c>
      <c r="B138" t="s">
        <v>103</v>
      </c>
      <c r="C138" t="s">
        <v>2221</v>
      </c>
      <c r="D138" t="s">
        <v>2220</v>
      </c>
      <c r="E138" t="s">
        <v>104</v>
      </c>
      <c r="F138" s="123">
        <v>1</v>
      </c>
    </row>
    <row r="139" spans="1:6" x14ac:dyDescent="0.3">
      <c r="A139" t="s">
        <v>105</v>
      </c>
      <c r="B139" t="s">
        <v>103</v>
      </c>
      <c r="C139" t="s">
        <v>2229</v>
      </c>
      <c r="D139" t="s">
        <v>2228</v>
      </c>
      <c r="E139" t="s">
        <v>122</v>
      </c>
      <c r="F139" s="123">
        <v>1</v>
      </c>
    </row>
    <row r="140" spans="1:6" x14ac:dyDescent="0.3">
      <c r="A140" t="s">
        <v>105</v>
      </c>
      <c r="B140" t="s">
        <v>103</v>
      </c>
      <c r="C140" t="s">
        <v>2250</v>
      </c>
      <c r="D140" t="s">
        <v>2249</v>
      </c>
      <c r="E140" t="s">
        <v>110</v>
      </c>
      <c r="F140" s="123">
        <v>1</v>
      </c>
    </row>
    <row r="141" spans="1:6" x14ac:dyDescent="0.3">
      <c r="A141" t="s">
        <v>105</v>
      </c>
      <c r="B141" t="s">
        <v>2393</v>
      </c>
      <c r="F141" s="123">
        <v>3</v>
      </c>
    </row>
    <row r="142" spans="1:6" x14ac:dyDescent="0.3">
      <c r="A142" t="s">
        <v>105</v>
      </c>
      <c r="B142" t="s">
        <v>1253</v>
      </c>
      <c r="C142" t="s">
        <v>1250</v>
      </c>
      <c r="D142" t="s">
        <v>1249</v>
      </c>
      <c r="E142" t="s">
        <v>115</v>
      </c>
      <c r="F142" s="123">
        <v>1</v>
      </c>
    </row>
    <row r="143" spans="1:6" x14ac:dyDescent="0.3">
      <c r="A143" t="s">
        <v>105</v>
      </c>
      <c r="B143" t="s">
        <v>1253</v>
      </c>
      <c r="C143" t="s">
        <v>1259</v>
      </c>
      <c r="D143" t="s">
        <v>1258</v>
      </c>
      <c r="E143" t="s">
        <v>117</v>
      </c>
      <c r="F143" s="123">
        <v>1</v>
      </c>
    </row>
    <row r="144" spans="1:6" x14ac:dyDescent="0.3">
      <c r="A144" t="s">
        <v>105</v>
      </c>
      <c r="B144" t="s">
        <v>1253</v>
      </c>
      <c r="C144" t="s">
        <v>1613</v>
      </c>
      <c r="D144" t="s">
        <v>1612</v>
      </c>
      <c r="E144" t="s">
        <v>110</v>
      </c>
      <c r="F144" s="123">
        <v>1</v>
      </c>
    </row>
    <row r="145" spans="1:6" x14ac:dyDescent="0.3">
      <c r="A145" t="s">
        <v>105</v>
      </c>
      <c r="B145" t="s">
        <v>1586</v>
      </c>
      <c r="F145" s="123">
        <v>3</v>
      </c>
    </row>
    <row r="146" spans="1:6" x14ac:dyDescent="0.3">
      <c r="A146" t="s">
        <v>105</v>
      </c>
      <c r="B146" t="s">
        <v>413</v>
      </c>
      <c r="C146" t="s">
        <v>840</v>
      </c>
      <c r="D146" t="s">
        <v>839</v>
      </c>
      <c r="E146" t="s">
        <v>122</v>
      </c>
      <c r="F146" s="123">
        <v>1</v>
      </c>
    </row>
    <row r="147" spans="1:6" x14ac:dyDescent="0.3">
      <c r="A147" t="s">
        <v>105</v>
      </c>
      <c r="B147" t="s">
        <v>413</v>
      </c>
      <c r="C147" t="s">
        <v>862</v>
      </c>
      <c r="D147" t="s">
        <v>861</v>
      </c>
      <c r="E147" t="s">
        <v>122</v>
      </c>
      <c r="F147" s="123">
        <v>1</v>
      </c>
    </row>
    <row r="148" spans="1:6" x14ac:dyDescent="0.3">
      <c r="A148" t="s">
        <v>105</v>
      </c>
      <c r="B148" t="s">
        <v>413</v>
      </c>
      <c r="C148" t="s">
        <v>896</v>
      </c>
      <c r="D148" t="s">
        <v>895</v>
      </c>
      <c r="E148" t="s">
        <v>122</v>
      </c>
      <c r="F148" s="123">
        <v>1</v>
      </c>
    </row>
    <row r="149" spans="1:6" x14ac:dyDescent="0.3">
      <c r="A149" t="s">
        <v>105</v>
      </c>
      <c r="B149" t="s">
        <v>413</v>
      </c>
      <c r="C149" t="s">
        <v>909</v>
      </c>
      <c r="D149" t="s">
        <v>908</v>
      </c>
      <c r="E149" t="s">
        <v>115</v>
      </c>
      <c r="F149" s="123">
        <v>1</v>
      </c>
    </row>
    <row r="150" spans="1:6" x14ac:dyDescent="0.3">
      <c r="A150" t="s">
        <v>105</v>
      </c>
      <c r="B150" t="s">
        <v>413</v>
      </c>
      <c r="C150" t="s">
        <v>1484</v>
      </c>
      <c r="D150" t="s">
        <v>1483</v>
      </c>
      <c r="E150" t="s">
        <v>104</v>
      </c>
      <c r="F150" s="123">
        <v>1</v>
      </c>
    </row>
    <row r="151" spans="1:6" x14ac:dyDescent="0.3">
      <c r="A151" t="s">
        <v>105</v>
      </c>
      <c r="B151" t="s">
        <v>413</v>
      </c>
      <c r="C151" t="s">
        <v>560</v>
      </c>
      <c r="D151" t="s">
        <v>558</v>
      </c>
      <c r="E151" t="s">
        <v>117</v>
      </c>
      <c r="F151" s="123">
        <v>1</v>
      </c>
    </row>
    <row r="152" spans="1:6" x14ac:dyDescent="0.3">
      <c r="A152" t="s">
        <v>105</v>
      </c>
      <c r="B152" t="s">
        <v>413</v>
      </c>
      <c r="C152" t="s">
        <v>2847</v>
      </c>
      <c r="D152" t="s">
        <v>2846</v>
      </c>
      <c r="E152" t="s">
        <v>121</v>
      </c>
      <c r="F152" s="123">
        <v>1</v>
      </c>
    </row>
    <row r="153" spans="1:6" x14ac:dyDescent="0.3">
      <c r="A153" t="s">
        <v>105</v>
      </c>
      <c r="B153" t="s">
        <v>413</v>
      </c>
      <c r="C153" t="s">
        <v>2947</v>
      </c>
      <c r="D153" t="s">
        <v>2946</v>
      </c>
      <c r="E153" t="s">
        <v>110</v>
      </c>
      <c r="F153" s="123">
        <v>1</v>
      </c>
    </row>
    <row r="154" spans="1:6" x14ac:dyDescent="0.3">
      <c r="A154" t="s">
        <v>105</v>
      </c>
      <c r="B154" t="s">
        <v>1587</v>
      </c>
      <c r="F154" s="123">
        <v>8</v>
      </c>
    </row>
    <row r="155" spans="1:6" x14ac:dyDescent="0.3">
      <c r="A155" t="s">
        <v>105</v>
      </c>
      <c r="B155" t="s">
        <v>311</v>
      </c>
      <c r="C155" t="s">
        <v>853</v>
      </c>
      <c r="D155" t="s">
        <v>852</v>
      </c>
      <c r="E155" t="s">
        <v>117</v>
      </c>
      <c r="F155" s="123">
        <v>1</v>
      </c>
    </row>
    <row r="156" spans="1:6" x14ac:dyDescent="0.3">
      <c r="A156" t="s">
        <v>105</v>
      </c>
      <c r="B156" t="s">
        <v>311</v>
      </c>
      <c r="C156" t="s">
        <v>1790</v>
      </c>
      <c r="D156" t="s">
        <v>1789</v>
      </c>
      <c r="E156" t="s">
        <v>110</v>
      </c>
      <c r="F156" s="123">
        <v>1</v>
      </c>
    </row>
    <row r="157" spans="1:6" x14ac:dyDescent="0.3">
      <c r="A157" t="s">
        <v>105</v>
      </c>
      <c r="B157" t="s">
        <v>1588</v>
      </c>
      <c r="F157" s="123">
        <v>2</v>
      </c>
    </row>
    <row r="158" spans="1:6" x14ac:dyDescent="0.3">
      <c r="A158" t="s">
        <v>105</v>
      </c>
      <c r="B158" t="s">
        <v>398</v>
      </c>
      <c r="C158" t="s">
        <v>573</v>
      </c>
      <c r="D158" t="s">
        <v>500</v>
      </c>
      <c r="E158" t="s">
        <v>104</v>
      </c>
      <c r="F158" s="123">
        <v>1</v>
      </c>
    </row>
    <row r="159" spans="1:6" x14ac:dyDescent="0.3">
      <c r="A159" t="s">
        <v>105</v>
      </c>
      <c r="B159" t="s">
        <v>1717</v>
      </c>
      <c r="F159" s="123">
        <v>1</v>
      </c>
    </row>
    <row r="160" spans="1:6" x14ac:dyDescent="0.3">
      <c r="A160" t="s">
        <v>1577</v>
      </c>
      <c r="F160" s="123">
        <v>20</v>
      </c>
    </row>
    <row r="161" spans="1:6" x14ac:dyDescent="0.3">
      <c r="A161" t="s">
        <v>2698</v>
      </c>
      <c r="B161" t="s">
        <v>2696</v>
      </c>
      <c r="C161" t="s">
        <v>2693</v>
      </c>
      <c r="D161" t="s">
        <v>2692</v>
      </c>
      <c r="E161" t="s">
        <v>121</v>
      </c>
      <c r="F161" s="123">
        <v>1</v>
      </c>
    </row>
    <row r="162" spans="1:6" x14ac:dyDescent="0.3">
      <c r="A162" t="s">
        <v>2698</v>
      </c>
      <c r="B162" t="s">
        <v>2723</v>
      </c>
      <c r="F162" s="123">
        <v>1</v>
      </c>
    </row>
    <row r="163" spans="1:6" x14ac:dyDescent="0.3">
      <c r="A163" t="s">
        <v>2724</v>
      </c>
      <c r="F163" s="123">
        <v>1</v>
      </c>
    </row>
    <row r="164" spans="1:6" x14ac:dyDescent="0.3">
      <c r="A164" t="s">
        <v>1004</v>
      </c>
      <c r="B164" t="s">
        <v>1476</v>
      </c>
      <c r="C164" t="s">
        <v>2154</v>
      </c>
      <c r="D164" t="s">
        <v>2153</v>
      </c>
      <c r="E164" t="s">
        <v>117</v>
      </c>
      <c r="F164" s="123">
        <v>1</v>
      </c>
    </row>
    <row r="165" spans="1:6" x14ac:dyDescent="0.3">
      <c r="A165" t="s">
        <v>1004</v>
      </c>
      <c r="B165" t="s">
        <v>1476</v>
      </c>
      <c r="C165" t="s">
        <v>1473</v>
      </c>
      <c r="D165" t="s">
        <v>1472</v>
      </c>
      <c r="E165" t="s">
        <v>110</v>
      </c>
      <c r="F165" s="123">
        <v>1</v>
      </c>
    </row>
    <row r="166" spans="1:6" x14ac:dyDescent="0.3">
      <c r="A166" t="s">
        <v>1004</v>
      </c>
      <c r="B166" t="s">
        <v>1476</v>
      </c>
      <c r="C166" t="s">
        <v>1992</v>
      </c>
      <c r="D166" t="s">
        <v>1991</v>
      </c>
      <c r="E166" t="s">
        <v>117</v>
      </c>
      <c r="F166" s="123">
        <v>1</v>
      </c>
    </row>
    <row r="167" spans="1:6" x14ac:dyDescent="0.3">
      <c r="A167" t="s">
        <v>1004</v>
      </c>
      <c r="B167" t="s">
        <v>1476</v>
      </c>
      <c r="C167" t="s">
        <v>2553</v>
      </c>
      <c r="D167" t="s">
        <v>2552</v>
      </c>
      <c r="E167" t="s">
        <v>104</v>
      </c>
      <c r="F167" s="123">
        <v>1</v>
      </c>
    </row>
    <row r="168" spans="1:6" x14ac:dyDescent="0.3">
      <c r="A168" t="s">
        <v>1004</v>
      </c>
      <c r="B168" t="s">
        <v>1476</v>
      </c>
      <c r="C168" t="s">
        <v>2810</v>
      </c>
      <c r="D168" t="s">
        <v>2809</v>
      </c>
      <c r="E168" t="s">
        <v>104</v>
      </c>
      <c r="F168" s="123">
        <v>1</v>
      </c>
    </row>
    <row r="169" spans="1:6" x14ac:dyDescent="0.3">
      <c r="A169" t="s">
        <v>1004</v>
      </c>
      <c r="B169" t="s">
        <v>1594</v>
      </c>
      <c r="F169" s="123">
        <v>5</v>
      </c>
    </row>
    <row r="170" spans="1:6" x14ac:dyDescent="0.3">
      <c r="A170" t="s">
        <v>1004</v>
      </c>
      <c r="B170" t="s">
        <v>235</v>
      </c>
      <c r="C170" t="s">
        <v>230</v>
      </c>
      <c r="D170" t="s">
        <v>229</v>
      </c>
      <c r="E170" t="s">
        <v>117</v>
      </c>
      <c r="F170" s="123">
        <v>1</v>
      </c>
    </row>
    <row r="171" spans="1:6" x14ac:dyDescent="0.3">
      <c r="A171" t="s">
        <v>1004</v>
      </c>
      <c r="B171" t="s">
        <v>235</v>
      </c>
      <c r="C171" t="s">
        <v>2485</v>
      </c>
      <c r="D171" t="s">
        <v>2484</v>
      </c>
      <c r="E171" t="s">
        <v>122</v>
      </c>
      <c r="F171" s="123">
        <v>1</v>
      </c>
    </row>
    <row r="172" spans="1:6" x14ac:dyDescent="0.3">
      <c r="A172" t="s">
        <v>1004</v>
      </c>
      <c r="B172" t="s">
        <v>235</v>
      </c>
      <c r="C172" t="s">
        <v>2732</v>
      </c>
      <c r="D172" t="s">
        <v>2731</v>
      </c>
      <c r="E172" t="s">
        <v>121</v>
      </c>
      <c r="F172" s="123">
        <v>1</v>
      </c>
    </row>
    <row r="173" spans="1:6" x14ac:dyDescent="0.3">
      <c r="A173" t="s">
        <v>1004</v>
      </c>
      <c r="B173" t="s">
        <v>2053</v>
      </c>
      <c r="F173" s="123">
        <v>3</v>
      </c>
    </row>
    <row r="174" spans="1:6" x14ac:dyDescent="0.3">
      <c r="A174" t="s">
        <v>1004</v>
      </c>
      <c r="B174" t="s">
        <v>2712</v>
      </c>
      <c r="C174" t="s">
        <v>2709</v>
      </c>
      <c r="D174" t="s">
        <v>2708</v>
      </c>
      <c r="E174" t="s">
        <v>117</v>
      </c>
      <c r="F174" s="123">
        <v>1</v>
      </c>
    </row>
    <row r="175" spans="1:6" x14ac:dyDescent="0.3">
      <c r="A175" t="s">
        <v>1004</v>
      </c>
      <c r="B175" t="s">
        <v>2712</v>
      </c>
      <c r="C175" t="s">
        <v>2751</v>
      </c>
      <c r="D175" t="s">
        <v>2750</v>
      </c>
      <c r="E175" t="s">
        <v>122</v>
      </c>
      <c r="F175" s="123">
        <v>1</v>
      </c>
    </row>
    <row r="176" spans="1:6" x14ac:dyDescent="0.3">
      <c r="A176" t="s">
        <v>1004</v>
      </c>
      <c r="B176" t="s">
        <v>2712</v>
      </c>
      <c r="C176" t="s">
        <v>2864</v>
      </c>
      <c r="D176" t="s">
        <v>2863</v>
      </c>
      <c r="E176" t="s">
        <v>115</v>
      </c>
      <c r="F176" s="123">
        <v>1</v>
      </c>
    </row>
    <row r="177" spans="1:6" x14ac:dyDescent="0.3">
      <c r="A177" t="s">
        <v>1004</v>
      </c>
      <c r="B177" t="s">
        <v>2725</v>
      </c>
      <c r="F177" s="123">
        <v>3</v>
      </c>
    </row>
    <row r="178" spans="1:6" x14ac:dyDescent="0.3">
      <c r="A178" t="s">
        <v>1004</v>
      </c>
      <c r="B178" t="s">
        <v>1003</v>
      </c>
      <c r="C178" t="s">
        <v>999</v>
      </c>
      <c r="D178" t="s">
        <v>998</v>
      </c>
      <c r="E178" t="s">
        <v>122</v>
      </c>
      <c r="F178" s="123">
        <v>1</v>
      </c>
    </row>
    <row r="179" spans="1:6" x14ac:dyDescent="0.3">
      <c r="A179" t="s">
        <v>1004</v>
      </c>
      <c r="B179" t="s">
        <v>1003</v>
      </c>
      <c r="C179" t="s">
        <v>1013</v>
      </c>
      <c r="D179" t="s">
        <v>1012</v>
      </c>
      <c r="E179" t="s">
        <v>117</v>
      </c>
      <c r="F179" s="123">
        <v>1</v>
      </c>
    </row>
    <row r="180" spans="1:6" x14ac:dyDescent="0.3">
      <c r="A180" t="s">
        <v>1004</v>
      </c>
      <c r="B180" t="s">
        <v>1003</v>
      </c>
      <c r="C180" t="s">
        <v>1037</v>
      </c>
      <c r="D180" t="s">
        <v>1036</v>
      </c>
      <c r="E180" t="s">
        <v>122</v>
      </c>
      <c r="F180" s="123">
        <v>1</v>
      </c>
    </row>
    <row r="181" spans="1:6" x14ac:dyDescent="0.3">
      <c r="A181" t="s">
        <v>1004</v>
      </c>
      <c r="B181" t="s">
        <v>1003</v>
      </c>
      <c r="C181" t="s">
        <v>1047</v>
      </c>
      <c r="D181" t="s">
        <v>1046</v>
      </c>
      <c r="E181" t="s">
        <v>122</v>
      </c>
      <c r="F181" s="123">
        <v>1</v>
      </c>
    </row>
    <row r="182" spans="1:6" x14ac:dyDescent="0.3">
      <c r="A182" t="s">
        <v>1004</v>
      </c>
      <c r="B182" t="s">
        <v>1003</v>
      </c>
      <c r="C182" t="s">
        <v>1067</v>
      </c>
      <c r="D182" t="s">
        <v>1066</v>
      </c>
      <c r="E182" t="s">
        <v>117</v>
      </c>
      <c r="F182" s="123">
        <v>1</v>
      </c>
    </row>
    <row r="183" spans="1:6" x14ac:dyDescent="0.3">
      <c r="A183" t="s">
        <v>1004</v>
      </c>
      <c r="B183" t="s">
        <v>1003</v>
      </c>
      <c r="C183" t="s">
        <v>1099</v>
      </c>
      <c r="D183" t="s">
        <v>1098</v>
      </c>
      <c r="E183" t="s">
        <v>104</v>
      </c>
      <c r="F183" s="123">
        <v>1</v>
      </c>
    </row>
    <row r="184" spans="1:6" x14ac:dyDescent="0.3">
      <c r="A184" t="s">
        <v>1004</v>
      </c>
      <c r="B184" t="s">
        <v>1003</v>
      </c>
      <c r="C184" t="s">
        <v>1187</v>
      </c>
      <c r="D184" t="s">
        <v>1186</v>
      </c>
      <c r="E184" t="s">
        <v>121</v>
      </c>
      <c r="F184" s="123">
        <v>1</v>
      </c>
    </row>
    <row r="185" spans="1:6" x14ac:dyDescent="0.3">
      <c r="A185" t="s">
        <v>1004</v>
      </c>
      <c r="B185" t="s">
        <v>1003</v>
      </c>
      <c r="C185" t="s">
        <v>1290</v>
      </c>
      <c r="D185" t="s">
        <v>1289</v>
      </c>
      <c r="E185" t="s">
        <v>122</v>
      </c>
      <c r="F185" s="123">
        <v>1</v>
      </c>
    </row>
    <row r="186" spans="1:6" x14ac:dyDescent="0.3">
      <c r="A186" t="s">
        <v>1004</v>
      </c>
      <c r="B186" t="s">
        <v>1003</v>
      </c>
      <c r="C186" t="s">
        <v>1318</v>
      </c>
      <c r="D186" t="s">
        <v>1317</v>
      </c>
      <c r="E186" t="s">
        <v>115</v>
      </c>
      <c r="F186" s="123">
        <v>1</v>
      </c>
    </row>
    <row r="187" spans="1:6" x14ac:dyDescent="0.3">
      <c r="A187" t="s">
        <v>1004</v>
      </c>
      <c r="B187" t="s">
        <v>1003</v>
      </c>
      <c r="C187" t="s">
        <v>1382</v>
      </c>
      <c r="D187" t="s">
        <v>1381</v>
      </c>
      <c r="E187" t="s">
        <v>115</v>
      </c>
      <c r="F187" s="123">
        <v>1</v>
      </c>
    </row>
    <row r="188" spans="1:6" x14ac:dyDescent="0.3">
      <c r="A188" t="s">
        <v>1004</v>
      </c>
      <c r="B188" t="s">
        <v>1003</v>
      </c>
      <c r="C188" t="s">
        <v>2957</v>
      </c>
      <c r="D188" t="s">
        <v>2956</v>
      </c>
      <c r="E188" t="s">
        <v>117</v>
      </c>
      <c r="F188" s="123">
        <v>1</v>
      </c>
    </row>
    <row r="189" spans="1:6" x14ac:dyDescent="0.3">
      <c r="A189" t="s">
        <v>1004</v>
      </c>
      <c r="B189" t="s">
        <v>1595</v>
      </c>
      <c r="F189" s="123">
        <v>11</v>
      </c>
    </row>
    <row r="190" spans="1:6" x14ac:dyDescent="0.3">
      <c r="A190" t="s">
        <v>1004</v>
      </c>
      <c r="B190" t="s">
        <v>692</v>
      </c>
      <c r="C190" t="s">
        <v>1342</v>
      </c>
      <c r="D190" t="s">
        <v>1341</v>
      </c>
      <c r="E190" t="s">
        <v>117</v>
      </c>
      <c r="F190" s="123">
        <v>1</v>
      </c>
    </row>
    <row r="191" spans="1:6" x14ac:dyDescent="0.3">
      <c r="A191" t="s">
        <v>1004</v>
      </c>
      <c r="B191" t="s">
        <v>692</v>
      </c>
      <c r="C191" t="s">
        <v>1371</v>
      </c>
      <c r="D191" t="s">
        <v>1370</v>
      </c>
      <c r="E191" t="s">
        <v>117</v>
      </c>
      <c r="F191" s="123">
        <v>1</v>
      </c>
    </row>
    <row r="192" spans="1:6" x14ac:dyDescent="0.3">
      <c r="A192" t="s">
        <v>1004</v>
      </c>
      <c r="B192" t="s">
        <v>692</v>
      </c>
      <c r="C192" t="s">
        <v>1391</v>
      </c>
      <c r="D192" t="s">
        <v>1390</v>
      </c>
      <c r="E192" t="s">
        <v>122</v>
      </c>
      <c r="F192" s="123">
        <v>1</v>
      </c>
    </row>
    <row r="193" spans="1:6" x14ac:dyDescent="0.3">
      <c r="A193" t="s">
        <v>1004</v>
      </c>
      <c r="B193" t="s">
        <v>692</v>
      </c>
      <c r="C193" t="s">
        <v>1398</v>
      </c>
      <c r="D193" t="s">
        <v>1397</v>
      </c>
      <c r="E193" t="s">
        <v>117</v>
      </c>
      <c r="F193" s="123">
        <v>1</v>
      </c>
    </row>
    <row r="194" spans="1:6" x14ac:dyDescent="0.3">
      <c r="A194" t="s">
        <v>1004</v>
      </c>
      <c r="B194" t="s">
        <v>692</v>
      </c>
      <c r="C194" t="s">
        <v>1408</v>
      </c>
      <c r="D194" t="s">
        <v>1407</v>
      </c>
      <c r="E194" t="s">
        <v>115</v>
      </c>
      <c r="F194" s="123">
        <v>1</v>
      </c>
    </row>
    <row r="195" spans="1:6" x14ac:dyDescent="0.3">
      <c r="A195" t="s">
        <v>1004</v>
      </c>
      <c r="B195" t="s">
        <v>692</v>
      </c>
      <c r="C195" t="s">
        <v>1417</v>
      </c>
      <c r="D195" t="s">
        <v>1416</v>
      </c>
      <c r="E195" t="s">
        <v>115</v>
      </c>
      <c r="F195" s="123">
        <v>1</v>
      </c>
    </row>
    <row r="196" spans="1:6" x14ac:dyDescent="0.3">
      <c r="A196" t="s">
        <v>1004</v>
      </c>
      <c r="B196" t="s">
        <v>692</v>
      </c>
      <c r="C196" t="s">
        <v>688</v>
      </c>
      <c r="D196" t="s">
        <v>687</v>
      </c>
      <c r="E196" t="s">
        <v>110</v>
      </c>
      <c r="F196" s="123">
        <v>1</v>
      </c>
    </row>
    <row r="197" spans="1:6" x14ac:dyDescent="0.3">
      <c r="A197" t="s">
        <v>1004</v>
      </c>
      <c r="B197" t="s">
        <v>692</v>
      </c>
      <c r="C197" t="s">
        <v>1955</v>
      </c>
      <c r="D197" t="s">
        <v>1954</v>
      </c>
      <c r="E197" t="s">
        <v>110</v>
      </c>
      <c r="F197" s="123">
        <v>1</v>
      </c>
    </row>
    <row r="198" spans="1:6" x14ac:dyDescent="0.3">
      <c r="A198" t="s">
        <v>1004</v>
      </c>
      <c r="B198" t="s">
        <v>692</v>
      </c>
      <c r="C198" t="s">
        <v>2079</v>
      </c>
      <c r="D198" t="s">
        <v>2078</v>
      </c>
      <c r="E198" t="s">
        <v>115</v>
      </c>
      <c r="F198" s="123">
        <v>1</v>
      </c>
    </row>
    <row r="199" spans="1:6" x14ac:dyDescent="0.3">
      <c r="A199" t="s">
        <v>1004</v>
      </c>
      <c r="B199" t="s">
        <v>692</v>
      </c>
      <c r="C199" t="s">
        <v>2089</v>
      </c>
      <c r="D199" t="s">
        <v>2088</v>
      </c>
      <c r="E199" t="s">
        <v>117</v>
      </c>
      <c r="F199" s="123">
        <v>1</v>
      </c>
    </row>
    <row r="200" spans="1:6" x14ac:dyDescent="0.3">
      <c r="A200" t="s">
        <v>1004</v>
      </c>
      <c r="B200" t="s">
        <v>692</v>
      </c>
      <c r="C200" t="s">
        <v>2108</v>
      </c>
      <c r="D200" t="s">
        <v>2107</v>
      </c>
      <c r="E200" t="s">
        <v>104</v>
      </c>
      <c r="F200" s="123">
        <v>1</v>
      </c>
    </row>
    <row r="201" spans="1:6" x14ac:dyDescent="0.3">
      <c r="A201" t="s">
        <v>1004</v>
      </c>
      <c r="B201" t="s">
        <v>692</v>
      </c>
      <c r="C201" t="s">
        <v>2116</v>
      </c>
      <c r="D201" t="s">
        <v>2115</v>
      </c>
      <c r="E201" t="s">
        <v>110</v>
      </c>
      <c r="F201" s="123">
        <v>1</v>
      </c>
    </row>
    <row r="202" spans="1:6" x14ac:dyDescent="0.3">
      <c r="A202" t="s">
        <v>1004</v>
      </c>
      <c r="B202" t="s">
        <v>692</v>
      </c>
      <c r="C202" t="s">
        <v>2324</v>
      </c>
      <c r="D202" t="s">
        <v>2323</v>
      </c>
      <c r="E202" t="s">
        <v>121</v>
      </c>
      <c r="F202" s="123">
        <v>1</v>
      </c>
    </row>
    <row r="203" spans="1:6" x14ac:dyDescent="0.3">
      <c r="A203" t="s">
        <v>1004</v>
      </c>
      <c r="B203" t="s">
        <v>692</v>
      </c>
      <c r="C203" t="s">
        <v>2347</v>
      </c>
      <c r="D203" t="s">
        <v>3031</v>
      </c>
      <c r="E203" t="s">
        <v>104</v>
      </c>
      <c r="F203" s="123">
        <v>1</v>
      </c>
    </row>
    <row r="204" spans="1:6" x14ac:dyDescent="0.3">
      <c r="A204" t="s">
        <v>1004</v>
      </c>
      <c r="B204" t="s">
        <v>692</v>
      </c>
      <c r="C204" t="s">
        <v>2563</v>
      </c>
      <c r="D204" t="s">
        <v>2562</v>
      </c>
      <c r="E204" t="s">
        <v>104</v>
      </c>
      <c r="F204" s="123">
        <v>1</v>
      </c>
    </row>
    <row r="205" spans="1:6" x14ac:dyDescent="0.3">
      <c r="A205" t="s">
        <v>1004</v>
      </c>
      <c r="B205" t="s">
        <v>1596</v>
      </c>
      <c r="F205" s="123">
        <v>15</v>
      </c>
    </row>
    <row r="206" spans="1:6" x14ac:dyDescent="0.3">
      <c r="A206" t="s">
        <v>1574</v>
      </c>
      <c r="F206" s="123">
        <v>37</v>
      </c>
    </row>
    <row r="207" spans="1:6" x14ac:dyDescent="0.3">
      <c r="A207" t="s">
        <v>1719</v>
      </c>
      <c r="B207" t="s">
        <v>3054</v>
      </c>
      <c r="C207" t="s">
        <v>921</v>
      </c>
      <c r="D207" t="s">
        <v>920</v>
      </c>
      <c r="E207" t="s">
        <v>104</v>
      </c>
      <c r="F207" s="123">
        <v>1</v>
      </c>
    </row>
    <row r="208" spans="1:6" x14ac:dyDescent="0.3">
      <c r="A208" t="s">
        <v>1719</v>
      </c>
      <c r="B208" t="s">
        <v>3054</v>
      </c>
      <c r="C208" t="s">
        <v>1533</v>
      </c>
      <c r="D208" t="s">
        <v>1532</v>
      </c>
      <c r="E208" t="s">
        <v>110</v>
      </c>
      <c r="F208" s="123">
        <v>1</v>
      </c>
    </row>
    <row r="209" spans="1:6" x14ac:dyDescent="0.3">
      <c r="A209" t="s">
        <v>1719</v>
      </c>
      <c r="B209" t="s">
        <v>3056</v>
      </c>
      <c r="F209" s="123">
        <v>2</v>
      </c>
    </row>
    <row r="210" spans="1:6" x14ac:dyDescent="0.3">
      <c r="A210" t="s">
        <v>1740</v>
      </c>
      <c r="F210" s="123">
        <v>2</v>
      </c>
    </row>
    <row r="211" spans="1:6" x14ac:dyDescent="0.3">
      <c r="A211" t="s">
        <v>1718</v>
      </c>
      <c r="B211" t="s">
        <v>939</v>
      </c>
      <c r="C211" t="s">
        <v>936</v>
      </c>
      <c r="D211" t="s">
        <v>935</v>
      </c>
      <c r="E211" t="s">
        <v>104</v>
      </c>
      <c r="F211" s="123">
        <v>1</v>
      </c>
    </row>
    <row r="212" spans="1:6" x14ac:dyDescent="0.3">
      <c r="A212" t="s">
        <v>1718</v>
      </c>
      <c r="B212" t="s">
        <v>1593</v>
      </c>
      <c r="F212" s="123">
        <v>1</v>
      </c>
    </row>
    <row r="213" spans="1:6" x14ac:dyDescent="0.3">
      <c r="A213" t="s">
        <v>1718</v>
      </c>
      <c r="B213" t="s">
        <v>2677</v>
      </c>
      <c r="C213" t="s">
        <v>2673</v>
      </c>
      <c r="D213" t="s">
        <v>2672</v>
      </c>
      <c r="E213" t="s">
        <v>122</v>
      </c>
      <c r="F213" s="123">
        <v>1</v>
      </c>
    </row>
    <row r="214" spans="1:6" x14ac:dyDescent="0.3">
      <c r="A214" t="s">
        <v>1718</v>
      </c>
      <c r="B214" t="s">
        <v>2726</v>
      </c>
      <c r="F214" s="123">
        <v>1</v>
      </c>
    </row>
    <row r="215" spans="1:6" x14ac:dyDescent="0.3">
      <c r="A215" t="s">
        <v>1741</v>
      </c>
      <c r="F215" s="123">
        <v>2</v>
      </c>
    </row>
    <row r="216" spans="1:6" x14ac:dyDescent="0.3">
      <c r="A216" t="s">
        <v>1890</v>
      </c>
      <c r="B216" t="s">
        <v>2665</v>
      </c>
      <c r="C216" t="s">
        <v>219</v>
      </c>
      <c r="D216" t="s">
        <v>2663</v>
      </c>
      <c r="E216" t="s">
        <v>122</v>
      </c>
      <c r="F216" s="123">
        <v>1</v>
      </c>
    </row>
    <row r="217" spans="1:6" x14ac:dyDescent="0.3">
      <c r="A217" t="s">
        <v>1890</v>
      </c>
      <c r="B217" t="s">
        <v>2665</v>
      </c>
      <c r="C217" t="s">
        <v>2971</v>
      </c>
      <c r="D217" t="s">
        <v>2970</v>
      </c>
      <c r="E217" t="s">
        <v>104</v>
      </c>
      <c r="F217" s="123">
        <v>1</v>
      </c>
    </row>
    <row r="218" spans="1:6" x14ac:dyDescent="0.3">
      <c r="A218" t="s">
        <v>1890</v>
      </c>
      <c r="B218" t="s">
        <v>2665</v>
      </c>
      <c r="C218" t="s">
        <v>3045</v>
      </c>
      <c r="D218" t="s">
        <v>3044</v>
      </c>
      <c r="E218" t="s">
        <v>104</v>
      </c>
      <c r="F218" s="123">
        <v>1</v>
      </c>
    </row>
    <row r="219" spans="1:6" x14ac:dyDescent="0.3">
      <c r="A219" t="s">
        <v>1890</v>
      </c>
      <c r="B219" t="s">
        <v>2727</v>
      </c>
      <c r="F219" s="123">
        <v>3</v>
      </c>
    </row>
    <row r="220" spans="1:6" x14ac:dyDescent="0.3">
      <c r="A220" t="s">
        <v>1890</v>
      </c>
      <c r="B220" t="s">
        <v>1300</v>
      </c>
      <c r="C220" t="s">
        <v>1297</v>
      </c>
      <c r="D220" t="s">
        <v>1296</v>
      </c>
      <c r="E220" t="s">
        <v>122</v>
      </c>
      <c r="F220" s="123">
        <v>1</v>
      </c>
    </row>
    <row r="221" spans="1:6" x14ac:dyDescent="0.3">
      <c r="A221" t="s">
        <v>1890</v>
      </c>
      <c r="B221" t="s">
        <v>1300</v>
      </c>
      <c r="C221" t="s">
        <v>1360</v>
      </c>
      <c r="D221" t="s">
        <v>1359</v>
      </c>
      <c r="E221" t="s">
        <v>110</v>
      </c>
      <c r="F221" s="123">
        <v>1</v>
      </c>
    </row>
    <row r="222" spans="1:6" x14ac:dyDescent="0.3">
      <c r="A222" t="s">
        <v>1890</v>
      </c>
      <c r="B222" t="s">
        <v>1300</v>
      </c>
      <c r="C222" t="s">
        <v>1544</v>
      </c>
      <c r="D222" t="s">
        <v>1543</v>
      </c>
      <c r="E222" t="s">
        <v>117</v>
      </c>
      <c r="F222" s="123">
        <v>1</v>
      </c>
    </row>
    <row r="223" spans="1:6" x14ac:dyDescent="0.3">
      <c r="A223" t="s">
        <v>1890</v>
      </c>
      <c r="B223" t="s">
        <v>1300</v>
      </c>
      <c r="C223" t="s">
        <v>1630</v>
      </c>
      <c r="D223" t="s">
        <v>1629</v>
      </c>
      <c r="E223" t="s">
        <v>115</v>
      </c>
      <c r="F223" s="123">
        <v>1</v>
      </c>
    </row>
    <row r="224" spans="1:6" x14ac:dyDescent="0.3">
      <c r="A224" t="s">
        <v>1890</v>
      </c>
      <c r="B224" t="s">
        <v>1300</v>
      </c>
      <c r="C224" t="s">
        <v>2593</v>
      </c>
      <c r="D224" t="s">
        <v>2592</v>
      </c>
      <c r="E224" t="s">
        <v>110</v>
      </c>
      <c r="F224" s="123">
        <v>1</v>
      </c>
    </row>
    <row r="225" spans="1:6" x14ac:dyDescent="0.3">
      <c r="A225" t="s">
        <v>1890</v>
      </c>
      <c r="B225" t="s">
        <v>1300</v>
      </c>
      <c r="C225" t="s">
        <v>2993</v>
      </c>
      <c r="D225" t="s">
        <v>2992</v>
      </c>
      <c r="E225" t="s">
        <v>121</v>
      </c>
      <c r="F225" s="123">
        <v>1</v>
      </c>
    </row>
    <row r="226" spans="1:6" x14ac:dyDescent="0.3">
      <c r="A226" t="s">
        <v>1890</v>
      </c>
      <c r="B226" t="s">
        <v>1300</v>
      </c>
      <c r="C226" t="s">
        <v>3007</v>
      </c>
      <c r="D226" t="s">
        <v>3006</v>
      </c>
      <c r="E226" t="s">
        <v>104</v>
      </c>
      <c r="F226" s="123">
        <v>1</v>
      </c>
    </row>
    <row r="227" spans="1:6" x14ac:dyDescent="0.3">
      <c r="A227" t="s">
        <v>1890</v>
      </c>
      <c r="B227" t="s">
        <v>1589</v>
      </c>
      <c r="F227" s="123">
        <v>7</v>
      </c>
    </row>
    <row r="228" spans="1:6" x14ac:dyDescent="0.3">
      <c r="A228" t="s">
        <v>1890</v>
      </c>
      <c r="B228" t="s">
        <v>134</v>
      </c>
      <c r="C228" t="s">
        <v>2903</v>
      </c>
      <c r="D228" t="s">
        <v>143</v>
      </c>
      <c r="E228" t="s">
        <v>110</v>
      </c>
      <c r="F228" s="123">
        <v>1</v>
      </c>
    </row>
    <row r="229" spans="1:6" x14ac:dyDescent="0.3">
      <c r="A229" t="s">
        <v>1890</v>
      </c>
      <c r="B229" t="s">
        <v>134</v>
      </c>
      <c r="C229" t="s">
        <v>2682</v>
      </c>
      <c r="D229" t="s">
        <v>543</v>
      </c>
      <c r="E229" t="s">
        <v>117</v>
      </c>
      <c r="F229" s="123">
        <v>1</v>
      </c>
    </row>
    <row r="230" spans="1:6" x14ac:dyDescent="0.3">
      <c r="A230" t="s">
        <v>1890</v>
      </c>
      <c r="B230" t="s">
        <v>2728</v>
      </c>
      <c r="F230" s="123">
        <v>2</v>
      </c>
    </row>
    <row r="231" spans="1:6" x14ac:dyDescent="0.3">
      <c r="A231" t="s">
        <v>1890</v>
      </c>
      <c r="B231" t="s">
        <v>113</v>
      </c>
      <c r="C231" t="s">
        <v>1024</v>
      </c>
      <c r="D231" t="s">
        <v>1023</v>
      </c>
      <c r="E231" t="s">
        <v>104</v>
      </c>
      <c r="F231" s="123">
        <v>1</v>
      </c>
    </row>
    <row r="232" spans="1:6" x14ac:dyDescent="0.3">
      <c r="A232" t="s">
        <v>1890</v>
      </c>
      <c r="B232" t="s">
        <v>113</v>
      </c>
      <c r="C232" t="s">
        <v>783</v>
      </c>
      <c r="D232" t="s">
        <v>782</v>
      </c>
      <c r="E232" t="s">
        <v>121</v>
      </c>
      <c r="F232" s="123">
        <v>1</v>
      </c>
    </row>
    <row r="233" spans="1:6" x14ac:dyDescent="0.3">
      <c r="A233" t="s">
        <v>1890</v>
      </c>
      <c r="B233" t="s">
        <v>113</v>
      </c>
      <c r="C233" t="s">
        <v>817</v>
      </c>
      <c r="D233" t="s">
        <v>816</v>
      </c>
      <c r="E233" t="s">
        <v>122</v>
      </c>
      <c r="F233" s="123">
        <v>1</v>
      </c>
    </row>
    <row r="234" spans="1:6" x14ac:dyDescent="0.3">
      <c r="A234" t="s">
        <v>1890</v>
      </c>
      <c r="B234" t="s">
        <v>113</v>
      </c>
      <c r="C234" t="s">
        <v>1760</v>
      </c>
      <c r="D234" t="s">
        <v>1759</v>
      </c>
      <c r="E234" t="s">
        <v>115</v>
      </c>
      <c r="F234" s="123">
        <v>1</v>
      </c>
    </row>
    <row r="235" spans="1:6" x14ac:dyDescent="0.3">
      <c r="A235" t="s">
        <v>1890</v>
      </c>
      <c r="B235" t="s">
        <v>113</v>
      </c>
      <c r="C235" t="s">
        <v>1902</v>
      </c>
      <c r="D235" t="s">
        <v>1901</v>
      </c>
      <c r="E235" t="s">
        <v>110</v>
      </c>
      <c r="F235" s="123">
        <v>1</v>
      </c>
    </row>
    <row r="236" spans="1:6" x14ac:dyDescent="0.3">
      <c r="A236" t="s">
        <v>1890</v>
      </c>
      <c r="B236" t="s">
        <v>113</v>
      </c>
      <c r="C236" t="s">
        <v>1965</v>
      </c>
      <c r="D236" t="s">
        <v>1964</v>
      </c>
      <c r="E236" t="s">
        <v>117</v>
      </c>
      <c r="F236" s="123">
        <v>1</v>
      </c>
    </row>
    <row r="237" spans="1:6" x14ac:dyDescent="0.3">
      <c r="A237" t="s">
        <v>1890</v>
      </c>
      <c r="B237" t="s">
        <v>1590</v>
      </c>
      <c r="F237" s="123">
        <v>6</v>
      </c>
    </row>
    <row r="238" spans="1:6" x14ac:dyDescent="0.3">
      <c r="A238" t="s">
        <v>1890</v>
      </c>
      <c r="B238" t="s">
        <v>150</v>
      </c>
      <c r="C238" t="s">
        <v>484</v>
      </c>
      <c r="D238" t="s">
        <v>146</v>
      </c>
      <c r="E238" t="s">
        <v>121</v>
      </c>
      <c r="F238" s="123">
        <v>1</v>
      </c>
    </row>
    <row r="239" spans="1:6" x14ac:dyDescent="0.3">
      <c r="A239" t="s">
        <v>1890</v>
      </c>
      <c r="B239" t="s">
        <v>150</v>
      </c>
      <c r="C239" t="s">
        <v>2056</v>
      </c>
      <c r="D239" t="s">
        <v>2055</v>
      </c>
      <c r="E239" t="s">
        <v>121</v>
      </c>
      <c r="F239" s="123">
        <v>1</v>
      </c>
    </row>
    <row r="240" spans="1:6" x14ac:dyDescent="0.3">
      <c r="A240" t="s">
        <v>1890</v>
      </c>
      <c r="B240" t="s">
        <v>150</v>
      </c>
      <c r="C240" t="s">
        <v>2064</v>
      </c>
      <c r="D240" t="s">
        <v>2063</v>
      </c>
      <c r="E240" t="s">
        <v>122</v>
      </c>
      <c r="F240" s="123">
        <v>1</v>
      </c>
    </row>
    <row r="241" spans="1:6" x14ac:dyDescent="0.3">
      <c r="A241" t="s">
        <v>1890</v>
      </c>
      <c r="B241" t="s">
        <v>150</v>
      </c>
      <c r="C241" t="s">
        <v>2441</v>
      </c>
      <c r="D241" t="s">
        <v>2440</v>
      </c>
      <c r="E241" t="s">
        <v>121</v>
      </c>
      <c r="F241" s="123">
        <v>1</v>
      </c>
    </row>
    <row r="242" spans="1:6" x14ac:dyDescent="0.3">
      <c r="A242" t="s">
        <v>1890</v>
      </c>
      <c r="B242" t="s">
        <v>150</v>
      </c>
      <c r="C242" t="s">
        <v>2454</v>
      </c>
      <c r="D242" t="s">
        <v>2453</v>
      </c>
      <c r="E242" t="s">
        <v>122</v>
      </c>
      <c r="F242" s="123">
        <v>1</v>
      </c>
    </row>
    <row r="243" spans="1:6" x14ac:dyDescent="0.3">
      <c r="A243" t="s">
        <v>1890</v>
      </c>
      <c r="B243" t="s">
        <v>150</v>
      </c>
      <c r="C243" t="s">
        <v>2467</v>
      </c>
      <c r="D243" t="s">
        <v>2466</v>
      </c>
      <c r="E243" t="s">
        <v>110</v>
      </c>
      <c r="F243" s="123">
        <v>1</v>
      </c>
    </row>
    <row r="244" spans="1:6" x14ac:dyDescent="0.3">
      <c r="A244" t="s">
        <v>1890</v>
      </c>
      <c r="B244" t="s">
        <v>150</v>
      </c>
      <c r="C244" t="s">
        <v>2524</v>
      </c>
      <c r="D244" t="s">
        <v>2523</v>
      </c>
      <c r="E244" t="s">
        <v>117</v>
      </c>
      <c r="F244" s="123">
        <v>1</v>
      </c>
    </row>
    <row r="245" spans="1:6" x14ac:dyDescent="0.3">
      <c r="A245" t="s">
        <v>1890</v>
      </c>
      <c r="B245" t="s">
        <v>2014</v>
      </c>
      <c r="F245" s="123">
        <v>7</v>
      </c>
    </row>
    <row r="246" spans="1:6" x14ac:dyDescent="0.3">
      <c r="A246" t="s">
        <v>1890</v>
      </c>
      <c r="B246" t="s">
        <v>1928</v>
      </c>
      <c r="C246" t="s">
        <v>1925</v>
      </c>
      <c r="D246" t="s">
        <v>1924</v>
      </c>
      <c r="E246" t="s">
        <v>121</v>
      </c>
      <c r="F246" s="123">
        <v>1</v>
      </c>
    </row>
    <row r="247" spans="1:6" x14ac:dyDescent="0.3">
      <c r="A247" t="s">
        <v>1890</v>
      </c>
      <c r="B247" t="s">
        <v>1928</v>
      </c>
      <c r="C247" t="s">
        <v>1944</v>
      </c>
      <c r="D247" t="s">
        <v>1943</v>
      </c>
      <c r="E247" t="s">
        <v>110</v>
      </c>
      <c r="F247" s="123">
        <v>1</v>
      </c>
    </row>
    <row r="248" spans="1:6" x14ac:dyDescent="0.3">
      <c r="A248" t="s">
        <v>1890</v>
      </c>
      <c r="B248" t="s">
        <v>1928</v>
      </c>
      <c r="C248" t="s">
        <v>2020</v>
      </c>
      <c r="D248" t="s">
        <v>2019</v>
      </c>
      <c r="E248" t="s">
        <v>117</v>
      </c>
      <c r="F248" s="123">
        <v>1</v>
      </c>
    </row>
    <row r="249" spans="1:6" x14ac:dyDescent="0.3">
      <c r="A249" t="s">
        <v>1890</v>
      </c>
      <c r="B249" t="s">
        <v>1928</v>
      </c>
      <c r="C249" t="s">
        <v>2143</v>
      </c>
      <c r="D249" t="s">
        <v>2142</v>
      </c>
      <c r="E249" t="s">
        <v>117</v>
      </c>
      <c r="F249" s="123">
        <v>1</v>
      </c>
    </row>
    <row r="250" spans="1:6" x14ac:dyDescent="0.3">
      <c r="A250" t="s">
        <v>1890</v>
      </c>
      <c r="B250" t="s">
        <v>1928</v>
      </c>
      <c r="C250" t="s">
        <v>2239</v>
      </c>
      <c r="D250" t="s">
        <v>2238</v>
      </c>
      <c r="E250" t="s">
        <v>122</v>
      </c>
      <c r="F250" s="123">
        <v>1</v>
      </c>
    </row>
    <row r="251" spans="1:6" x14ac:dyDescent="0.3">
      <c r="A251" t="s">
        <v>1890</v>
      </c>
      <c r="B251" t="s">
        <v>2015</v>
      </c>
      <c r="F251" s="123">
        <v>5</v>
      </c>
    </row>
    <row r="252" spans="1:6" x14ac:dyDescent="0.3">
      <c r="A252" t="s">
        <v>1890</v>
      </c>
      <c r="B252" t="s">
        <v>132</v>
      </c>
      <c r="C252" t="s">
        <v>1492</v>
      </c>
      <c r="D252" t="s">
        <v>1491</v>
      </c>
      <c r="E252" t="s">
        <v>121</v>
      </c>
      <c r="F252" s="123">
        <v>1</v>
      </c>
    </row>
    <row r="253" spans="1:6" x14ac:dyDescent="0.3">
      <c r="A253" t="s">
        <v>1890</v>
      </c>
      <c r="B253" t="s">
        <v>132</v>
      </c>
      <c r="C253" t="s">
        <v>1893</v>
      </c>
      <c r="D253" t="s">
        <v>1892</v>
      </c>
      <c r="E253" t="s">
        <v>104</v>
      </c>
      <c r="F253" s="123">
        <v>1</v>
      </c>
    </row>
    <row r="254" spans="1:6" x14ac:dyDescent="0.3">
      <c r="A254" t="s">
        <v>1890</v>
      </c>
      <c r="B254" t="s">
        <v>132</v>
      </c>
      <c r="C254" t="s">
        <v>2199</v>
      </c>
      <c r="D254" t="s">
        <v>2198</v>
      </c>
      <c r="E254" t="s">
        <v>104</v>
      </c>
      <c r="F254" s="123">
        <v>1</v>
      </c>
    </row>
    <row r="255" spans="1:6" x14ac:dyDescent="0.3">
      <c r="A255" t="s">
        <v>1890</v>
      </c>
      <c r="B255" t="s">
        <v>132</v>
      </c>
      <c r="C255" t="s">
        <v>2213</v>
      </c>
      <c r="D255" t="s">
        <v>2212</v>
      </c>
      <c r="E255" t="s">
        <v>110</v>
      </c>
      <c r="F255" s="123">
        <v>1</v>
      </c>
    </row>
    <row r="256" spans="1:6" x14ac:dyDescent="0.3">
      <c r="A256" t="s">
        <v>1890</v>
      </c>
      <c r="B256" t="s">
        <v>132</v>
      </c>
      <c r="C256" t="s">
        <v>2475</v>
      </c>
      <c r="D256" t="s">
        <v>2474</v>
      </c>
      <c r="E256" t="s">
        <v>121</v>
      </c>
      <c r="F256" s="123">
        <v>1</v>
      </c>
    </row>
    <row r="257" spans="1:6" x14ac:dyDescent="0.3">
      <c r="A257" t="s">
        <v>1890</v>
      </c>
      <c r="B257" t="s">
        <v>132</v>
      </c>
      <c r="C257" t="s">
        <v>2571</v>
      </c>
      <c r="D257" t="s">
        <v>2570</v>
      </c>
      <c r="E257" t="s">
        <v>115</v>
      </c>
      <c r="F257" s="123">
        <v>1</v>
      </c>
    </row>
    <row r="258" spans="1:6" x14ac:dyDescent="0.3">
      <c r="A258" t="s">
        <v>1890</v>
      </c>
      <c r="B258" t="s">
        <v>132</v>
      </c>
      <c r="C258" t="s">
        <v>2580</v>
      </c>
      <c r="D258" t="s">
        <v>2579</v>
      </c>
      <c r="E258" t="s">
        <v>104</v>
      </c>
      <c r="F258" s="123">
        <v>1</v>
      </c>
    </row>
    <row r="259" spans="1:6" x14ac:dyDescent="0.3">
      <c r="A259" t="s">
        <v>1890</v>
      </c>
      <c r="B259" t="s">
        <v>132</v>
      </c>
      <c r="C259" t="s">
        <v>2895</v>
      </c>
      <c r="D259" t="s">
        <v>2894</v>
      </c>
      <c r="E259" t="s">
        <v>104</v>
      </c>
      <c r="F259" s="123">
        <v>1</v>
      </c>
    </row>
    <row r="260" spans="1:6" x14ac:dyDescent="0.3">
      <c r="A260" t="s">
        <v>1890</v>
      </c>
      <c r="B260" t="s">
        <v>132</v>
      </c>
      <c r="C260" t="s">
        <v>2983</v>
      </c>
      <c r="D260" t="s">
        <v>389</v>
      </c>
      <c r="E260" t="s">
        <v>110</v>
      </c>
      <c r="F260" s="123">
        <v>1</v>
      </c>
    </row>
    <row r="261" spans="1:6" x14ac:dyDescent="0.3">
      <c r="A261" t="s">
        <v>1890</v>
      </c>
      <c r="B261" t="s">
        <v>1591</v>
      </c>
      <c r="F261" s="123">
        <v>9</v>
      </c>
    </row>
    <row r="262" spans="1:6" x14ac:dyDescent="0.3">
      <c r="A262" t="s">
        <v>1890</v>
      </c>
      <c r="B262" t="s">
        <v>386</v>
      </c>
      <c r="C262" t="s">
        <v>1644</v>
      </c>
      <c r="D262" t="s">
        <v>1643</v>
      </c>
      <c r="E262" t="s">
        <v>121</v>
      </c>
      <c r="F262" s="123">
        <v>1</v>
      </c>
    </row>
    <row r="263" spans="1:6" x14ac:dyDescent="0.3">
      <c r="A263" t="s">
        <v>1890</v>
      </c>
      <c r="B263" t="s">
        <v>1676</v>
      </c>
      <c r="F263" s="123">
        <v>1</v>
      </c>
    </row>
    <row r="264" spans="1:6" x14ac:dyDescent="0.3">
      <c r="A264" t="s">
        <v>1890</v>
      </c>
      <c r="B264" t="s">
        <v>2823</v>
      </c>
      <c r="C264" t="s">
        <v>2820</v>
      </c>
      <c r="D264" t="s">
        <v>2819</v>
      </c>
      <c r="E264" t="s">
        <v>115</v>
      </c>
      <c r="F264" s="123">
        <v>1</v>
      </c>
    </row>
    <row r="265" spans="1:6" x14ac:dyDescent="0.3">
      <c r="A265" t="s">
        <v>1890</v>
      </c>
      <c r="B265" t="s">
        <v>2859</v>
      </c>
      <c r="F265" s="123">
        <v>1</v>
      </c>
    </row>
    <row r="266" spans="1:6" x14ac:dyDescent="0.3">
      <c r="A266" t="s">
        <v>2008</v>
      </c>
      <c r="F266" s="123">
        <v>41</v>
      </c>
    </row>
    <row r="267" spans="1:6" x14ac:dyDescent="0.3">
      <c r="A267" t="s">
        <v>2807</v>
      </c>
      <c r="B267" t="s">
        <v>2696</v>
      </c>
      <c r="C267" t="s">
        <v>2912</v>
      </c>
      <c r="D267" t="s">
        <v>2911</v>
      </c>
      <c r="E267" t="s">
        <v>121</v>
      </c>
      <c r="F267" s="123">
        <v>1</v>
      </c>
    </row>
    <row r="268" spans="1:6" x14ac:dyDescent="0.3">
      <c r="A268" t="s">
        <v>2807</v>
      </c>
      <c r="B268" t="s">
        <v>2723</v>
      </c>
      <c r="F268" s="123">
        <v>1</v>
      </c>
    </row>
    <row r="269" spans="1:6" x14ac:dyDescent="0.3">
      <c r="A269" t="s">
        <v>2807</v>
      </c>
      <c r="B269" t="s">
        <v>3055</v>
      </c>
      <c r="C269" t="s">
        <v>2382</v>
      </c>
      <c r="D269" t="s">
        <v>2381</v>
      </c>
      <c r="E269" t="s">
        <v>104</v>
      </c>
      <c r="F269" s="123">
        <v>1</v>
      </c>
    </row>
    <row r="270" spans="1:6" x14ac:dyDescent="0.3">
      <c r="A270" t="s">
        <v>2807</v>
      </c>
      <c r="B270" t="s">
        <v>3057</v>
      </c>
      <c r="F270" s="123">
        <v>1</v>
      </c>
    </row>
    <row r="271" spans="1:6" x14ac:dyDescent="0.3">
      <c r="A271" t="s">
        <v>2858</v>
      </c>
      <c r="F271" s="123">
        <v>2</v>
      </c>
    </row>
    <row r="272" spans="1:6" x14ac:dyDescent="0.3">
      <c r="A272" t="s">
        <v>3052</v>
      </c>
      <c r="B272" t="s">
        <v>876</v>
      </c>
      <c r="C272" t="s">
        <v>873</v>
      </c>
      <c r="D272" t="s">
        <v>872</v>
      </c>
      <c r="E272" t="s">
        <v>110</v>
      </c>
      <c r="F272" s="123">
        <v>1</v>
      </c>
    </row>
    <row r="273" spans="1:6" x14ac:dyDescent="0.3">
      <c r="A273" t="s">
        <v>3052</v>
      </c>
      <c r="B273" t="s">
        <v>876</v>
      </c>
      <c r="C273" t="s">
        <v>886</v>
      </c>
      <c r="D273" t="s">
        <v>885</v>
      </c>
      <c r="E273" t="s">
        <v>104</v>
      </c>
      <c r="F273" s="123">
        <v>1</v>
      </c>
    </row>
    <row r="274" spans="1:6" x14ac:dyDescent="0.3">
      <c r="A274" t="s">
        <v>3052</v>
      </c>
      <c r="B274" t="s">
        <v>1592</v>
      </c>
      <c r="F274" s="123">
        <v>2</v>
      </c>
    </row>
    <row r="275" spans="1:6" x14ac:dyDescent="0.3">
      <c r="A275" t="s">
        <v>3053</v>
      </c>
      <c r="F275" s="123">
        <v>2</v>
      </c>
    </row>
    <row r="276" spans="1:6" x14ac:dyDescent="0.3">
      <c r="A276" t="s">
        <v>182</v>
      </c>
      <c r="F276" s="123">
        <v>207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42B98-E4C1-49E7-A41C-45C8116AEDEA}">
  <sheetPr codeName="Hoja14">
    <tabColor theme="8"/>
  </sheetPr>
  <dimension ref="A1:E64"/>
  <sheetViews>
    <sheetView workbookViewId="0">
      <selection activeCell="G7" sqref="G7"/>
    </sheetView>
  </sheetViews>
  <sheetFormatPr baseColWidth="10" defaultRowHeight="14.4" x14ac:dyDescent="0.3"/>
  <cols>
    <col min="1" max="1" width="17.33203125" bestFit="1" customWidth="1"/>
    <col min="2" max="2" width="23.109375" bestFit="1" customWidth="1"/>
    <col min="3" max="3" width="13.33203125" style="1" bestFit="1" customWidth="1"/>
    <col min="4" max="4" width="11.44140625" bestFit="1" customWidth="1"/>
    <col min="5" max="5" width="7.6640625" bestFit="1" customWidth="1"/>
  </cols>
  <sheetData>
    <row r="1" spans="1:5" x14ac:dyDescent="0.3">
      <c r="A1" s="10" t="s">
        <v>3</v>
      </c>
      <c r="B1" t="s">
        <v>4</v>
      </c>
    </row>
    <row r="2" spans="1:5" x14ac:dyDescent="0.3">
      <c r="A2" s="10" t="s">
        <v>76</v>
      </c>
      <c r="B2" t="s">
        <v>77</v>
      </c>
    </row>
    <row r="4" spans="1:5" x14ac:dyDescent="0.3">
      <c r="A4" s="10" t="s">
        <v>237</v>
      </c>
      <c r="B4" s="10" t="s">
        <v>238</v>
      </c>
      <c r="C4" s="17" t="s">
        <v>244</v>
      </c>
      <c r="D4" t="s">
        <v>243</v>
      </c>
      <c r="E4" t="s">
        <v>183</v>
      </c>
    </row>
    <row r="5" spans="1:5" x14ac:dyDescent="0.3">
      <c r="A5" t="s">
        <v>116</v>
      </c>
      <c r="B5" t="s">
        <v>114</v>
      </c>
      <c r="C5" s="1" t="s">
        <v>1</v>
      </c>
      <c r="D5" s="5">
        <v>136500</v>
      </c>
      <c r="E5" s="123">
        <v>3</v>
      </c>
    </row>
    <row r="6" spans="1:5" x14ac:dyDescent="0.3">
      <c r="B6" t="s">
        <v>126</v>
      </c>
      <c r="C6" s="1" t="s">
        <v>1</v>
      </c>
      <c r="D6" s="5">
        <v>259500</v>
      </c>
      <c r="E6" s="123">
        <v>6</v>
      </c>
    </row>
    <row r="7" spans="1:5" x14ac:dyDescent="0.3">
      <c r="B7" t="s">
        <v>2101</v>
      </c>
      <c r="C7" s="1" t="s">
        <v>1</v>
      </c>
      <c r="D7" s="5">
        <v>50000</v>
      </c>
      <c r="E7" s="123">
        <v>1</v>
      </c>
    </row>
    <row r="8" spans="1:5" x14ac:dyDescent="0.3">
      <c r="B8" t="s">
        <v>745</v>
      </c>
      <c r="C8" s="1" t="s">
        <v>1</v>
      </c>
      <c r="D8" s="5">
        <v>450000</v>
      </c>
      <c r="E8" s="123">
        <v>9</v>
      </c>
    </row>
    <row r="9" spans="1:5" x14ac:dyDescent="0.3">
      <c r="B9" t="s">
        <v>557</v>
      </c>
      <c r="C9" t="s">
        <v>1</v>
      </c>
      <c r="D9" s="5">
        <v>50000</v>
      </c>
      <c r="E9" s="123">
        <v>1</v>
      </c>
    </row>
    <row r="10" spans="1:5" x14ac:dyDescent="0.3">
      <c r="A10" s="1" t="s">
        <v>1573</v>
      </c>
      <c r="B10" s="1"/>
      <c r="D10" s="5">
        <v>946000</v>
      </c>
      <c r="E10" s="123">
        <v>20</v>
      </c>
    </row>
    <row r="11" spans="1:5" x14ac:dyDescent="0.3">
      <c r="A11" t="s">
        <v>118</v>
      </c>
      <c r="B11" t="s">
        <v>135</v>
      </c>
      <c r="C11" s="1" t="s">
        <v>1</v>
      </c>
      <c r="D11" s="5">
        <v>223000</v>
      </c>
      <c r="E11" s="123">
        <v>5</v>
      </c>
    </row>
    <row r="12" spans="1:5" x14ac:dyDescent="0.3">
      <c r="B12" t="s">
        <v>123</v>
      </c>
      <c r="C12" s="1" t="s">
        <v>2</v>
      </c>
      <c r="D12" s="5">
        <v>36500</v>
      </c>
      <c r="E12" s="123">
        <v>1</v>
      </c>
    </row>
    <row r="13" spans="1:5" x14ac:dyDescent="0.3">
      <c r="C13" s="1" t="s">
        <v>1</v>
      </c>
      <c r="D13" s="5">
        <v>547500</v>
      </c>
      <c r="E13" s="123">
        <v>15</v>
      </c>
    </row>
    <row r="14" spans="1:5" x14ac:dyDescent="0.3">
      <c r="B14" t="s">
        <v>1125</v>
      </c>
      <c r="C14" s="1" t="s">
        <v>1</v>
      </c>
      <c r="D14" s="5">
        <v>600000</v>
      </c>
      <c r="E14" s="123">
        <v>12</v>
      </c>
    </row>
    <row r="15" spans="1:5" x14ac:dyDescent="0.3">
      <c r="B15" t="s">
        <v>162</v>
      </c>
      <c r="C15" s="1" t="s">
        <v>1</v>
      </c>
      <c r="D15" s="5">
        <v>250000</v>
      </c>
      <c r="E15" s="123">
        <v>5</v>
      </c>
    </row>
    <row r="16" spans="1:5" x14ac:dyDescent="0.3">
      <c r="A16" s="1" t="s">
        <v>1575</v>
      </c>
      <c r="B16" s="1"/>
      <c r="D16" s="5">
        <v>1657000</v>
      </c>
      <c r="E16" s="123">
        <v>38</v>
      </c>
    </row>
    <row r="17" spans="1:5" x14ac:dyDescent="0.3">
      <c r="A17" t="s">
        <v>111</v>
      </c>
      <c r="B17" t="s">
        <v>226</v>
      </c>
      <c r="C17" t="s">
        <v>1</v>
      </c>
      <c r="D17" s="5">
        <v>250000</v>
      </c>
      <c r="E17" s="123">
        <v>5</v>
      </c>
    </row>
    <row r="18" spans="1:5" x14ac:dyDescent="0.3">
      <c r="B18" t="s">
        <v>109</v>
      </c>
      <c r="C18" s="1" t="s">
        <v>1</v>
      </c>
      <c r="D18" s="5">
        <v>50000</v>
      </c>
      <c r="E18" s="123">
        <v>1</v>
      </c>
    </row>
    <row r="19" spans="1:5" x14ac:dyDescent="0.3">
      <c r="B19" t="s">
        <v>245</v>
      </c>
      <c r="C19" s="1" t="s">
        <v>2</v>
      </c>
      <c r="D19" s="5">
        <v>50000</v>
      </c>
      <c r="E19" s="123">
        <v>1</v>
      </c>
    </row>
    <row r="20" spans="1:5" x14ac:dyDescent="0.3">
      <c r="B20" t="s">
        <v>1914</v>
      </c>
      <c r="C20" s="1" t="s">
        <v>1</v>
      </c>
      <c r="D20" s="5">
        <v>100000</v>
      </c>
      <c r="E20" s="123">
        <v>2</v>
      </c>
    </row>
    <row r="21" spans="1:5" x14ac:dyDescent="0.3">
      <c r="B21" t="s">
        <v>2132</v>
      </c>
      <c r="C21" t="s">
        <v>1</v>
      </c>
      <c r="D21" s="5">
        <v>250000</v>
      </c>
      <c r="E21" s="123">
        <v>5</v>
      </c>
    </row>
    <row r="22" spans="1:5" x14ac:dyDescent="0.3">
      <c r="A22" s="1" t="s">
        <v>1576</v>
      </c>
      <c r="B22" s="1"/>
      <c r="D22" s="5">
        <v>700000</v>
      </c>
      <c r="E22" s="123">
        <v>14</v>
      </c>
    </row>
    <row r="23" spans="1:5" x14ac:dyDescent="0.3">
      <c r="A23" t="s">
        <v>105</v>
      </c>
      <c r="B23" t="s">
        <v>103</v>
      </c>
      <c r="C23" s="1" t="s">
        <v>1</v>
      </c>
      <c r="D23" s="5">
        <v>50000</v>
      </c>
      <c r="E23" s="123">
        <v>1</v>
      </c>
    </row>
    <row r="24" spans="1:5" x14ac:dyDescent="0.3">
      <c r="B24" t="s">
        <v>1253</v>
      </c>
      <c r="C24" s="1" t="s">
        <v>2</v>
      </c>
      <c r="D24" s="5">
        <v>50000</v>
      </c>
      <c r="E24" s="123">
        <v>1</v>
      </c>
    </row>
    <row r="25" spans="1:5" x14ac:dyDescent="0.3">
      <c r="C25" s="1" t="s">
        <v>1</v>
      </c>
      <c r="D25" s="5">
        <v>86500</v>
      </c>
      <c r="E25" s="123">
        <v>2</v>
      </c>
    </row>
    <row r="26" spans="1:5" x14ac:dyDescent="0.3">
      <c r="B26" t="s">
        <v>413</v>
      </c>
      <c r="C26" s="1" t="s">
        <v>1</v>
      </c>
      <c r="D26" s="5">
        <v>250000</v>
      </c>
      <c r="E26" s="123">
        <v>5</v>
      </c>
    </row>
    <row r="27" spans="1:5" x14ac:dyDescent="0.3">
      <c r="A27" s="1" t="s">
        <v>1577</v>
      </c>
      <c r="B27" s="1"/>
      <c r="D27" s="5">
        <v>436500</v>
      </c>
      <c r="E27" s="123">
        <v>9</v>
      </c>
    </row>
    <row r="28" spans="1:5" x14ac:dyDescent="0.3">
      <c r="A28" t="s">
        <v>1004</v>
      </c>
      <c r="B28" t="s">
        <v>1476</v>
      </c>
      <c r="C28" t="s">
        <v>1</v>
      </c>
      <c r="D28" s="5">
        <v>100000</v>
      </c>
      <c r="E28" s="123">
        <v>2</v>
      </c>
    </row>
    <row r="29" spans="1:5" x14ac:dyDescent="0.3">
      <c r="B29" t="s">
        <v>235</v>
      </c>
      <c r="C29" t="s">
        <v>1</v>
      </c>
      <c r="D29" s="5">
        <v>100000</v>
      </c>
      <c r="E29" s="123">
        <v>2</v>
      </c>
    </row>
    <row r="30" spans="1:5" x14ac:dyDescent="0.3">
      <c r="B30" t="s">
        <v>2712</v>
      </c>
      <c r="C30" t="s">
        <v>1</v>
      </c>
      <c r="D30" s="5">
        <v>100000</v>
      </c>
      <c r="E30" s="123">
        <v>2</v>
      </c>
    </row>
    <row r="31" spans="1:5" x14ac:dyDescent="0.3">
      <c r="B31" t="s">
        <v>1003</v>
      </c>
      <c r="C31" t="s">
        <v>1</v>
      </c>
      <c r="D31" s="5">
        <v>450000</v>
      </c>
      <c r="E31" s="123">
        <v>9</v>
      </c>
    </row>
    <row r="32" spans="1:5" x14ac:dyDescent="0.3">
      <c r="B32" t="s">
        <v>692</v>
      </c>
      <c r="C32" t="s">
        <v>1</v>
      </c>
      <c r="D32" s="5">
        <v>505500</v>
      </c>
      <c r="E32" s="123">
        <v>12</v>
      </c>
    </row>
    <row r="33" spans="1:5" x14ac:dyDescent="0.3">
      <c r="A33" t="s">
        <v>1574</v>
      </c>
      <c r="C33"/>
      <c r="D33" s="5">
        <v>1255500</v>
      </c>
      <c r="E33" s="123">
        <v>27</v>
      </c>
    </row>
    <row r="34" spans="1:5" x14ac:dyDescent="0.3">
      <c r="A34" t="s">
        <v>1718</v>
      </c>
      <c r="B34" t="s">
        <v>939</v>
      </c>
      <c r="C34" t="s">
        <v>1</v>
      </c>
      <c r="D34" s="5">
        <v>50000</v>
      </c>
      <c r="E34" s="123">
        <v>1</v>
      </c>
    </row>
    <row r="35" spans="1:5" x14ac:dyDescent="0.3">
      <c r="A35" t="s">
        <v>1741</v>
      </c>
      <c r="C35"/>
      <c r="D35" s="5">
        <v>50000</v>
      </c>
      <c r="E35" s="123">
        <v>1</v>
      </c>
    </row>
    <row r="36" spans="1:5" x14ac:dyDescent="0.3">
      <c r="A36" t="s">
        <v>1890</v>
      </c>
      <c r="B36" t="s">
        <v>2665</v>
      </c>
      <c r="C36" t="s">
        <v>2</v>
      </c>
      <c r="D36" s="5">
        <v>50000</v>
      </c>
      <c r="E36" s="123">
        <v>1</v>
      </c>
    </row>
    <row r="37" spans="1:5" x14ac:dyDescent="0.3">
      <c r="B37" t="s">
        <v>1300</v>
      </c>
      <c r="C37" t="s">
        <v>1</v>
      </c>
      <c r="D37" s="5">
        <v>286500</v>
      </c>
      <c r="E37" s="123">
        <v>6</v>
      </c>
    </row>
    <row r="38" spans="1:5" x14ac:dyDescent="0.3">
      <c r="B38" t="s">
        <v>113</v>
      </c>
      <c r="C38" t="s">
        <v>1</v>
      </c>
      <c r="D38" s="5">
        <v>250000</v>
      </c>
      <c r="E38" s="123">
        <v>5</v>
      </c>
    </row>
    <row r="39" spans="1:5" x14ac:dyDescent="0.3">
      <c r="B39" t="s">
        <v>150</v>
      </c>
      <c r="C39" t="s">
        <v>1</v>
      </c>
      <c r="D39" s="5">
        <v>300000</v>
      </c>
      <c r="E39" s="123">
        <v>6</v>
      </c>
    </row>
    <row r="40" spans="1:5" x14ac:dyDescent="0.3">
      <c r="B40" t="s">
        <v>1928</v>
      </c>
      <c r="C40" t="s">
        <v>1</v>
      </c>
      <c r="D40" s="5">
        <v>159500</v>
      </c>
      <c r="E40" s="123">
        <v>4</v>
      </c>
    </row>
    <row r="41" spans="1:5" x14ac:dyDescent="0.3">
      <c r="B41" t="s">
        <v>132</v>
      </c>
      <c r="C41" t="s">
        <v>1</v>
      </c>
      <c r="D41" s="5">
        <v>350000</v>
      </c>
      <c r="E41" s="123">
        <v>7</v>
      </c>
    </row>
    <row r="42" spans="1:5" x14ac:dyDescent="0.3">
      <c r="B42" t="s">
        <v>386</v>
      </c>
      <c r="C42" t="s">
        <v>1</v>
      </c>
      <c r="D42" s="5">
        <v>50000</v>
      </c>
      <c r="E42" s="123">
        <v>1</v>
      </c>
    </row>
    <row r="43" spans="1:5" x14ac:dyDescent="0.3">
      <c r="A43" t="s">
        <v>2008</v>
      </c>
      <c r="C43"/>
      <c r="D43" s="5">
        <v>1446000</v>
      </c>
      <c r="E43" s="123">
        <v>30</v>
      </c>
    </row>
    <row r="44" spans="1:5" x14ac:dyDescent="0.3">
      <c r="A44" t="s">
        <v>2807</v>
      </c>
      <c r="B44" t="s">
        <v>3055</v>
      </c>
      <c r="C44" t="s">
        <v>1</v>
      </c>
      <c r="D44" s="5">
        <v>50000</v>
      </c>
      <c r="E44" s="123">
        <v>1</v>
      </c>
    </row>
    <row r="45" spans="1:5" x14ac:dyDescent="0.3">
      <c r="A45" t="s">
        <v>2858</v>
      </c>
      <c r="C45"/>
      <c r="D45" s="5">
        <v>50000</v>
      </c>
      <c r="E45" s="123">
        <v>1</v>
      </c>
    </row>
    <row r="46" spans="1:5" x14ac:dyDescent="0.3">
      <c r="A46" t="s">
        <v>3052</v>
      </c>
      <c r="B46" t="s">
        <v>876</v>
      </c>
      <c r="C46" t="s">
        <v>1</v>
      </c>
      <c r="D46" s="5">
        <v>100000</v>
      </c>
      <c r="E46" s="123">
        <v>2</v>
      </c>
    </row>
    <row r="47" spans="1:5" x14ac:dyDescent="0.3">
      <c r="A47" t="s">
        <v>3053</v>
      </c>
      <c r="C47"/>
      <c r="D47" s="5">
        <v>100000</v>
      </c>
      <c r="E47" s="123">
        <v>2</v>
      </c>
    </row>
    <row r="48" spans="1:5" x14ac:dyDescent="0.3">
      <c r="A48" s="1" t="s">
        <v>182</v>
      </c>
      <c r="B48" s="1"/>
      <c r="D48" s="5">
        <v>6641000</v>
      </c>
      <c r="E48" s="123">
        <v>142</v>
      </c>
    </row>
    <row r="49" spans="3:3" x14ac:dyDescent="0.3">
      <c r="C49"/>
    </row>
    <row r="50" spans="3:3" x14ac:dyDescent="0.3">
      <c r="C50"/>
    </row>
    <row r="51" spans="3:3" x14ac:dyDescent="0.3">
      <c r="C51"/>
    </row>
    <row r="52" spans="3:3" x14ac:dyDescent="0.3">
      <c r="C52"/>
    </row>
    <row r="53" spans="3:3" x14ac:dyDescent="0.3">
      <c r="C53"/>
    </row>
    <row r="54" spans="3:3" x14ac:dyDescent="0.3">
      <c r="C54"/>
    </row>
    <row r="55" spans="3:3" x14ac:dyDescent="0.3">
      <c r="C55"/>
    </row>
    <row r="56" spans="3:3" x14ac:dyDescent="0.3">
      <c r="C56"/>
    </row>
    <row r="57" spans="3:3" x14ac:dyDescent="0.3">
      <c r="C57"/>
    </row>
    <row r="58" spans="3:3" x14ac:dyDescent="0.3">
      <c r="C58"/>
    </row>
    <row r="59" spans="3:3" x14ac:dyDescent="0.3">
      <c r="C59"/>
    </row>
    <row r="60" spans="3:3" x14ac:dyDescent="0.3">
      <c r="C60"/>
    </row>
    <row r="61" spans="3:3" x14ac:dyDescent="0.3">
      <c r="C61"/>
    </row>
    <row r="62" spans="3:3" x14ac:dyDescent="0.3">
      <c r="C62"/>
    </row>
    <row r="63" spans="3:3" x14ac:dyDescent="0.3">
      <c r="C63"/>
    </row>
    <row r="64" spans="3:3" x14ac:dyDescent="0.3">
      <c r="C64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DA77-DAB1-4E3F-9BB7-9B84BB1572E4}">
  <sheetPr codeName="Hoja15">
    <tabColor theme="8"/>
  </sheetPr>
  <dimension ref="A1:L158"/>
  <sheetViews>
    <sheetView workbookViewId="0">
      <selection activeCell="M9" sqref="M9"/>
    </sheetView>
  </sheetViews>
  <sheetFormatPr baseColWidth="10" defaultRowHeight="14.4" x14ac:dyDescent="0.3"/>
  <cols>
    <col min="1" max="1" width="15.88671875" bestFit="1" customWidth="1"/>
    <col min="2" max="2" width="20.44140625" bestFit="1" customWidth="1"/>
    <col min="3" max="3" width="19.5546875" bestFit="1" customWidth="1"/>
    <col min="4" max="4" width="39.33203125" bestFit="1" customWidth="1"/>
    <col min="5" max="5" width="12.5546875" bestFit="1" customWidth="1"/>
    <col min="6" max="6" width="12.6640625" style="7" bestFit="1" customWidth="1"/>
    <col min="7" max="7" width="8" bestFit="1" customWidth="1"/>
    <col min="8" max="8" width="36.33203125" bestFit="1" customWidth="1"/>
    <col min="9" max="9" width="20" bestFit="1" customWidth="1"/>
    <col min="10" max="10" width="13" bestFit="1" customWidth="1"/>
    <col min="11" max="11" width="7.6640625" bestFit="1" customWidth="1"/>
  </cols>
  <sheetData>
    <row r="1" spans="1:12" x14ac:dyDescent="0.3">
      <c r="A1" s="10" t="s">
        <v>3</v>
      </c>
      <c r="B1" t="s">
        <v>4</v>
      </c>
    </row>
    <row r="2" spans="1:12" x14ac:dyDescent="0.3">
      <c r="A2" s="10" t="s">
        <v>76</v>
      </c>
      <c r="B2" t="s">
        <v>77</v>
      </c>
    </row>
    <row r="3" spans="1:12" x14ac:dyDescent="0.3">
      <c r="A3" s="10" t="s">
        <v>438</v>
      </c>
      <c r="B3" t="s">
        <v>189</v>
      </c>
    </row>
    <row r="4" spans="1:12" s="1" customFormat="1" x14ac:dyDescent="0.3">
      <c r="A4"/>
      <c r="B4"/>
      <c r="C4"/>
      <c r="D4"/>
      <c r="E4"/>
      <c r="F4"/>
      <c r="G4"/>
      <c r="H4"/>
      <c r="I4"/>
      <c r="J4"/>
      <c r="K4"/>
      <c r="L4"/>
    </row>
    <row r="5" spans="1:12" x14ac:dyDescent="0.3">
      <c r="A5" s="17" t="s">
        <v>187</v>
      </c>
      <c r="B5" s="17" t="s">
        <v>237</v>
      </c>
      <c r="C5" s="17" t="s">
        <v>238</v>
      </c>
      <c r="D5" s="17" t="s">
        <v>96</v>
      </c>
      <c r="E5" s="17" t="s">
        <v>249</v>
      </c>
      <c r="F5" s="37" t="s">
        <v>435</v>
      </c>
      <c r="G5" s="10" t="s">
        <v>437</v>
      </c>
      <c r="H5" s="17" t="s">
        <v>184</v>
      </c>
      <c r="I5" s="17" t="s">
        <v>185</v>
      </c>
      <c r="J5" s="17" t="s">
        <v>186</v>
      </c>
      <c r="K5" s="1" t="s">
        <v>183</v>
      </c>
    </row>
    <row r="6" spans="1:12" x14ac:dyDescent="0.3">
      <c r="A6" t="s">
        <v>121</v>
      </c>
      <c r="B6" t="s">
        <v>116</v>
      </c>
      <c r="C6" t="s">
        <v>114</v>
      </c>
      <c r="D6" t="s">
        <v>2629</v>
      </c>
      <c r="E6" t="s">
        <v>2627</v>
      </c>
      <c r="F6" s="7">
        <v>31730</v>
      </c>
      <c r="G6" t="s">
        <v>1667</v>
      </c>
      <c r="H6" t="s">
        <v>2628</v>
      </c>
      <c r="I6" t="s">
        <v>367</v>
      </c>
      <c r="J6" t="s">
        <v>2631</v>
      </c>
      <c r="K6" s="123">
        <v>1</v>
      </c>
    </row>
    <row r="7" spans="1:12" x14ac:dyDescent="0.3">
      <c r="A7" t="s">
        <v>121</v>
      </c>
      <c r="B7" t="s">
        <v>116</v>
      </c>
      <c r="C7" t="s">
        <v>745</v>
      </c>
      <c r="D7" t="s">
        <v>2371</v>
      </c>
      <c r="E7" t="s">
        <v>2369</v>
      </c>
      <c r="F7" s="7">
        <v>36083</v>
      </c>
      <c r="G7" t="s">
        <v>1669</v>
      </c>
      <c r="H7" t="s">
        <v>2370</v>
      </c>
      <c r="I7" t="s">
        <v>118</v>
      </c>
      <c r="J7" t="s">
        <v>2373</v>
      </c>
      <c r="K7" s="123">
        <v>1</v>
      </c>
    </row>
    <row r="8" spans="1:12" x14ac:dyDescent="0.3">
      <c r="A8" t="s">
        <v>121</v>
      </c>
      <c r="B8" t="s">
        <v>116</v>
      </c>
      <c r="C8" t="s">
        <v>745</v>
      </c>
      <c r="D8" t="s">
        <v>805</v>
      </c>
      <c r="E8" t="s">
        <v>803</v>
      </c>
      <c r="F8" s="7">
        <v>36633</v>
      </c>
      <c r="G8" t="s">
        <v>1657</v>
      </c>
      <c r="H8" t="s">
        <v>804</v>
      </c>
      <c r="I8" t="s">
        <v>367</v>
      </c>
      <c r="J8" t="s">
        <v>807</v>
      </c>
      <c r="K8" s="123">
        <v>1</v>
      </c>
    </row>
    <row r="9" spans="1:12" x14ac:dyDescent="0.3">
      <c r="A9" t="s">
        <v>121</v>
      </c>
      <c r="B9" t="s">
        <v>116</v>
      </c>
      <c r="C9" t="s">
        <v>745</v>
      </c>
      <c r="D9" t="s">
        <v>1604</v>
      </c>
      <c r="E9" t="s">
        <v>1602</v>
      </c>
      <c r="F9" s="7">
        <v>35728</v>
      </c>
      <c r="G9" t="s">
        <v>1670</v>
      </c>
      <c r="H9" t="s">
        <v>1603</v>
      </c>
      <c r="I9" t="s">
        <v>367</v>
      </c>
      <c r="J9" t="s">
        <v>1606</v>
      </c>
      <c r="K9" s="123">
        <v>1</v>
      </c>
    </row>
    <row r="10" spans="1:12" x14ac:dyDescent="0.3">
      <c r="A10" t="s">
        <v>121</v>
      </c>
      <c r="B10" t="s">
        <v>118</v>
      </c>
      <c r="C10" t="s">
        <v>135</v>
      </c>
      <c r="D10" t="s">
        <v>950</v>
      </c>
      <c r="E10" t="s">
        <v>948</v>
      </c>
      <c r="F10" s="7">
        <v>33147</v>
      </c>
      <c r="G10" t="s">
        <v>1664</v>
      </c>
      <c r="H10" t="s">
        <v>949</v>
      </c>
      <c r="I10" t="s">
        <v>771</v>
      </c>
      <c r="J10" t="s">
        <v>952</v>
      </c>
      <c r="K10" s="123">
        <v>1</v>
      </c>
    </row>
    <row r="11" spans="1:12" x14ac:dyDescent="0.3">
      <c r="A11" t="s">
        <v>121</v>
      </c>
      <c r="B11" t="s">
        <v>118</v>
      </c>
      <c r="C11" t="s">
        <v>135</v>
      </c>
      <c r="D11" t="s">
        <v>974</v>
      </c>
      <c r="E11" t="s">
        <v>1554</v>
      </c>
      <c r="F11" s="7">
        <v>32726</v>
      </c>
      <c r="G11" t="s">
        <v>1658</v>
      </c>
      <c r="H11" t="s">
        <v>973</v>
      </c>
      <c r="I11" t="s">
        <v>771</v>
      </c>
      <c r="J11" t="s">
        <v>976</v>
      </c>
      <c r="K11" s="123">
        <v>1</v>
      </c>
    </row>
    <row r="12" spans="1:12" x14ac:dyDescent="0.3">
      <c r="A12" t="s">
        <v>121</v>
      </c>
      <c r="B12" t="s">
        <v>118</v>
      </c>
      <c r="C12" t="s">
        <v>123</v>
      </c>
      <c r="D12" t="s">
        <v>564</v>
      </c>
      <c r="E12" t="s">
        <v>563</v>
      </c>
      <c r="F12" s="7">
        <v>36716</v>
      </c>
      <c r="G12" t="s">
        <v>1655</v>
      </c>
      <c r="H12" t="s">
        <v>562</v>
      </c>
      <c r="I12" t="s">
        <v>112</v>
      </c>
      <c r="J12" t="s">
        <v>675</v>
      </c>
      <c r="K12" s="123">
        <v>1</v>
      </c>
    </row>
    <row r="13" spans="1:12" x14ac:dyDescent="0.3">
      <c r="A13" t="s">
        <v>121</v>
      </c>
      <c r="B13" t="s">
        <v>118</v>
      </c>
      <c r="C13" t="s">
        <v>123</v>
      </c>
      <c r="D13" t="s">
        <v>1239</v>
      </c>
      <c r="E13" t="s">
        <v>1558</v>
      </c>
      <c r="F13" s="7">
        <v>36078</v>
      </c>
      <c r="G13" t="s">
        <v>1669</v>
      </c>
      <c r="H13" t="s">
        <v>1238</v>
      </c>
      <c r="I13" t="s">
        <v>118</v>
      </c>
      <c r="J13" t="s">
        <v>1241</v>
      </c>
      <c r="K13" s="123">
        <v>1</v>
      </c>
    </row>
    <row r="14" spans="1:12" x14ac:dyDescent="0.3">
      <c r="A14" t="s">
        <v>121</v>
      </c>
      <c r="B14" t="s">
        <v>111</v>
      </c>
      <c r="C14" t="s">
        <v>226</v>
      </c>
      <c r="D14" t="s">
        <v>1833</v>
      </c>
      <c r="E14" t="s">
        <v>1883</v>
      </c>
      <c r="F14" s="7">
        <v>32085</v>
      </c>
      <c r="G14" t="s">
        <v>1675</v>
      </c>
      <c r="H14" t="s">
        <v>1832</v>
      </c>
      <c r="I14" t="s">
        <v>328</v>
      </c>
      <c r="J14" t="s">
        <v>1835</v>
      </c>
      <c r="K14" s="123">
        <v>1</v>
      </c>
    </row>
    <row r="15" spans="1:12" x14ac:dyDescent="0.3">
      <c r="A15" t="s">
        <v>121</v>
      </c>
      <c r="B15" t="s">
        <v>1004</v>
      </c>
      <c r="C15" t="s">
        <v>235</v>
      </c>
      <c r="D15" t="s">
        <v>2732</v>
      </c>
      <c r="E15" t="s">
        <v>2730</v>
      </c>
      <c r="F15" s="7">
        <v>32003</v>
      </c>
      <c r="G15" t="s">
        <v>1675</v>
      </c>
      <c r="H15" t="s">
        <v>2731</v>
      </c>
      <c r="I15" t="s">
        <v>124</v>
      </c>
      <c r="J15" t="s">
        <v>2734</v>
      </c>
      <c r="K15" s="123">
        <v>1</v>
      </c>
    </row>
    <row r="16" spans="1:12" x14ac:dyDescent="0.3">
      <c r="A16" t="s">
        <v>121</v>
      </c>
      <c r="B16" t="s">
        <v>1004</v>
      </c>
      <c r="C16" t="s">
        <v>1003</v>
      </c>
      <c r="D16" t="s">
        <v>1187</v>
      </c>
      <c r="E16" t="s">
        <v>1557</v>
      </c>
      <c r="F16" s="7">
        <v>35638</v>
      </c>
      <c r="G16" t="s">
        <v>1670</v>
      </c>
      <c r="H16" t="s">
        <v>1186</v>
      </c>
      <c r="I16" t="s">
        <v>1039</v>
      </c>
      <c r="J16" t="s">
        <v>1189</v>
      </c>
      <c r="K16" s="123">
        <v>1</v>
      </c>
    </row>
    <row r="17" spans="1:11" x14ac:dyDescent="0.3">
      <c r="A17" t="s">
        <v>121</v>
      </c>
      <c r="B17" t="s">
        <v>1004</v>
      </c>
      <c r="C17" t="s">
        <v>692</v>
      </c>
      <c r="D17" t="s">
        <v>2324</v>
      </c>
      <c r="E17" t="s">
        <v>2322</v>
      </c>
      <c r="F17" s="7">
        <v>37322</v>
      </c>
      <c r="G17" t="s">
        <v>1656</v>
      </c>
      <c r="H17" t="s">
        <v>2323</v>
      </c>
      <c r="I17" t="s">
        <v>118</v>
      </c>
      <c r="J17" t="s">
        <v>2326</v>
      </c>
      <c r="K17" s="123">
        <v>1</v>
      </c>
    </row>
    <row r="18" spans="1:11" x14ac:dyDescent="0.3">
      <c r="A18" t="s">
        <v>121</v>
      </c>
      <c r="B18" t="s">
        <v>1890</v>
      </c>
      <c r="C18" t="s">
        <v>1300</v>
      </c>
      <c r="D18" t="s">
        <v>2993</v>
      </c>
      <c r="E18" t="s">
        <v>2991</v>
      </c>
      <c r="F18" s="7">
        <v>36101</v>
      </c>
      <c r="G18" t="s">
        <v>1669</v>
      </c>
      <c r="H18" t="s">
        <v>2992</v>
      </c>
      <c r="I18" t="s">
        <v>148</v>
      </c>
      <c r="J18" t="s">
        <v>2995</v>
      </c>
      <c r="K18" s="123">
        <v>1</v>
      </c>
    </row>
    <row r="19" spans="1:11" x14ac:dyDescent="0.3">
      <c r="A19" t="s">
        <v>121</v>
      </c>
      <c r="B19" t="s">
        <v>1890</v>
      </c>
      <c r="C19" t="s">
        <v>113</v>
      </c>
      <c r="D19" t="s">
        <v>783</v>
      </c>
      <c r="E19" t="s">
        <v>781</v>
      </c>
      <c r="F19" s="7">
        <v>33020</v>
      </c>
      <c r="G19" t="s">
        <v>1658</v>
      </c>
      <c r="H19" t="s">
        <v>782</v>
      </c>
      <c r="I19" t="s">
        <v>148</v>
      </c>
      <c r="J19" t="s">
        <v>785</v>
      </c>
      <c r="K19" s="123">
        <v>1</v>
      </c>
    </row>
    <row r="20" spans="1:11" x14ac:dyDescent="0.3">
      <c r="A20" t="s">
        <v>121</v>
      </c>
      <c r="B20" t="s">
        <v>1890</v>
      </c>
      <c r="C20" t="s">
        <v>150</v>
      </c>
      <c r="D20" t="s">
        <v>2056</v>
      </c>
      <c r="E20" t="s">
        <v>2054</v>
      </c>
      <c r="F20" s="7">
        <v>35911</v>
      </c>
      <c r="G20" t="s">
        <v>1670</v>
      </c>
      <c r="H20" t="s">
        <v>2055</v>
      </c>
      <c r="I20" t="s">
        <v>112</v>
      </c>
      <c r="J20" t="s">
        <v>2058</v>
      </c>
      <c r="K20" s="123">
        <v>1</v>
      </c>
    </row>
    <row r="21" spans="1:11" x14ac:dyDescent="0.3">
      <c r="A21" t="s">
        <v>121</v>
      </c>
      <c r="B21" t="s">
        <v>1890</v>
      </c>
      <c r="C21" t="s">
        <v>150</v>
      </c>
      <c r="D21" t="s">
        <v>2441</v>
      </c>
      <c r="E21" t="s">
        <v>2439</v>
      </c>
      <c r="F21" s="7">
        <v>35466</v>
      </c>
      <c r="G21" t="s">
        <v>1673</v>
      </c>
      <c r="H21" t="s">
        <v>2440</v>
      </c>
      <c r="I21" t="s">
        <v>112</v>
      </c>
      <c r="J21" t="s">
        <v>2443</v>
      </c>
      <c r="K21" s="123">
        <v>1</v>
      </c>
    </row>
    <row r="22" spans="1:11" x14ac:dyDescent="0.3">
      <c r="A22" t="s">
        <v>121</v>
      </c>
      <c r="B22" t="s">
        <v>1890</v>
      </c>
      <c r="C22" t="s">
        <v>1928</v>
      </c>
      <c r="D22" t="s">
        <v>1925</v>
      </c>
      <c r="E22" t="s">
        <v>1923</v>
      </c>
      <c r="F22" s="7">
        <v>34453</v>
      </c>
      <c r="G22" t="s">
        <v>1654</v>
      </c>
      <c r="H22" t="s">
        <v>1924</v>
      </c>
      <c r="I22" t="s">
        <v>112</v>
      </c>
      <c r="J22" t="s">
        <v>1927</v>
      </c>
      <c r="K22" s="123">
        <v>1</v>
      </c>
    </row>
    <row r="23" spans="1:11" x14ac:dyDescent="0.3">
      <c r="A23" t="s">
        <v>121</v>
      </c>
      <c r="B23" t="s">
        <v>1890</v>
      </c>
      <c r="C23" t="s">
        <v>132</v>
      </c>
      <c r="D23" t="s">
        <v>1492</v>
      </c>
      <c r="E23" t="s">
        <v>1490</v>
      </c>
      <c r="F23" s="7">
        <v>31032</v>
      </c>
      <c r="G23" t="s">
        <v>1661</v>
      </c>
      <c r="H23" t="s">
        <v>1491</v>
      </c>
      <c r="I23" t="s">
        <v>112</v>
      </c>
      <c r="J23" t="s">
        <v>1494</v>
      </c>
      <c r="K23" s="123">
        <v>1</v>
      </c>
    </row>
    <row r="24" spans="1:11" x14ac:dyDescent="0.3">
      <c r="A24" t="s">
        <v>121</v>
      </c>
      <c r="B24" t="s">
        <v>1890</v>
      </c>
      <c r="C24" t="s">
        <v>132</v>
      </c>
      <c r="D24" t="s">
        <v>2475</v>
      </c>
      <c r="E24" t="s">
        <v>2473</v>
      </c>
      <c r="F24" s="7">
        <v>35688</v>
      </c>
      <c r="G24" t="s">
        <v>1670</v>
      </c>
      <c r="H24" t="s">
        <v>2474</v>
      </c>
      <c r="I24" t="s">
        <v>118</v>
      </c>
      <c r="J24" t="s">
        <v>2477</v>
      </c>
      <c r="K24" s="123">
        <v>1</v>
      </c>
    </row>
    <row r="25" spans="1:11" x14ac:dyDescent="0.3">
      <c r="A25" t="s">
        <v>121</v>
      </c>
      <c r="B25" t="s">
        <v>1890</v>
      </c>
      <c r="C25" t="s">
        <v>386</v>
      </c>
      <c r="D25" t="s">
        <v>1644</v>
      </c>
      <c r="E25" t="s">
        <v>1642</v>
      </c>
      <c r="F25" s="7">
        <v>35596</v>
      </c>
      <c r="G25" t="s">
        <v>1673</v>
      </c>
      <c r="H25" t="s">
        <v>1643</v>
      </c>
      <c r="I25" t="s">
        <v>112</v>
      </c>
      <c r="J25" t="s">
        <v>1646</v>
      </c>
      <c r="K25" s="123">
        <v>1</v>
      </c>
    </row>
    <row r="26" spans="1:11" x14ac:dyDescent="0.3">
      <c r="A26" t="s">
        <v>110</v>
      </c>
      <c r="B26" t="s">
        <v>116</v>
      </c>
      <c r="C26" t="s">
        <v>114</v>
      </c>
      <c r="D26" t="s">
        <v>1800</v>
      </c>
      <c r="E26" t="s">
        <v>1798</v>
      </c>
      <c r="F26" s="7">
        <v>28692</v>
      </c>
      <c r="G26" t="s">
        <v>1806</v>
      </c>
      <c r="H26" t="s">
        <v>1799</v>
      </c>
      <c r="I26" t="s">
        <v>367</v>
      </c>
      <c r="J26" t="s">
        <v>1802</v>
      </c>
      <c r="K26" s="123">
        <v>1</v>
      </c>
    </row>
    <row r="27" spans="1:11" x14ac:dyDescent="0.3">
      <c r="A27" t="s">
        <v>110</v>
      </c>
      <c r="B27" t="s">
        <v>116</v>
      </c>
      <c r="C27" t="s">
        <v>126</v>
      </c>
      <c r="D27" t="s">
        <v>1308</v>
      </c>
      <c r="E27" t="s">
        <v>1306</v>
      </c>
      <c r="F27" s="7">
        <v>35676</v>
      </c>
      <c r="G27" t="s">
        <v>1670</v>
      </c>
      <c r="H27" t="s">
        <v>1307</v>
      </c>
      <c r="I27" t="s">
        <v>367</v>
      </c>
      <c r="J27" t="s">
        <v>1310</v>
      </c>
      <c r="K27" s="123">
        <v>1</v>
      </c>
    </row>
    <row r="28" spans="1:11" x14ac:dyDescent="0.3">
      <c r="A28" t="s">
        <v>110</v>
      </c>
      <c r="B28" t="s">
        <v>116</v>
      </c>
      <c r="C28" t="s">
        <v>126</v>
      </c>
      <c r="D28" t="s">
        <v>1440</v>
      </c>
      <c r="E28" t="s">
        <v>1438</v>
      </c>
      <c r="F28" s="7">
        <v>38077</v>
      </c>
      <c r="G28" t="s">
        <v>1665</v>
      </c>
      <c r="H28" t="s">
        <v>1439</v>
      </c>
      <c r="I28" t="s">
        <v>118</v>
      </c>
      <c r="J28" t="s">
        <v>1442</v>
      </c>
      <c r="K28" s="123">
        <v>1</v>
      </c>
    </row>
    <row r="29" spans="1:11" x14ac:dyDescent="0.3">
      <c r="A29" t="s">
        <v>110</v>
      </c>
      <c r="B29" t="s">
        <v>116</v>
      </c>
      <c r="C29" t="s">
        <v>126</v>
      </c>
      <c r="D29" t="s">
        <v>3004</v>
      </c>
      <c r="E29" t="s">
        <v>1521</v>
      </c>
      <c r="F29" s="7">
        <v>37505</v>
      </c>
      <c r="G29" t="s">
        <v>1659</v>
      </c>
      <c r="H29" t="s">
        <v>1522</v>
      </c>
      <c r="I29" t="s">
        <v>367</v>
      </c>
      <c r="J29" t="s">
        <v>1525</v>
      </c>
      <c r="K29" s="123">
        <v>1</v>
      </c>
    </row>
    <row r="30" spans="1:11" x14ac:dyDescent="0.3">
      <c r="A30" t="s">
        <v>110</v>
      </c>
      <c r="B30" t="s">
        <v>118</v>
      </c>
      <c r="C30" t="s">
        <v>135</v>
      </c>
      <c r="D30" t="s">
        <v>1055</v>
      </c>
      <c r="E30" t="s">
        <v>1053</v>
      </c>
      <c r="F30" s="7">
        <v>31693</v>
      </c>
      <c r="G30" t="s">
        <v>1667</v>
      </c>
      <c r="H30" t="s">
        <v>1054</v>
      </c>
      <c r="I30" t="s">
        <v>118</v>
      </c>
      <c r="J30" t="s">
        <v>1057</v>
      </c>
      <c r="K30" s="123">
        <v>1</v>
      </c>
    </row>
    <row r="31" spans="1:11" x14ac:dyDescent="0.3">
      <c r="A31" t="s">
        <v>110</v>
      </c>
      <c r="B31" t="s">
        <v>118</v>
      </c>
      <c r="C31" t="s">
        <v>123</v>
      </c>
      <c r="D31" t="s">
        <v>1327</v>
      </c>
      <c r="E31" t="s">
        <v>1325</v>
      </c>
      <c r="F31" s="7">
        <v>37675</v>
      </c>
      <c r="G31" t="s">
        <v>1659</v>
      </c>
      <c r="H31" t="s">
        <v>1326</v>
      </c>
      <c r="I31" t="s">
        <v>118</v>
      </c>
      <c r="J31" t="s">
        <v>1329</v>
      </c>
      <c r="K31" s="123">
        <v>1</v>
      </c>
    </row>
    <row r="32" spans="1:11" x14ac:dyDescent="0.3">
      <c r="A32" t="s">
        <v>110</v>
      </c>
      <c r="B32" t="s">
        <v>118</v>
      </c>
      <c r="C32" t="s">
        <v>123</v>
      </c>
      <c r="D32" t="s">
        <v>2938</v>
      </c>
      <c r="E32" t="s">
        <v>2936</v>
      </c>
      <c r="F32" s="7">
        <v>36974</v>
      </c>
      <c r="G32" t="s">
        <v>1655</v>
      </c>
      <c r="H32" t="s">
        <v>2937</v>
      </c>
      <c r="I32" t="s">
        <v>1553</v>
      </c>
      <c r="J32" t="s">
        <v>2940</v>
      </c>
      <c r="K32" s="123">
        <v>1</v>
      </c>
    </row>
    <row r="33" spans="1:11" x14ac:dyDescent="0.3">
      <c r="A33" t="s">
        <v>110</v>
      </c>
      <c r="B33" t="s">
        <v>118</v>
      </c>
      <c r="C33" t="s">
        <v>1125</v>
      </c>
      <c r="D33" t="s">
        <v>2180</v>
      </c>
      <c r="E33" t="s">
        <v>2178</v>
      </c>
      <c r="F33" s="7">
        <v>37111</v>
      </c>
      <c r="G33" t="s">
        <v>1656</v>
      </c>
      <c r="H33" t="s">
        <v>2179</v>
      </c>
      <c r="I33" t="s">
        <v>148</v>
      </c>
      <c r="J33" t="s">
        <v>2182</v>
      </c>
      <c r="K33" s="123">
        <v>1</v>
      </c>
    </row>
    <row r="34" spans="1:11" x14ac:dyDescent="0.3">
      <c r="A34" t="s">
        <v>110</v>
      </c>
      <c r="B34" t="s">
        <v>118</v>
      </c>
      <c r="C34" t="s">
        <v>1125</v>
      </c>
      <c r="D34" t="s">
        <v>2542</v>
      </c>
      <c r="E34" t="s">
        <v>2540</v>
      </c>
      <c r="F34" s="7">
        <v>37642</v>
      </c>
      <c r="G34" t="s">
        <v>1659</v>
      </c>
      <c r="H34" t="s">
        <v>2541</v>
      </c>
      <c r="I34" t="s">
        <v>148</v>
      </c>
      <c r="J34" t="s">
        <v>2544</v>
      </c>
      <c r="K34" s="123">
        <v>1</v>
      </c>
    </row>
    <row r="35" spans="1:11" x14ac:dyDescent="0.3">
      <c r="A35" t="s">
        <v>110</v>
      </c>
      <c r="B35" t="s">
        <v>111</v>
      </c>
      <c r="C35" t="s">
        <v>1914</v>
      </c>
      <c r="D35" t="s">
        <v>1910</v>
      </c>
      <c r="E35" t="s">
        <v>1908</v>
      </c>
      <c r="F35" s="7">
        <v>36099</v>
      </c>
      <c r="G35" t="s">
        <v>1669</v>
      </c>
      <c r="H35" t="s">
        <v>1909</v>
      </c>
      <c r="I35" t="s">
        <v>1912</v>
      </c>
      <c r="J35" t="s">
        <v>1913</v>
      </c>
      <c r="K35" s="123">
        <v>1</v>
      </c>
    </row>
    <row r="36" spans="1:11" x14ac:dyDescent="0.3">
      <c r="A36" t="s">
        <v>110</v>
      </c>
      <c r="B36" t="s">
        <v>111</v>
      </c>
      <c r="C36" t="s">
        <v>2132</v>
      </c>
      <c r="D36" t="s">
        <v>2129</v>
      </c>
      <c r="E36" t="s">
        <v>2127</v>
      </c>
      <c r="F36" s="7">
        <v>29744</v>
      </c>
      <c r="G36" t="s">
        <v>2321</v>
      </c>
      <c r="H36" t="s">
        <v>2128</v>
      </c>
      <c r="I36" t="s">
        <v>328</v>
      </c>
      <c r="J36" t="s">
        <v>2131</v>
      </c>
      <c r="K36" s="123">
        <v>1</v>
      </c>
    </row>
    <row r="37" spans="1:11" x14ac:dyDescent="0.3">
      <c r="A37" t="s">
        <v>110</v>
      </c>
      <c r="B37" t="s">
        <v>111</v>
      </c>
      <c r="C37" t="s">
        <v>2132</v>
      </c>
      <c r="D37" t="s">
        <v>2291</v>
      </c>
      <c r="E37" t="s">
        <v>2289</v>
      </c>
      <c r="F37" s="7">
        <v>31299</v>
      </c>
      <c r="G37" t="s">
        <v>1672</v>
      </c>
      <c r="H37" t="s">
        <v>2290</v>
      </c>
      <c r="I37" t="s">
        <v>328</v>
      </c>
      <c r="J37" t="s">
        <v>2293</v>
      </c>
      <c r="K37" s="123">
        <v>1</v>
      </c>
    </row>
    <row r="38" spans="1:11" x14ac:dyDescent="0.3">
      <c r="A38" t="s">
        <v>110</v>
      </c>
      <c r="B38" t="s">
        <v>105</v>
      </c>
      <c r="C38" t="s">
        <v>1253</v>
      </c>
      <c r="D38" t="s">
        <v>1613</v>
      </c>
      <c r="E38" t="s">
        <v>1611</v>
      </c>
      <c r="F38" s="7">
        <v>36853</v>
      </c>
      <c r="G38" t="s">
        <v>1655</v>
      </c>
      <c r="H38" t="s">
        <v>1612</v>
      </c>
      <c r="I38" t="s">
        <v>118</v>
      </c>
      <c r="J38" t="s">
        <v>1615</v>
      </c>
      <c r="K38" s="123">
        <v>1</v>
      </c>
    </row>
    <row r="39" spans="1:11" x14ac:dyDescent="0.3">
      <c r="A39" t="s">
        <v>110</v>
      </c>
      <c r="B39" t="s">
        <v>1004</v>
      </c>
      <c r="C39" t="s">
        <v>1476</v>
      </c>
      <c r="D39" t="s">
        <v>1473</v>
      </c>
      <c r="E39" t="s">
        <v>1471</v>
      </c>
      <c r="F39" s="7">
        <v>36013</v>
      </c>
      <c r="G39" t="s">
        <v>1669</v>
      </c>
      <c r="H39" t="s">
        <v>1472</v>
      </c>
      <c r="I39" t="s">
        <v>124</v>
      </c>
      <c r="J39" t="s">
        <v>1475</v>
      </c>
      <c r="K39" s="123">
        <v>1</v>
      </c>
    </row>
    <row r="40" spans="1:11" x14ac:dyDescent="0.3">
      <c r="A40" t="s">
        <v>110</v>
      </c>
      <c r="B40" t="s">
        <v>1004</v>
      </c>
      <c r="C40" t="s">
        <v>692</v>
      </c>
      <c r="D40" t="s">
        <v>1955</v>
      </c>
      <c r="E40" t="s">
        <v>1953</v>
      </c>
      <c r="F40" s="7">
        <v>38000</v>
      </c>
      <c r="G40" t="s">
        <v>1665</v>
      </c>
      <c r="H40" t="s">
        <v>1954</v>
      </c>
      <c r="I40" t="s">
        <v>124</v>
      </c>
      <c r="J40" t="s">
        <v>1957</v>
      </c>
      <c r="K40" s="123">
        <v>1</v>
      </c>
    </row>
    <row r="41" spans="1:11" x14ac:dyDescent="0.3">
      <c r="A41" t="s">
        <v>110</v>
      </c>
      <c r="B41" t="s">
        <v>1004</v>
      </c>
      <c r="C41" t="s">
        <v>692</v>
      </c>
      <c r="D41" t="s">
        <v>2116</v>
      </c>
      <c r="E41" t="s">
        <v>2114</v>
      </c>
      <c r="F41" s="7">
        <v>29939</v>
      </c>
      <c r="G41" t="s">
        <v>2126</v>
      </c>
      <c r="H41" t="s">
        <v>2115</v>
      </c>
      <c r="I41" t="s">
        <v>124</v>
      </c>
      <c r="J41" t="s">
        <v>2118</v>
      </c>
      <c r="K41" s="123">
        <v>1</v>
      </c>
    </row>
    <row r="42" spans="1:11" x14ac:dyDescent="0.3">
      <c r="A42" t="s">
        <v>110</v>
      </c>
      <c r="B42" t="s">
        <v>1890</v>
      </c>
      <c r="C42" t="s">
        <v>1300</v>
      </c>
      <c r="D42" t="s">
        <v>2593</v>
      </c>
      <c r="E42" t="s">
        <v>2591</v>
      </c>
      <c r="F42" s="7">
        <v>25651</v>
      </c>
      <c r="G42" t="s">
        <v>2604</v>
      </c>
      <c r="H42" t="s">
        <v>2592</v>
      </c>
      <c r="I42" t="s">
        <v>112</v>
      </c>
      <c r="J42" t="s">
        <v>2595</v>
      </c>
      <c r="K42" s="123">
        <v>1</v>
      </c>
    </row>
    <row r="43" spans="1:11" x14ac:dyDescent="0.3">
      <c r="A43" t="s">
        <v>110</v>
      </c>
      <c r="B43" t="s">
        <v>1890</v>
      </c>
      <c r="C43" t="s">
        <v>113</v>
      </c>
      <c r="D43" t="s">
        <v>1902</v>
      </c>
      <c r="E43" t="s">
        <v>1900</v>
      </c>
      <c r="F43" s="7">
        <v>32501</v>
      </c>
      <c r="G43" t="s">
        <v>1671</v>
      </c>
      <c r="H43" t="s">
        <v>1901</v>
      </c>
      <c r="I43" t="s">
        <v>148</v>
      </c>
      <c r="J43" t="s">
        <v>1904</v>
      </c>
      <c r="K43" s="123">
        <v>1</v>
      </c>
    </row>
    <row r="44" spans="1:11" x14ac:dyDescent="0.3">
      <c r="A44" t="s">
        <v>110</v>
      </c>
      <c r="B44" t="s">
        <v>1890</v>
      </c>
      <c r="C44" t="s">
        <v>150</v>
      </c>
      <c r="D44" t="s">
        <v>2467</v>
      </c>
      <c r="E44" t="s">
        <v>2465</v>
      </c>
      <c r="F44" s="7">
        <v>37645</v>
      </c>
      <c r="G44" t="s">
        <v>1659</v>
      </c>
      <c r="H44" t="s">
        <v>2466</v>
      </c>
      <c r="I44" t="s">
        <v>112</v>
      </c>
      <c r="J44" t="s">
        <v>2719</v>
      </c>
      <c r="K44" s="123">
        <v>1</v>
      </c>
    </row>
    <row r="45" spans="1:11" x14ac:dyDescent="0.3">
      <c r="A45" t="s">
        <v>110</v>
      </c>
      <c r="B45" t="s">
        <v>1890</v>
      </c>
      <c r="C45" t="s">
        <v>1928</v>
      </c>
      <c r="D45" t="s">
        <v>1944</v>
      </c>
      <c r="E45" t="s">
        <v>1942</v>
      </c>
      <c r="F45" s="7">
        <v>36205</v>
      </c>
      <c r="G45" t="s">
        <v>1669</v>
      </c>
      <c r="H45" t="s">
        <v>1943</v>
      </c>
      <c r="I45" t="s">
        <v>112</v>
      </c>
      <c r="J45" t="s">
        <v>1946</v>
      </c>
      <c r="K45" s="123">
        <v>1</v>
      </c>
    </row>
    <row r="46" spans="1:11" x14ac:dyDescent="0.3">
      <c r="A46" t="s">
        <v>110</v>
      </c>
      <c r="B46" t="s">
        <v>1890</v>
      </c>
      <c r="C46" t="s">
        <v>132</v>
      </c>
      <c r="D46" t="s">
        <v>2213</v>
      </c>
      <c r="E46" t="s">
        <v>2211</v>
      </c>
      <c r="F46" s="7">
        <v>38176</v>
      </c>
      <c r="G46" t="s">
        <v>1662</v>
      </c>
      <c r="H46" t="s">
        <v>2212</v>
      </c>
      <c r="I46" t="s">
        <v>112</v>
      </c>
      <c r="J46" t="s">
        <v>2215</v>
      </c>
      <c r="K46" s="123">
        <v>1</v>
      </c>
    </row>
    <row r="47" spans="1:11" x14ac:dyDescent="0.3">
      <c r="A47" t="s">
        <v>110</v>
      </c>
      <c r="B47" t="s">
        <v>3052</v>
      </c>
      <c r="C47" t="s">
        <v>876</v>
      </c>
      <c r="D47" t="s">
        <v>873</v>
      </c>
      <c r="E47" t="s">
        <v>871</v>
      </c>
      <c r="F47" s="7">
        <v>37288</v>
      </c>
      <c r="G47" t="s">
        <v>1656</v>
      </c>
      <c r="H47" t="s">
        <v>872</v>
      </c>
      <c r="I47" t="s">
        <v>875</v>
      </c>
      <c r="J47" t="s">
        <v>1562</v>
      </c>
      <c r="K47" s="123">
        <v>1</v>
      </c>
    </row>
    <row r="48" spans="1:11" x14ac:dyDescent="0.3">
      <c r="A48" t="s">
        <v>117</v>
      </c>
      <c r="B48" t="s">
        <v>116</v>
      </c>
      <c r="C48" t="s">
        <v>745</v>
      </c>
      <c r="D48" t="s">
        <v>742</v>
      </c>
      <c r="E48" t="s">
        <v>740</v>
      </c>
      <c r="F48" s="7">
        <v>37008</v>
      </c>
      <c r="G48" t="s">
        <v>1655</v>
      </c>
      <c r="H48" t="s">
        <v>741</v>
      </c>
      <c r="I48" t="s">
        <v>367</v>
      </c>
      <c r="J48" t="s">
        <v>744</v>
      </c>
      <c r="K48" s="123">
        <v>1</v>
      </c>
    </row>
    <row r="49" spans="1:11" x14ac:dyDescent="0.3">
      <c r="A49" t="s">
        <v>117</v>
      </c>
      <c r="B49" t="s">
        <v>116</v>
      </c>
      <c r="C49" t="s">
        <v>2101</v>
      </c>
      <c r="D49" t="s">
        <v>2097</v>
      </c>
      <c r="E49" t="s">
        <v>2095</v>
      </c>
      <c r="F49" s="7">
        <v>37483</v>
      </c>
      <c r="G49" t="s">
        <v>1659</v>
      </c>
      <c r="H49" t="s">
        <v>2096</v>
      </c>
      <c r="I49" t="s">
        <v>2099</v>
      </c>
      <c r="J49" t="s">
        <v>2100</v>
      </c>
      <c r="K49" s="123">
        <v>1</v>
      </c>
    </row>
    <row r="50" spans="1:11" x14ac:dyDescent="0.3">
      <c r="A50" t="s">
        <v>117</v>
      </c>
      <c r="B50" t="s">
        <v>116</v>
      </c>
      <c r="C50" t="s">
        <v>557</v>
      </c>
      <c r="D50" t="s">
        <v>3020</v>
      </c>
      <c r="E50" t="s">
        <v>3018</v>
      </c>
      <c r="F50" s="7">
        <v>39119</v>
      </c>
      <c r="G50" t="s">
        <v>3027</v>
      </c>
      <c r="H50" t="s">
        <v>3019</v>
      </c>
      <c r="I50" t="s">
        <v>556</v>
      </c>
      <c r="J50" t="s">
        <v>3021</v>
      </c>
      <c r="K50" s="123">
        <v>1</v>
      </c>
    </row>
    <row r="51" spans="1:11" x14ac:dyDescent="0.3">
      <c r="A51" t="s">
        <v>117</v>
      </c>
      <c r="B51" t="s">
        <v>118</v>
      </c>
      <c r="C51" t="s">
        <v>123</v>
      </c>
      <c r="D51" t="s">
        <v>1111</v>
      </c>
      <c r="E51" t="s">
        <v>1109</v>
      </c>
      <c r="F51" s="7">
        <v>38359</v>
      </c>
      <c r="G51" t="s">
        <v>1662</v>
      </c>
      <c r="H51" t="s">
        <v>1110</v>
      </c>
      <c r="I51" t="s">
        <v>118</v>
      </c>
      <c r="J51" t="s">
        <v>1113</v>
      </c>
      <c r="K51" s="123">
        <v>1</v>
      </c>
    </row>
    <row r="52" spans="1:11" x14ac:dyDescent="0.3">
      <c r="A52" t="s">
        <v>117</v>
      </c>
      <c r="B52" t="s">
        <v>118</v>
      </c>
      <c r="C52" t="s">
        <v>123</v>
      </c>
      <c r="D52" t="s">
        <v>1153</v>
      </c>
      <c r="E52" t="s">
        <v>1151</v>
      </c>
      <c r="F52" s="7">
        <v>37408</v>
      </c>
      <c r="G52" t="s">
        <v>1656</v>
      </c>
      <c r="H52" t="s">
        <v>1152</v>
      </c>
      <c r="I52" t="s">
        <v>118</v>
      </c>
      <c r="J52" t="s">
        <v>1155</v>
      </c>
      <c r="K52" s="123">
        <v>1</v>
      </c>
    </row>
    <row r="53" spans="1:11" x14ac:dyDescent="0.3">
      <c r="A53" t="s">
        <v>117</v>
      </c>
      <c r="B53" t="s">
        <v>118</v>
      </c>
      <c r="C53" t="s">
        <v>123</v>
      </c>
      <c r="D53" t="s">
        <v>1206</v>
      </c>
      <c r="E53" t="s">
        <v>1204</v>
      </c>
      <c r="F53" s="7">
        <v>37679</v>
      </c>
      <c r="G53" t="s">
        <v>1659</v>
      </c>
      <c r="H53" t="s">
        <v>1205</v>
      </c>
      <c r="I53" t="s">
        <v>118</v>
      </c>
      <c r="J53" t="s">
        <v>1208</v>
      </c>
      <c r="K53" s="123">
        <v>1</v>
      </c>
    </row>
    <row r="54" spans="1:11" x14ac:dyDescent="0.3">
      <c r="A54" t="s">
        <v>117</v>
      </c>
      <c r="B54" t="s">
        <v>118</v>
      </c>
      <c r="C54" t="s">
        <v>123</v>
      </c>
      <c r="D54" t="s">
        <v>2830</v>
      </c>
      <c r="E54" t="s">
        <v>2828</v>
      </c>
      <c r="F54" s="7">
        <v>37641</v>
      </c>
      <c r="G54" t="s">
        <v>1659</v>
      </c>
      <c r="H54" t="s">
        <v>2829</v>
      </c>
      <c r="I54" t="s">
        <v>118</v>
      </c>
      <c r="J54" t="s">
        <v>2832</v>
      </c>
      <c r="K54" s="123">
        <v>1</v>
      </c>
    </row>
    <row r="55" spans="1:11" x14ac:dyDescent="0.3">
      <c r="A55" t="s">
        <v>117</v>
      </c>
      <c r="B55" t="s">
        <v>118</v>
      </c>
      <c r="C55" t="s">
        <v>1125</v>
      </c>
      <c r="D55" t="s">
        <v>1122</v>
      </c>
      <c r="E55" t="s">
        <v>1120</v>
      </c>
      <c r="F55" s="7">
        <v>37701</v>
      </c>
      <c r="G55" t="s">
        <v>1659</v>
      </c>
      <c r="H55" t="s">
        <v>1121</v>
      </c>
      <c r="I55" t="s">
        <v>771</v>
      </c>
      <c r="J55" t="s">
        <v>1124</v>
      </c>
      <c r="K55" s="123">
        <v>1</v>
      </c>
    </row>
    <row r="56" spans="1:11" x14ac:dyDescent="0.3">
      <c r="A56" t="s">
        <v>117</v>
      </c>
      <c r="B56" t="s">
        <v>118</v>
      </c>
      <c r="C56" t="s">
        <v>1125</v>
      </c>
      <c r="D56" t="s">
        <v>1143</v>
      </c>
      <c r="E56" t="s">
        <v>1141</v>
      </c>
      <c r="F56" s="7">
        <v>37501</v>
      </c>
      <c r="G56" t="s">
        <v>1659</v>
      </c>
      <c r="H56" t="s">
        <v>1142</v>
      </c>
      <c r="I56" t="s">
        <v>118</v>
      </c>
      <c r="J56" t="s">
        <v>1145</v>
      </c>
      <c r="K56" s="123">
        <v>1</v>
      </c>
    </row>
    <row r="57" spans="1:11" x14ac:dyDescent="0.3">
      <c r="A57" t="s">
        <v>117</v>
      </c>
      <c r="B57" t="s">
        <v>118</v>
      </c>
      <c r="C57" t="s">
        <v>162</v>
      </c>
      <c r="D57" t="s">
        <v>758</v>
      </c>
      <c r="E57" t="s">
        <v>756</v>
      </c>
      <c r="F57" s="7">
        <v>37272</v>
      </c>
      <c r="G57" t="s">
        <v>1656</v>
      </c>
      <c r="H57" t="s">
        <v>757</v>
      </c>
      <c r="I57" t="s">
        <v>1553</v>
      </c>
      <c r="J57" t="s">
        <v>1560</v>
      </c>
      <c r="K57" s="123">
        <v>1</v>
      </c>
    </row>
    <row r="58" spans="1:11" x14ac:dyDescent="0.3">
      <c r="A58" t="s">
        <v>117</v>
      </c>
      <c r="B58" t="s">
        <v>118</v>
      </c>
      <c r="C58" t="s">
        <v>162</v>
      </c>
      <c r="D58" t="s">
        <v>795</v>
      </c>
      <c r="E58" t="s">
        <v>793</v>
      </c>
      <c r="F58" s="7">
        <v>37723</v>
      </c>
      <c r="G58" t="s">
        <v>1659</v>
      </c>
      <c r="H58" t="s">
        <v>794</v>
      </c>
      <c r="I58" t="s">
        <v>118</v>
      </c>
      <c r="J58" t="s">
        <v>797</v>
      </c>
      <c r="K58" s="123">
        <v>1</v>
      </c>
    </row>
    <row r="59" spans="1:11" x14ac:dyDescent="0.3">
      <c r="A59" t="s">
        <v>117</v>
      </c>
      <c r="B59" t="s">
        <v>111</v>
      </c>
      <c r="C59" t="s">
        <v>226</v>
      </c>
      <c r="D59" t="s">
        <v>724</v>
      </c>
      <c r="E59" t="s">
        <v>722</v>
      </c>
      <c r="F59" s="7">
        <v>34478</v>
      </c>
      <c r="G59" t="s">
        <v>1654</v>
      </c>
      <c r="H59" t="s">
        <v>723</v>
      </c>
      <c r="I59" t="s">
        <v>1553</v>
      </c>
      <c r="J59" t="s">
        <v>726</v>
      </c>
      <c r="K59" s="123">
        <v>1</v>
      </c>
    </row>
    <row r="60" spans="1:11" x14ac:dyDescent="0.3">
      <c r="A60" t="s">
        <v>117</v>
      </c>
      <c r="B60" t="s">
        <v>111</v>
      </c>
      <c r="C60" t="s">
        <v>2132</v>
      </c>
      <c r="D60" t="s">
        <v>2299</v>
      </c>
      <c r="E60" t="s">
        <v>2935</v>
      </c>
      <c r="F60" s="7">
        <v>29098</v>
      </c>
      <c r="G60" t="s">
        <v>1663</v>
      </c>
      <c r="H60" t="s">
        <v>2298</v>
      </c>
      <c r="I60" t="s">
        <v>118</v>
      </c>
      <c r="J60" t="s">
        <v>2301</v>
      </c>
      <c r="K60" s="123">
        <v>1</v>
      </c>
    </row>
    <row r="61" spans="1:11" x14ac:dyDescent="0.3">
      <c r="A61" t="s">
        <v>117</v>
      </c>
      <c r="B61" t="s">
        <v>105</v>
      </c>
      <c r="C61" t="s">
        <v>1253</v>
      </c>
      <c r="D61" t="s">
        <v>1259</v>
      </c>
      <c r="E61" t="s">
        <v>1257</v>
      </c>
      <c r="F61" s="7">
        <v>37372</v>
      </c>
      <c r="G61" t="s">
        <v>1656</v>
      </c>
      <c r="H61" t="s">
        <v>1258</v>
      </c>
      <c r="I61" t="s">
        <v>771</v>
      </c>
      <c r="J61" t="s">
        <v>1261</v>
      </c>
      <c r="K61" s="123">
        <v>1</v>
      </c>
    </row>
    <row r="62" spans="1:11" x14ac:dyDescent="0.3">
      <c r="A62" t="s">
        <v>117</v>
      </c>
      <c r="B62" t="s">
        <v>1004</v>
      </c>
      <c r="C62" t="s">
        <v>2712</v>
      </c>
      <c r="D62" t="s">
        <v>2709</v>
      </c>
      <c r="E62" t="s">
        <v>2707</v>
      </c>
      <c r="F62" s="7">
        <v>33499</v>
      </c>
      <c r="G62" t="s">
        <v>2368</v>
      </c>
      <c r="H62" t="s">
        <v>2708</v>
      </c>
      <c r="I62" t="s">
        <v>124</v>
      </c>
      <c r="J62" t="s">
        <v>2711</v>
      </c>
      <c r="K62" s="123">
        <v>1</v>
      </c>
    </row>
    <row r="63" spans="1:11" x14ac:dyDescent="0.3">
      <c r="A63" t="s">
        <v>117</v>
      </c>
      <c r="B63" t="s">
        <v>1004</v>
      </c>
      <c r="C63" t="s">
        <v>1003</v>
      </c>
      <c r="D63" t="s">
        <v>1013</v>
      </c>
      <c r="E63" t="s">
        <v>1556</v>
      </c>
      <c r="F63" s="7">
        <v>37016</v>
      </c>
      <c r="G63" t="s">
        <v>1655</v>
      </c>
      <c r="H63" t="s">
        <v>1012</v>
      </c>
      <c r="I63" t="s">
        <v>1039</v>
      </c>
      <c r="J63" t="s">
        <v>1015</v>
      </c>
      <c r="K63" s="123">
        <v>1</v>
      </c>
    </row>
    <row r="64" spans="1:11" x14ac:dyDescent="0.3">
      <c r="A64" t="s">
        <v>117</v>
      </c>
      <c r="B64" t="s">
        <v>1004</v>
      </c>
      <c r="C64" t="s">
        <v>1003</v>
      </c>
      <c r="D64" t="s">
        <v>1067</v>
      </c>
      <c r="E64" t="s">
        <v>1065</v>
      </c>
      <c r="F64" s="7">
        <v>38073</v>
      </c>
      <c r="G64" t="s">
        <v>1665</v>
      </c>
      <c r="H64" t="s">
        <v>1066</v>
      </c>
      <c r="I64" t="s">
        <v>1039</v>
      </c>
      <c r="J64" t="s">
        <v>1563</v>
      </c>
      <c r="K64" s="123">
        <v>1</v>
      </c>
    </row>
    <row r="65" spans="1:11" x14ac:dyDescent="0.3">
      <c r="A65" t="s">
        <v>117</v>
      </c>
      <c r="B65" t="s">
        <v>1004</v>
      </c>
      <c r="C65" t="s">
        <v>692</v>
      </c>
      <c r="D65" t="s">
        <v>1342</v>
      </c>
      <c r="E65" t="s">
        <v>1340</v>
      </c>
      <c r="F65" s="7">
        <v>38144</v>
      </c>
      <c r="G65" t="s">
        <v>1665</v>
      </c>
      <c r="H65" t="s">
        <v>1341</v>
      </c>
      <c r="I65" t="s">
        <v>124</v>
      </c>
      <c r="J65" t="s">
        <v>1344</v>
      </c>
      <c r="K65" s="123">
        <v>1</v>
      </c>
    </row>
    <row r="66" spans="1:11" x14ac:dyDescent="0.3">
      <c r="A66" t="s">
        <v>117</v>
      </c>
      <c r="B66" t="s">
        <v>1004</v>
      </c>
      <c r="C66" t="s">
        <v>692</v>
      </c>
      <c r="D66" t="s">
        <v>1371</v>
      </c>
      <c r="E66" t="s">
        <v>1369</v>
      </c>
      <c r="F66" s="7">
        <v>37537</v>
      </c>
      <c r="G66" t="s">
        <v>1659</v>
      </c>
      <c r="H66" t="s">
        <v>1370</v>
      </c>
      <c r="I66" t="s">
        <v>124</v>
      </c>
      <c r="J66" t="s">
        <v>1373</v>
      </c>
      <c r="K66" s="123">
        <v>1</v>
      </c>
    </row>
    <row r="67" spans="1:11" x14ac:dyDescent="0.3">
      <c r="A67" t="s">
        <v>117</v>
      </c>
      <c r="B67" t="s">
        <v>1004</v>
      </c>
      <c r="C67" t="s">
        <v>692</v>
      </c>
      <c r="D67" t="s">
        <v>1398</v>
      </c>
      <c r="E67" t="s">
        <v>1396</v>
      </c>
      <c r="F67" s="7">
        <v>37644</v>
      </c>
      <c r="G67" t="s">
        <v>1659</v>
      </c>
      <c r="H67" t="s">
        <v>1397</v>
      </c>
      <c r="I67" t="s">
        <v>124</v>
      </c>
      <c r="J67" t="s">
        <v>1400</v>
      </c>
      <c r="K67" s="123">
        <v>1</v>
      </c>
    </row>
    <row r="68" spans="1:11" x14ac:dyDescent="0.3">
      <c r="A68" t="s">
        <v>117</v>
      </c>
      <c r="B68" t="s">
        <v>1890</v>
      </c>
      <c r="C68" t="s">
        <v>1300</v>
      </c>
      <c r="D68" t="s">
        <v>1544</v>
      </c>
      <c r="E68" t="s">
        <v>1542</v>
      </c>
      <c r="F68" s="7">
        <v>32059</v>
      </c>
      <c r="G68" t="s">
        <v>1675</v>
      </c>
      <c r="H68" t="s">
        <v>1543</v>
      </c>
      <c r="I68" t="s">
        <v>112</v>
      </c>
      <c r="J68" t="s">
        <v>1546</v>
      </c>
      <c r="K68" s="123">
        <v>1</v>
      </c>
    </row>
    <row r="69" spans="1:11" x14ac:dyDescent="0.3">
      <c r="A69" t="s">
        <v>117</v>
      </c>
      <c r="B69" t="s">
        <v>1890</v>
      </c>
      <c r="C69" t="s">
        <v>150</v>
      </c>
      <c r="D69" t="s">
        <v>2524</v>
      </c>
      <c r="E69" t="s">
        <v>2522</v>
      </c>
      <c r="F69" s="7">
        <v>37496</v>
      </c>
      <c r="G69" t="s">
        <v>1659</v>
      </c>
      <c r="H69" t="s">
        <v>2523</v>
      </c>
      <c r="I69" t="s">
        <v>112</v>
      </c>
      <c r="J69" t="s">
        <v>2526</v>
      </c>
      <c r="K69" s="123">
        <v>1</v>
      </c>
    </row>
    <row r="70" spans="1:11" x14ac:dyDescent="0.3">
      <c r="A70" t="s">
        <v>117</v>
      </c>
      <c r="B70" t="s">
        <v>1890</v>
      </c>
      <c r="C70" t="s">
        <v>1928</v>
      </c>
      <c r="D70" t="s">
        <v>2143</v>
      </c>
      <c r="E70" t="s">
        <v>2141</v>
      </c>
      <c r="F70" s="7">
        <v>32002</v>
      </c>
      <c r="G70" t="s">
        <v>1675</v>
      </c>
      <c r="H70" t="s">
        <v>2142</v>
      </c>
      <c r="I70" t="s">
        <v>112</v>
      </c>
      <c r="J70" t="s">
        <v>2145</v>
      </c>
      <c r="K70" s="123">
        <v>1</v>
      </c>
    </row>
    <row r="71" spans="1:11" x14ac:dyDescent="0.3">
      <c r="A71" t="s">
        <v>122</v>
      </c>
      <c r="B71" t="s">
        <v>116</v>
      </c>
      <c r="C71" t="s">
        <v>745</v>
      </c>
      <c r="D71" t="s">
        <v>1453</v>
      </c>
      <c r="E71" t="s">
        <v>1451</v>
      </c>
      <c r="F71" s="7">
        <v>30186</v>
      </c>
      <c r="G71" t="s">
        <v>1674</v>
      </c>
      <c r="H71" t="s">
        <v>1452</v>
      </c>
      <c r="I71" t="s">
        <v>367</v>
      </c>
      <c r="J71" t="s">
        <v>1455</v>
      </c>
      <c r="K71" s="123">
        <v>1</v>
      </c>
    </row>
    <row r="72" spans="1:11" x14ac:dyDescent="0.3">
      <c r="A72" t="s">
        <v>122</v>
      </c>
      <c r="B72" t="s">
        <v>116</v>
      </c>
      <c r="C72" t="s">
        <v>126</v>
      </c>
      <c r="D72" t="s">
        <v>1515</v>
      </c>
      <c r="E72" t="s">
        <v>1559</v>
      </c>
      <c r="F72" s="7">
        <v>38828</v>
      </c>
      <c r="G72" t="s">
        <v>1660</v>
      </c>
      <c r="H72" t="s">
        <v>1514</v>
      </c>
      <c r="I72" t="s">
        <v>367</v>
      </c>
      <c r="J72" t="s">
        <v>1569</v>
      </c>
      <c r="K72" s="123">
        <v>1</v>
      </c>
    </row>
    <row r="73" spans="1:11" x14ac:dyDescent="0.3">
      <c r="A73" t="s">
        <v>122</v>
      </c>
      <c r="B73" t="s">
        <v>118</v>
      </c>
      <c r="C73" t="s">
        <v>135</v>
      </c>
      <c r="D73" t="s">
        <v>1782</v>
      </c>
      <c r="E73" t="s">
        <v>1780</v>
      </c>
      <c r="F73" s="7">
        <v>37767</v>
      </c>
      <c r="G73" t="s">
        <v>1659</v>
      </c>
      <c r="H73" t="s">
        <v>1781</v>
      </c>
      <c r="I73" t="s">
        <v>1553</v>
      </c>
      <c r="J73" t="s">
        <v>1784</v>
      </c>
      <c r="K73" s="123">
        <v>1</v>
      </c>
    </row>
    <row r="74" spans="1:11" x14ac:dyDescent="0.3">
      <c r="A74" t="s">
        <v>122</v>
      </c>
      <c r="B74" t="s">
        <v>118</v>
      </c>
      <c r="C74" t="s">
        <v>135</v>
      </c>
      <c r="D74" t="s">
        <v>2839</v>
      </c>
      <c r="E74" t="s">
        <v>2837</v>
      </c>
      <c r="F74" s="7">
        <v>37999</v>
      </c>
      <c r="G74" t="s">
        <v>1665</v>
      </c>
      <c r="H74" t="s">
        <v>2838</v>
      </c>
      <c r="I74" t="s">
        <v>1553</v>
      </c>
      <c r="J74" t="s">
        <v>2841</v>
      </c>
      <c r="K74" s="123">
        <v>1</v>
      </c>
    </row>
    <row r="75" spans="1:11" x14ac:dyDescent="0.3">
      <c r="A75" t="s">
        <v>122</v>
      </c>
      <c r="B75" t="s">
        <v>118</v>
      </c>
      <c r="C75" t="s">
        <v>123</v>
      </c>
      <c r="D75" t="s">
        <v>1165</v>
      </c>
      <c r="E75" t="s">
        <v>1163</v>
      </c>
      <c r="F75" s="7">
        <v>37492</v>
      </c>
      <c r="G75" t="s">
        <v>1659</v>
      </c>
      <c r="H75" t="s">
        <v>1164</v>
      </c>
      <c r="I75" t="s">
        <v>466</v>
      </c>
      <c r="J75" t="s">
        <v>1167</v>
      </c>
      <c r="K75" s="123">
        <v>1</v>
      </c>
    </row>
    <row r="76" spans="1:11" x14ac:dyDescent="0.3">
      <c r="A76" t="s">
        <v>122</v>
      </c>
      <c r="B76" t="s">
        <v>118</v>
      </c>
      <c r="C76" t="s">
        <v>123</v>
      </c>
      <c r="D76" t="s">
        <v>1196</v>
      </c>
      <c r="E76" t="s">
        <v>1194</v>
      </c>
      <c r="F76" s="7">
        <v>38383</v>
      </c>
      <c r="G76" t="s">
        <v>1662</v>
      </c>
      <c r="H76" t="s">
        <v>1195</v>
      </c>
      <c r="I76" t="s">
        <v>771</v>
      </c>
      <c r="J76" t="s">
        <v>1198</v>
      </c>
      <c r="K76" s="123">
        <v>1</v>
      </c>
    </row>
    <row r="77" spans="1:11" x14ac:dyDescent="0.3">
      <c r="A77" t="s">
        <v>122</v>
      </c>
      <c r="B77" t="s">
        <v>118</v>
      </c>
      <c r="C77" t="s">
        <v>1125</v>
      </c>
      <c r="D77" t="s">
        <v>2191</v>
      </c>
      <c r="E77" t="s">
        <v>2189</v>
      </c>
      <c r="F77" s="7">
        <v>37881</v>
      </c>
      <c r="G77" t="s">
        <v>1665</v>
      </c>
      <c r="H77" t="s">
        <v>2190</v>
      </c>
      <c r="I77" t="s">
        <v>1553</v>
      </c>
      <c r="J77" t="s">
        <v>2193</v>
      </c>
      <c r="K77" s="123">
        <v>1</v>
      </c>
    </row>
    <row r="78" spans="1:11" x14ac:dyDescent="0.3">
      <c r="A78" t="s">
        <v>122</v>
      </c>
      <c r="B78" t="s">
        <v>118</v>
      </c>
      <c r="C78" t="s">
        <v>1125</v>
      </c>
      <c r="D78" t="s">
        <v>2206</v>
      </c>
      <c r="E78" t="s">
        <v>2204</v>
      </c>
      <c r="F78" s="7">
        <v>37586</v>
      </c>
      <c r="G78" t="s">
        <v>1659</v>
      </c>
      <c r="H78" t="s">
        <v>2205</v>
      </c>
      <c r="I78" t="s">
        <v>148</v>
      </c>
      <c r="J78" t="s">
        <v>2208</v>
      </c>
      <c r="K78" s="123">
        <v>1</v>
      </c>
    </row>
    <row r="79" spans="1:11" x14ac:dyDescent="0.3">
      <c r="A79" t="s">
        <v>122</v>
      </c>
      <c r="B79" t="s">
        <v>118</v>
      </c>
      <c r="C79" t="s">
        <v>1125</v>
      </c>
      <c r="D79" t="s">
        <v>2336</v>
      </c>
      <c r="E79" t="s">
        <v>2334</v>
      </c>
      <c r="F79" s="7">
        <v>37519</v>
      </c>
      <c r="G79" t="s">
        <v>1659</v>
      </c>
      <c r="H79" t="s">
        <v>2335</v>
      </c>
      <c r="I79" t="s">
        <v>148</v>
      </c>
      <c r="J79" t="s">
        <v>2338</v>
      </c>
      <c r="K79" s="123">
        <v>1</v>
      </c>
    </row>
    <row r="80" spans="1:11" x14ac:dyDescent="0.3">
      <c r="A80" t="s">
        <v>122</v>
      </c>
      <c r="B80" t="s">
        <v>111</v>
      </c>
      <c r="C80" t="s">
        <v>109</v>
      </c>
      <c r="D80" t="s">
        <v>1503</v>
      </c>
      <c r="E80" t="s">
        <v>1501</v>
      </c>
      <c r="F80" s="7">
        <v>34653</v>
      </c>
      <c r="G80" t="s">
        <v>1666</v>
      </c>
      <c r="H80" t="s">
        <v>1502</v>
      </c>
      <c r="I80" t="s">
        <v>1505</v>
      </c>
      <c r="J80" t="s">
        <v>1506</v>
      </c>
      <c r="K80" s="123">
        <v>1</v>
      </c>
    </row>
    <row r="81" spans="1:11" x14ac:dyDescent="0.3">
      <c r="A81" t="s">
        <v>122</v>
      </c>
      <c r="B81" t="s">
        <v>111</v>
      </c>
      <c r="C81" t="s">
        <v>2132</v>
      </c>
      <c r="D81" t="s">
        <v>2607</v>
      </c>
      <c r="E81" t="s">
        <v>2605</v>
      </c>
      <c r="F81" s="7">
        <v>26498</v>
      </c>
      <c r="G81" t="s">
        <v>1739</v>
      </c>
      <c r="H81" t="s">
        <v>2606</v>
      </c>
      <c r="I81" t="s">
        <v>328</v>
      </c>
      <c r="J81" t="s">
        <v>2721</v>
      </c>
      <c r="K81" s="123">
        <v>1</v>
      </c>
    </row>
    <row r="82" spans="1:11" x14ac:dyDescent="0.3">
      <c r="A82" t="s">
        <v>122</v>
      </c>
      <c r="B82" t="s">
        <v>105</v>
      </c>
      <c r="C82" t="s">
        <v>413</v>
      </c>
      <c r="D82" t="s">
        <v>840</v>
      </c>
      <c r="E82" t="s">
        <v>838</v>
      </c>
      <c r="F82" s="7">
        <v>38597</v>
      </c>
      <c r="G82" t="s">
        <v>1660</v>
      </c>
      <c r="H82" t="s">
        <v>839</v>
      </c>
      <c r="I82" t="s">
        <v>148</v>
      </c>
      <c r="J82" t="s">
        <v>842</v>
      </c>
      <c r="K82" s="123">
        <v>1</v>
      </c>
    </row>
    <row r="83" spans="1:11" x14ac:dyDescent="0.3">
      <c r="A83" t="s">
        <v>122</v>
      </c>
      <c r="B83" t="s">
        <v>105</v>
      </c>
      <c r="C83" t="s">
        <v>413</v>
      </c>
      <c r="D83" t="s">
        <v>862</v>
      </c>
      <c r="E83" t="s">
        <v>860</v>
      </c>
      <c r="F83" s="7">
        <v>37575</v>
      </c>
      <c r="G83" t="s">
        <v>1659</v>
      </c>
      <c r="H83" t="s">
        <v>861</v>
      </c>
      <c r="I83" t="s">
        <v>118</v>
      </c>
      <c r="J83" t="s">
        <v>864</v>
      </c>
      <c r="K83" s="123">
        <v>1</v>
      </c>
    </row>
    <row r="84" spans="1:11" x14ac:dyDescent="0.3">
      <c r="A84" t="s">
        <v>122</v>
      </c>
      <c r="B84" t="s">
        <v>105</v>
      </c>
      <c r="C84" t="s">
        <v>413</v>
      </c>
      <c r="D84" t="s">
        <v>896</v>
      </c>
      <c r="E84" t="s">
        <v>894</v>
      </c>
      <c r="F84" s="7">
        <v>38333</v>
      </c>
      <c r="G84" t="s">
        <v>1662</v>
      </c>
      <c r="H84" t="s">
        <v>895</v>
      </c>
      <c r="I84" t="s">
        <v>112</v>
      </c>
      <c r="J84" t="s">
        <v>898</v>
      </c>
      <c r="K84" s="123">
        <v>1</v>
      </c>
    </row>
    <row r="85" spans="1:11" x14ac:dyDescent="0.3">
      <c r="A85" t="s">
        <v>122</v>
      </c>
      <c r="B85" t="s">
        <v>1004</v>
      </c>
      <c r="C85" t="s">
        <v>235</v>
      </c>
      <c r="D85" t="s">
        <v>2485</v>
      </c>
      <c r="E85" t="s">
        <v>2483</v>
      </c>
      <c r="F85" s="7">
        <v>32461</v>
      </c>
      <c r="G85" t="s">
        <v>1671</v>
      </c>
      <c r="H85" t="s">
        <v>2484</v>
      </c>
      <c r="I85" t="s">
        <v>124</v>
      </c>
      <c r="J85" t="s">
        <v>2487</v>
      </c>
      <c r="K85" s="123">
        <v>1</v>
      </c>
    </row>
    <row r="86" spans="1:11" x14ac:dyDescent="0.3">
      <c r="A86" t="s">
        <v>122</v>
      </c>
      <c r="B86" t="s">
        <v>1004</v>
      </c>
      <c r="C86" t="s">
        <v>1003</v>
      </c>
      <c r="D86" t="s">
        <v>999</v>
      </c>
      <c r="E86" t="s">
        <v>1555</v>
      </c>
      <c r="F86" s="7">
        <v>37243</v>
      </c>
      <c r="G86" t="s">
        <v>1656</v>
      </c>
      <c r="H86" t="s">
        <v>998</v>
      </c>
      <c r="I86" t="s">
        <v>1001</v>
      </c>
      <c r="J86" t="s">
        <v>1002</v>
      </c>
      <c r="K86" s="123">
        <v>1</v>
      </c>
    </row>
    <row r="87" spans="1:11" x14ac:dyDescent="0.3">
      <c r="A87" t="s">
        <v>122</v>
      </c>
      <c r="B87" t="s">
        <v>1004</v>
      </c>
      <c r="C87" t="s">
        <v>1003</v>
      </c>
      <c r="D87" t="s">
        <v>1037</v>
      </c>
      <c r="E87" t="s">
        <v>1035</v>
      </c>
      <c r="F87" s="7">
        <v>38003</v>
      </c>
      <c r="G87" t="s">
        <v>1665</v>
      </c>
      <c r="H87" t="s">
        <v>1036</v>
      </c>
      <c r="I87" t="s">
        <v>1039</v>
      </c>
      <c r="J87" t="s">
        <v>1040</v>
      </c>
      <c r="K87" s="123">
        <v>1</v>
      </c>
    </row>
    <row r="88" spans="1:11" x14ac:dyDescent="0.3">
      <c r="A88" t="s">
        <v>122</v>
      </c>
      <c r="B88" t="s">
        <v>1004</v>
      </c>
      <c r="C88" t="s">
        <v>1003</v>
      </c>
      <c r="D88" t="s">
        <v>1047</v>
      </c>
      <c r="E88" t="s">
        <v>1045</v>
      </c>
      <c r="F88" s="7">
        <v>38520</v>
      </c>
      <c r="G88" t="s">
        <v>1662</v>
      </c>
      <c r="H88" t="s">
        <v>1046</v>
      </c>
      <c r="I88" t="s">
        <v>124</v>
      </c>
      <c r="J88" t="s">
        <v>1049</v>
      </c>
      <c r="K88" s="123">
        <v>1</v>
      </c>
    </row>
    <row r="89" spans="1:11" x14ac:dyDescent="0.3">
      <c r="A89" t="s">
        <v>122</v>
      </c>
      <c r="B89" t="s">
        <v>1004</v>
      </c>
      <c r="C89" t="s">
        <v>1003</v>
      </c>
      <c r="D89" t="s">
        <v>1290</v>
      </c>
      <c r="E89" t="s">
        <v>1288</v>
      </c>
      <c r="F89" s="7">
        <v>37231</v>
      </c>
      <c r="G89" t="s">
        <v>1656</v>
      </c>
      <c r="H89" t="s">
        <v>1289</v>
      </c>
      <c r="I89" t="s">
        <v>1039</v>
      </c>
      <c r="J89" t="s">
        <v>1292</v>
      </c>
      <c r="K89" s="123">
        <v>1</v>
      </c>
    </row>
    <row r="90" spans="1:11" x14ac:dyDescent="0.3">
      <c r="A90" t="s">
        <v>122</v>
      </c>
      <c r="B90" t="s">
        <v>1004</v>
      </c>
      <c r="C90" t="s">
        <v>692</v>
      </c>
      <c r="D90" t="s">
        <v>1391</v>
      </c>
      <c r="E90" t="s">
        <v>1389</v>
      </c>
      <c r="F90" s="7">
        <v>38173</v>
      </c>
      <c r="G90" t="s">
        <v>1662</v>
      </c>
      <c r="H90" t="s">
        <v>1390</v>
      </c>
      <c r="I90" t="s">
        <v>124</v>
      </c>
      <c r="J90" t="s">
        <v>1566</v>
      </c>
      <c r="K90" s="123">
        <v>1</v>
      </c>
    </row>
    <row r="91" spans="1:11" x14ac:dyDescent="0.3">
      <c r="A91" t="s">
        <v>122</v>
      </c>
      <c r="B91" t="s">
        <v>1890</v>
      </c>
      <c r="C91" t="s">
        <v>1300</v>
      </c>
      <c r="D91" t="s">
        <v>1297</v>
      </c>
      <c r="E91" t="s">
        <v>1295</v>
      </c>
      <c r="F91" s="7">
        <v>35264</v>
      </c>
      <c r="G91" t="s">
        <v>1673</v>
      </c>
      <c r="H91" t="s">
        <v>1296</v>
      </c>
      <c r="I91" t="s">
        <v>112</v>
      </c>
      <c r="J91" t="s">
        <v>1299</v>
      </c>
      <c r="K91" s="123">
        <v>1</v>
      </c>
    </row>
    <row r="92" spans="1:11" x14ac:dyDescent="0.3">
      <c r="A92" t="s">
        <v>122</v>
      </c>
      <c r="B92" t="s">
        <v>1890</v>
      </c>
      <c r="C92" t="s">
        <v>113</v>
      </c>
      <c r="D92" t="s">
        <v>817</v>
      </c>
      <c r="E92" t="s">
        <v>815</v>
      </c>
      <c r="F92" s="7">
        <v>37272</v>
      </c>
      <c r="G92" t="s">
        <v>1656</v>
      </c>
      <c r="H92" t="s">
        <v>816</v>
      </c>
      <c r="I92" t="s">
        <v>112</v>
      </c>
      <c r="J92" t="s">
        <v>819</v>
      </c>
      <c r="K92" s="123">
        <v>1</v>
      </c>
    </row>
    <row r="93" spans="1:11" x14ac:dyDescent="0.3">
      <c r="A93" t="s">
        <v>122</v>
      </c>
      <c r="B93" t="s">
        <v>1890</v>
      </c>
      <c r="C93" t="s">
        <v>150</v>
      </c>
      <c r="D93" t="s">
        <v>2064</v>
      </c>
      <c r="E93" t="s">
        <v>2062</v>
      </c>
      <c r="F93" s="7">
        <v>35751</v>
      </c>
      <c r="G93" t="s">
        <v>1670</v>
      </c>
      <c r="H93" t="s">
        <v>2063</v>
      </c>
      <c r="I93" t="s">
        <v>148</v>
      </c>
      <c r="J93" t="s">
        <v>2066</v>
      </c>
      <c r="K93" s="123">
        <v>1</v>
      </c>
    </row>
    <row r="94" spans="1:11" x14ac:dyDescent="0.3">
      <c r="A94" t="s">
        <v>122</v>
      </c>
      <c r="B94" t="s">
        <v>1890</v>
      </c>
      <c r="C94" t="s">
        <v>150</v>
      </c>
      <c r="D94" t="s">
        <v>2454</v>
      </c>
      <c r="E94" t="s">
        <v>2452</v>
      </c>
      <c r="F94" s="7">
        <v>37610</v>
      </c>
      <c r="G94" t="s">
        <v>1659</v>
      </c>
      <c r="H94" t="s">
        <v>2453</v>
      </c>
      <c r="I94" t="s">
        <v>112</v>
      </c>
      <c r="J94" t="s">
        <v>2456</v>
      </c>
      <c r="K94" s="123">
        <v>1</v>
      </c>
    </row>
    <row r="95" spans="1:11" x14ac:dyDescent="0.3">
      <c r="A95" t="s">
        <v>122</v>
      </c>
      <c r="B95" t="s">
        <v>1890</v>
      </c>
      <c r="C95" t="s">
        <v>1928</v>
      </c>
      <c r="D95" t="s">
        <v>2239</v>
      </c>
      <c r="E95" t="s">
        <v>2237</v>
      </c>
      <c r="F95" s="7">
        <v>31288</v>
      </c>
      <c r="G95" t="s">
        <v>1672</v>
      </c>
      <c r="H95" t="s">
        <v>2238</v>
      </c>
      <c r="I95" t="s">
        <v>112</v>
      </c>
      <c r="J95" t="s">
        <v>2241</v>
      </c>
      <c r="K95" s="123">
        <v>1</v>
      </c>
    </row>
    <row r="96" spans="1:11" x14ac:dyDescent="0.3">
      <c r="A96" t="s">
        <v>104</v>
      </c>
      <c r="B96" t="s">
        <v>116</v>
      </c>
      <c r="C96" t="s">
        <v>114</v>
      </c>
      <c r="D96" t="s">
        <v>2742</v>
      </c>
      <c r="E96" t="s">
        <v>2740</v>
      </c>
      <c r="F96" s="7">
        <v>37359</v>
      </c>
      <c r="G96" t="s">
        <v>1656</v>
      </c>
      <c r="H96" t="s">
        <v>2741</v>
      </c>
      <c r="I96" t="s">
        <v>367</v>
      </c>
      <c r="J96" t="s">
        <v>2744</v>
      </c>
      <c r="K96" s="123">
        <v>1</v>
      </c>
    </row>
    <row r="97" spans="1:11" x14ac:dyDescent="0.3">
      <c r="A97" t="s">
        <v>104</v>
      </c>
      <c r="B97" t="s">
        <v>116</v>
      </c>
      <c r="C97" t="s">
        <v>745</v>
      </c>
      <c r="D97" t="s">
        <v>2357</v>
      </c>
      <c r="E97" t="s">
        <v>2355</v>
      </c>
      <c r="F97" s="7">
        <v>33387</v>
      </c>
      <c r="G97" t="s">
        <v>1664</v>
      </c>
      <c r="H97" t="s">
        <v>2356</v>
      </c>
      <c r="I97" t="s">
        <v>367</v>
      </c>
      <c r="J97" t="s">
        <v>2359</v>
      </c>
      <c r="K97" s="123">
        <v>1</v>
      </c>
    </row>
    <row r="98" spans="1:11" x14ac:dyDescent="0.3">
      <c r="A98" t="s">
        <v>104</v>
      </c>
      <c r="B98" t="s">
        <v>118</v>
      </c>
      <c r="C98" t="s">
        <v>123</v>
      </c>
      <c r="D98" t="s">
        <v>1134</v>
      </c>
      <c r="E98" t="s">
        <v>1132</v>
      </c>
      <c r="F98" s="7">
        <v>36199</v>
      </c>
      <c r="G98" t="s">
        <v>1669</v>
      </c>
      <c r="H98" t="s">
        <v>1133</v>
      </c>
      <c r="I98" t="s">
        <v>466</v>
      </c>
      <c r="J98" t="s">
        <v>1136</v>
      </c>
      <c r="K98" s="123">
        <v>1</v>
      </c>
    </row>
    <row r="99" spans="1:11" x14ac:dyDescent="0.3">
      <c r="A99" t="s">
        <v>104</v>
      </c>
      <c r="B99" t="s">
        <v>118</v>
      </c>
      <c r="C99" t="s">
        <v>123</v>
      </c>
      <c r="D99" t="s">
        <v>1178</v>
      </c>
      <c r="E99" t="s">
        <v>1176</v>
      </c>
      <c r="F99" s="7">
        <v>37530</v>
      </c>
      <c r="G99" t="s">
        <v>1659</v>
      </c>
      <c r="H99" t="s">
        <v>1177</v>
      </c>
      <c r="I99" t="s">
        <v>466</v>
      </c>
      <c r="J99" t="s">
        <v>1180</v>
      </c>
      <c r="K99" s="123">
        <v>1</v>
      </c>
    </row>
    <row r="100" spans="1:11" x14ac:dyDescent="0.3">
      <c r="A100" t="s">
        <v>104</v>
      </c>
      <c r="B100" t="s">
        <v>118</v>
      </c>
      <c r="C100" t="s">
        <v>123</v>
      </c>
      <c r="D100" t="s">
        <v>1217</v>
      </c>
      <c r="E100" t="s">
        <v>1215</v>
      </c>
      <c r="F100" s="7">
        <v>37893</v>
      </c>
      <c r="G100" t="s">
        <v>1665</v>
      </c>
      <c r="H100" t="s">
        <v>1216</v>
      </c>
      <c r="I100" t="s">
        <v>118</v>
      </c>
      <c r="J100" t="s">
        <v>1219</v>
      </c>
      <c r="K100" s="123">
        <v>1</v>
      </c>
    </row>
    <row r="101" spans="1:11" x14ac:dyDescent="0.3">
      <c r="A101" t="s">
        <v>104</v>
      </c>
      <c r="B101" t="s">
        <v>118</v>
      </c>
      <c r="C101" t="s">
        <v>1125</v>
      </c>
      <c r="D101" t="s">
        <v>2531</v>
      </c>
      <c r="E101" t="s">
        <v>2720</v>
      </c>
      <c r="F101" s="7">
        <v>36976</v>
      </c>
      <c r="G101" t="s">
        <v>1655</v>
      </c>
      <c r="H101" t="s">
        <v>2530</v>
      </c>
      <c r="I101" t="s">
        <v>118</v>
      </c>
      <c r="J101" t="s">
        <v>2533</v>
      </c>
      <c r="K101" s="123">
        <v>1</v>
      </c>
    </row>
    <row r="102" spans="1:11" x14ac:dyDescent="0.3">
      <c r="A102" t="s">
        <v>104</v>
      </c>
      <c r="B102" t="s">
        <v>118</v>
      </c>
      <c r="C102" t="s">
        <v>1125</v>
      </c>
      <c r="D102" t="s">
        <v>2620</v>
      </c>
      <c r="E102" t="s">
        <v>2618</v>
      </c>
      <c r="F102" s="7">
        <v>36808</v>
      </c>
      <c r="G102" t="s">
        <v>1655</v>
      </c>
      <c r="H102" t="s">
        <v>2619</v>
      </c>
      <c r="I102" t="s">
        <v>1553</v>
      </c>
      <c r="J102" t="s">
        <v>2622</v>
      </c>
      <c r="K102" s="123">
        <v>1</v>
      </c>
    </row>
    <row r="103" spans="1:11" x14ac:dyDescent="0.3">
      <c r="A103" t="s">
        <v>104</v>
      </c>
      <c r="B103" t="s">
        <v>118</v>
      </c>
      <c r="C103" t="s">
        <v>162</v>
      </c>
      <c r="D103" t="s">
        <v>769</v>
      </c>
      <c r="E103" t="s">
        <v>767</v>
      </c>
      <c r="F103" s="7">
        <v>36595</v>
      </c>
      <c r="G103" t="s">
        <v>1657</v>
      </c>
      <c r="H103" t="s">
        <v>768</v>
      </c>
      <c r="I103" t="s">
        <v>771</v>
      </c>
      <c r="J103" t="s">
        <v>772</v>
      </c>
      <c r="K103" s="123">
        <v>1</v>
      </c>
    </row>
    <row r="104" spans="1:11" x14ac:dyDescent="0.3">
      <c r="A104" t="s">
        <v>104</v>
      </c>
      <c r="B104" t="s">
        <v>118</v>
      </c>
      <c r="C104" t="s">
        <v>162</v>
      </c>
      <c r="D104" t="s">
        <v>1278</v>
      </c>
      <c r="E104" t="s">
        <v>1276</v>
      </c>
      <c r="F104" s="7">
        <v>36422</v>
      </c>
      <c r="G104" t="s">
        <v>1657</v>
      </c>
      <c r="H104" t="s">
        <v>1277</v>
      </c>
      <c r="I104" t="s">
        <v>118</v>
      </c>
      <c r="J104" t="s">
        <v>1280</v>
      </c>
      <c r="K104" s="123">
        <v>1</v>
      </c>
    </row>
    <row r="105" spans="1:11" x14ac:dyDescent="0.3">
      <c r="A105" t="s">
        <v>104</v>
      </c>
      <c r="B105" t="s">
        <v>111</v>
      </c>
      <c r="C105" t="s">
        <v>226</v>
      </c>
      <c r="D105" t="s">
        <v>1074</v>
      </c>
      <c r="E105" t="s">
        <v>1072</v>
      </c>
      <c r="F105" s="7">
        <v>34852</v>
      </c>
      <c r="G105" t="s">
        <v>1666</v>
      </c>
      <c r="H105" t="s">
        <v>1073</v>
      </c>
      <c r="I105" t="s">
        <v>1553</v>
      </c>
      <c r="J105" t="s">
        <v>1076</v>
      </c>
      <c r="K105" s="123">
        <v>1</v>
      </c>
    </row>
    <row r="106" spans="1:11" x14ac:dyDescent="0.3">
      <c r="A106" t="s">
        <v>104</v>
      </c>
      <c r="B106" t="s">
        <v>111</v>
      </c>
      <c r="C106" t="s">
        <v>226</v>
      </c>
      <c r="D106" t="s">
        <v>1266</v>
      </c>
      <c r="E106" t="s">
        <v>1264</v>
      </c>
      <c r="F106" s="7">
        <v>31453</v>
      </c>
      <c r="G106" t="s">
        <v>1672</v>
      </c>
      <c r="H106" t="s">
        <v>1265</v>
      </c>
      <c r="I106" t="s">
        <v>1553</v>
      </c>
      <c r="J106" t="s">
        <v>1268</v>
      </c>
      <c r="K106" s="123">
        <v>1</v>
      </c>
    </row>
    <row r="107" spans="1:11" x14ac:dyDescent="0.3">
      <c r="A107" t="s">
        <v>104</v>
      </c>
      <c r="B107" t="s">
        <v>111</v>
      </c>
      <c r="C107" t="s">
        <v>245</v>
      </c>
      <c r="D107" t="s">
        <v>2506</v>
      </c>
      <c r="E107" t="s">
        <v>2504</v>
      </c>
      <c r="F107" s="7">
        <v>38605</v>
      </c>
      <c r="G107" t="s">
        <v>1660</v>
      </c>
      <c r="H107" t="s">
        <v>2505</v>
      </c>
      <c r="I107" t="s">
        <v>1553</v>
      </c>
      <c r="J107" t="s">
        <v>2508</v>
      </c>
      <c r="K107" s="123">
        <v>1</v>
      </c>
    </row>
    <row r="108" spans="1:11" x14ac:dyDescent="0.3">
      <c r="A108" t="s">
        <v>104</v>
      </c>
      <c r="B108" t="s">
        <v>105</v>
      </c>
      <c r="C108" t="s">
        <v>103</v>
      </c>
      <c r="D108" t="s">
        <v>2221</v>
      </c>
      <c r="E108" t="s">
        <v>2219</v>
      </c>
      <c r="F108" s="7">
        <v>37211</v>
      </c>
      <c r="G108" t="s">
        <v>1656</v>
      </c>
      <c r="H108" t="s">
        <v>2220</v>
      </c>
      <c r="I108" t="s">
        <v>118</v>
      </c>
      <c r="J108" t="s">
        <v>2223</v>
      </c>
      <c r="K108" s="123">
        <v>1</v>
      </c>
    </row>
    <row r="109" spans="1:11" x14ac:dyDescent="0.3">
      <c r="A109" t="s">
        <v>104</v>
      </c>
      <c r="B109" t="s">
        <v>105</v>
      </c>
      <c r="C109" t="s">
        <v>413</v>
      </c>
      <c r="D109" t="s">
        <v>1484</v>
      </c>
      <c r="E109" t="s">
        <v>1482</v>
      </c>
      <c r="F109" s="7">
        <v>37478</v>
      </c>
      <c r="G109" t="s">
        <v>1659</v>
      </c>
      <c r="H109" t="s">
        <v>1483</v>
      </c>
      <c r="I109" t="s">
        <v>148</v>
      </c>
      <c r="J109" t="s">
        <v>1568</v>
      </c>
      <c r="K109" s="123">
        <v>1</v>
      </c>
    </row>
    <row r="110" spans="1:11" x14ac:dyDescent="0.3">
      <c r="A110" t="s">
        <v>104</v>
      </c>
      <c r="B110" t="s">
        <v>1004</v>
      </c>
      <c r="C110" t="s">
        <v>1476</v>
      </c>
      <c r="D110" t="s">
        <v>2810</v>
      </c>
      <c r="E110" t="s">
        <v>2808</v>
      </c>
      <c r="F110" s="7">
        <v>37171</v>
      </c>
      <c r="G110" t="s">
        <v>1656</v>
      </c>
      <c r="H110" t="s">
        <v>2809</v>
      </c>
      <c r="I110" t="s">
        <v>124</v>
      </c>
      <c r="J110" t="s">
        <v>2812</v>
      </c>
      <c r="K110" s="123">
        <v>1</v>
      </c>
    </row>
    <row r="111" spans="1:11" x14ac:dyDescent="0.3">
      <c r="A111" t="s">
        <v>104</v>
      </c>
      <c r="B111" t="s">
        <v>1004</v>
      </c>
      <c r="C111" t="s">
        <v>692</v>
      </c>
      <c r="D111" t="s">
        <v>2108</v>
      </c>
      <c r="E111" t="s">
        <v>2106</v>
      </c>
      <c r="F111" s="7">
        <v>37685</v>
      </c>
      <c r="G111" t="s">
        <v>1659</v>
      </c>
      <c r="H111" t="s">
        <v>2107</v>
      </c>
      <c r="I111" t="s">
        <v>124</v>
      </c>
      <c r="J111" t="s">
        <v>2110</v>
      </c>
      <c r="K111" s="123">
        <v>1</v>
      </c>
    </row>
    <row r="112" spans="1:11" x14ac:dyDescent="0.3">
      <c r="A112" t="s">
        <v>104</v>
      </c>
      <c r="B112" t="s">
        <v>1004</v>
      </c>
      <c r="C112" t="s">
        <v>692</v>
      </c>
      <c r="D112" t="s">
        <v>2563</v>
      </c>
      <c r="E112" t="s">
        <v>2561</v>
      </c>
      <c r="F112" s="7">
        <v>36761</v>
      </c>
      <c r="G112" t="s">
        <v>1655</v>
      </c>
      <c r="H112" t="s">
        <v>2562</v>
      </c>
      <c r="I112" t="s">
        <v>124</v>
      </c>
      <c r="J112" t="s">
        <v>2565</v>
      </c>
      <c r="K112" s="123">
        <v>1</v>
      </c>
    </row>
    <row r="113" spans="1:11" x14ac:dyDescent="0.3">
      <c r="A113" t="s">
        <v>104</v>
      </c>
      <c r="B113" t="s">
        <v>1718</v>
      </c>
      <c r="C113" t="s">
        <v>939</v>
      </c>
      <c r="D113" t="s">
        <v>936</v>
      </c>
      <c r="E113" t="s">
        <v>934</v>
      </c>
      <c r="F113" s="7">
        <v>32685</v>
      </c>
      <c r="G113" t="s">
        <v>1671</v>
      </c>
      <c r="H113" t="s">
        <v>935</v>
      </c>
      <c r="I113" t="s">
        <v>522</v>
      </c>
      <c r="J113" t="s">
        <v>938</v>
      </c>
      <c r="K113" s="123">
        <v>1</v>
      </c>
    </row>
    <row r="114" spans="1:11" x14ac:dyDescent="0.3">
      <c r="A114" t="s">
        <v>104</v>
      </c>
      <c r="B114" t="s">
        <v>1890</v>
      </c>
      <c r="C114" t="s">
        <v>2665</v>
      </c>
      <c r="D114" t="s">
        <v>3045</v>
      </c>
      <c r="E114" t="s">
        <v>3043</v>
      </c>
      <c r="F114" s="7">
        <v>36851</v>
      </c>
      <c r="G114" t="s">
        <v>1655</v>
      </c>
      <c r="H114" t="s">
        <v>3044</v>
      </c>
      <c r="I114" t="s">
        <v>112</v>
      </c>
      <c r="J114" t="s">
        <v>3047</v>
      </c>
      <c r="K114" s="123">
        <v>1</v>
      </c>
    </row>
    <row r="115" spans="1:11" x14ac:dyDescent="0.3">
      <c r="A115" t="s">
        <v>104</v>
      </c>
      <c r="B115" t="s">
        <v>1890</v>
      </c>
      <c r="C115" t="s">
        <v>1300</v>
      </c>
      <c r="D115" t="s">
        <v>3007</v>
      </c>
      <c r="E115" t="s">
        <v>3005</v>
      </c>
      <c r="F115" s="7">
        <v>32054</v>
      </c>
      <c r="G115" t="s">
        <v>1675</v>
      </c>
      <c r="H115" t="s">
        <v>3006</v>
      </c>
      <c r="I115" t="s">
        <v>112</v>
      </c>
      <c r="J115" t="s">
        <v>3009</v>
      </c>
      <c r="K115" s="123">
        <v>1</v>
      </c>
    </row>
    <row r="116" spans="1:11" x14ac:dyDescent="0.3">
      <c r="A116" t="s">
        <v>104</v>
      </c>
      <c r="B116" t="s">
        <v>1890</v>
      </c>
      <c r="C116" t="s">
        <v>113</v>
      </c>
      <c r="D116" t="s">
        <v>1024</v>
      </c>
      <c r="E116" t="s">
        <v>1022</v>
      </c>
      <c r="F116" s="7">
        <v>34725</v>
      </c>
      <c r="G116" t="s">
        <v>1666</v>
      </c>
      <c r="H116" t="s">
        <v>1023</v>
      </c>
      <c r="I116" t="s">
        <v>112</v>
      </c>
      <c r="J116" t="s">
        <v>1026</v>
      </c>
      <c r="K116" s="123">
        <v>1</v>
      </c>
    </row>
    <row r="117" spans="1:11" x14ac:dyDescent="0.3">
      <c r="A117" t="s">
        <v>104</v>
      </c>
      <c r="B117" t="s">
        <v>1890</v>
      </c>
      <c r="C117" t="s">
        <v>132</v>
      </c>
      <c r="D117" t="s">
        <v>1893</v>
      </c>
      <c r="E117" t="s">
        <v>1891</v>
      </c>
      <c r="F117" s="7">
        <v>37153</v>
      </c>
      <c r="G117" t="s">
        <v>1656</v>
      </c>
      <c r="H117" t="s">
        <v>1892</v>
      </c>
      <c r="I117" t="s">
        <v>112</v>
      </c>
      <c r="J117" t="s">
        <v>1895</v>
      </c>
      <c r="K117" s="123">
        <v>1</v>
      </c>
    </row>
    <row r="118" spans="1:11" x14ac:dyDescent="0.3">
      <c r="A118" t="s">
        <v>104</v>
      </c>
      <c r="B118" t="s">
        <v>1890</v>
      </c>
      <c r="C118" t="s">
        <v>132</v>
      </c>
      <c r="D118" t="s">
        <v>2199</v>
      </c>
      <c r="E118" t="s">
        <v>2197</v>
      </c>
      <c r="F118" s="7">
        <v>37201</v>
      </c>
      <c r="G118" t="s">
        <v>1656</v>
      </c>
      <c r="H118" t="s">
        <v>2198</v>
      </c>
      <c r="I118" t="s">
        <v>148</v>
      </c>
      <c r="J118" t="s">
        <v>2201</v>
      </c>
      <c r="K118" s="123">
        <v>1</v>
      </c>
    </row>
    <row r="119" spans="1:11" x14ac:dyDescent="0.3">
      <c r="A119" t="s">
        <v>104</v>
      </c>
      <c r="B119" t="s">
        <v>1890</v>
      </c>
      <c r="C119" t="s">
        <v>132</v>
      </c>
      <c r="D119" t="s">
        <v>2580</v>
      </c>
      <c r="E119" t="s">
        <v>2578</v>
      </c>
      <c r="F119" s="7">
        <v>35409</v>
      </c>
      <c r="G119" t="s">
        <v>1673</v>
      </c>
      <c r="H119" t="s">
        <v>2579</v>
      </c>
      <c r="I119" t="s">
        <v>148</v>
      </c>
      <c r="J119" t="s">
        <v>2582</v>
      </c>
      <c r="K119" s="123">
        <v>1</v>
      </c>
    </row>
    <row r="120" spans="1:11" x14ac:dyDescent="0.3">
      <c r="A120" t="s">
        <v>104</v>
      </c>
      <c r="B120" t="s">
        <v>2807</v>
      </c>
      <c r="C120" t="s">
        <v>3055</v>
      </c>
      <c r="D120" t="s">
        <v>2382</v>
      </c>
      <c r="E120" t="s">
        <v>2380</v>
      </c>
      <c r="F120" s="7">
        <v>36863</v>
      </c>
      <c r="G120" t="s">
        <v>1655</v>
      </c>
      <c r="H120" t="s">
        <v>2381</v>
      </c>
      <c r="I120" t="s">
        <v>2384</v>
      </c>
      <c r="J120" t="s">
        <v>2385</v>
      </c>
      <c r="K120" s="123">
        <v>1</v>
      </c>
    </row>
    <row r="121" spans="1:11" x14ac:dyDescent="0.3">
      <c r="A121" t="s">
        <v>104</v>
      </c>
      <c r="B121" t="s">
        <v>3052</v>
      </c>
      <c r="C121" t="s">
        <v>876</v>
      </c>
      <c r="D121" t="s">
        <v>886</v>
      </c>
      <c r="E121" t="s">
        <v>884</v>
      </c>
      <c r="F121" s="7">
        <v>31175</v>
      </c>
      <c r="G121" t="s">
        <v>1661</v>
      </c>
      <c r="H121" t="s">
        <v>885</v>
      </c>
      <c r="I121" t="s">
        <v>875</v>
      </c>
      <c r="J121" t="s">
        <v>888</v>
      </c>
      <c r="K121" s="123">
        <v>1</v>
      </c>
    </row>
    <row r="122" spans="1:11" x14ac:dyDescent="0.3">
      <c r="A122" t="s">
        <v>115</v>
      </c>
      <c r="B122" t="s">
        <v>116</v>
      </c>
      <c r="C122" t="s">
        <v>745</v>
      </c>
      <c r="D122" t="s">
        <v>2260</v>
      </c>
      <c r="E122" t="s">
        <v>2258</v>
      </c>
      <c r="F122" s="7">
        <v>37975</v>
      </c>
      <c r="G122" t="s">
        <v>1665</v>
      </c>
      <c r="H122" t="s">
        <v>2259</v>
      </c>
      <c r="I122" t="s">
        <v>367</v>
      </c>
      <c r="J122" t="s">
        <v>2262</v>
      </c>
      <c r="K122" s="123">
        <v>1</v>
      </c>
    </row>
    <row r="123" spans="1:11" x14ac:dyDescent="0.3">
      <c r="A123" t="s">
        <v>115</v>
      </c>
      <c r="B123" t="s">
        <v>116</v>
      </c>
      <c r="C123" t="s">
        <v>745</v>
      </c>
      <c r="D123" t="s">
        <v>2282</v>
      </c>
      <c r="E123" t="s">
        <v>2280</v>
      </c>
      <c r="F123" s="7">
        <v>31675</v>
      </c>
      <c r="G123" t="s">
        <v>1667</v>
      </c>
      <c r="H123" t="s">
        <v>2281</v>
      </c>
      <c r="I123" t="s">
        <v>367</v>
      </c>
      <c r="J123" t="s">
        <v>2284</v>
      </c>
      <c r="K123" s="123">
        <v>1</v>
      </c>
    </row>
    <row r="124" spans="1:11" x14ac:dyDescent="0.3">
      <c r="A124" t="s">
        <v>115</v>
      </c>
      <c r="B124" t="s">
        <v>116</v>
      </c>
      <c r="C124" t="s">
        <v>745</v>
      </c>
      <c r="D124" t="s">
        <v>2309</v>
      </c>
      <c r="E124" t="s">
        <v>2307</v>
      </c>
      <c r="F124" s="7">
        <v>29687</v>
      </c>
      <c r="G124" t="s">
        <v>2321</v>
      </c>
      <c r="H124" t="s">
        <v>2308</v>
      </c>
      <c r="I124" t="s">
        <v>367</v>
      </c>
      <c r="J124" t="s">
        <v>2311</v>
      </c>
      <c r="K124" s="123">
        <v>1</v>
      </c>
    </row>
    <row r="125" spans="1:11" x14ac:dyDescent="0.3">
      <c r="A125" t="s">
        <v>115</v>
      </c>
      <c r="B125" t="s">
        <v>116</v>
      </c>
      <c r="C125" t="s">
        <v>126</v>
      </c>
      <c r="D125" t="s">
        <v>1352</v>
      </c>
      <c r="E125" t="s">
        <v>1350</v>
      </c>
      <c r="F125" s="7">
        <v>37943</v>
      </c>
      <c r="G125" t="s">
        <v>1665</v>
      </c>
      <c r="H125" t="s">
        <v>1351</v>
      </c>
      <c r="I125" t="s">
        <v>367</v>
      </c>
      <c r="J125" t="s">
        <v>1565</v>
      </c>
      <c r="K125" s="123">
        <v>1</v>
      </c>
    </row>
    <row r="126" spans="1:11" x14ac:dyDescent="0.3">
      <c r="A126" t="s">
        <v>115</v>
      </c>
      <c r="B126" t="s">
        <v>116</v>
      </c>
      <c r="C126" t="s">
        <v>126</v>
      </c>
      <c r="D126" t="s">
        <v>1427</v>
      </c>
      <c r="E126" t="s">
        <v>1425</v>
      </c>
      <c r="F126" s="7">
        <v>36852</v>
      </c>
      <c r="G126" t="s">
        <v>1655</v>
      </c>
      <c r="H126" t="s">
        <v>1426</v>
      </c>
      <c r="I126" t="s">
        <v>367</v>
      </c>
      <c r="J126" t="s">
        <v>1429</v>
      </c>
      <c r="K126" s="123">
        <v>1</v>
      </c>
    </row>
    <row r="127" spans="1:11" x14ac:dyDescent="0.3">
      <c r="A127" t="s">
        <v>115</v>
      </c>
      <c r="B127" t="s">
        <v>118</v>
      </c>
      <c r="C127" t="s">
        <v>123</v>
      </c>
      <c r="D127" t="s">
        <v>959</v>
      </c>
      <c r="E127" t="s">
        <v>957</v>
      </c>
      <c r="F127" s="7">
        <v>37837</v>
      </c>
      <c r="G127" t="s">
        <v>1665</v>
      </c>
      <c r="H127" t="s">
        <v>958</v>
      </c>
      <c r="I127" t="s">
        <v>112</v>
      </c>
      <c r="J127" t="s">
        <v>961</v>
      </c>
      <c r="K127" s="123">
        <v>1</v>
      </c>
    </row>
    <row r="128" spans="1:11" x14ac:dyDescent="0.3">
      <c r="A128" t="s">
        <v>115</v>
      </c>
      <c r="B128" t="s">
        <v>118</v>
      </c>
      <c r="C128" t="s">
        <v>123</v>
      </c>
      <c r="D128" t="s">
        <v>991</v>
      </c>
      <c r="E128" t="s">
        <v>3242</v>
      </c>
      <c r="F128" s="7">
        <v>38201</v>
      </c>
      <c r="G128" t="s">
        <v>1662</v>
      </c>
      <c r="H128" t="s">
        <v>990</v>
      </c>
      <c r="I128" t="s">
        <v>771</v>
      </c>
      <c r="J128" t="s">
        <v>993</v>
      </c>
      <c r="K128" s="123">
        <v>1</v>
      </c>
    </row>
    <row r="129" spans="1:11" x14ac:dyDescent="0.3">
      <c r="A129" t="s">
        <v>115</v>
      </c>
      <c r="B129" t="s">
        <v>118</v>
      </c>
      <c r="C129" t="s">
        <v>123</v>
      </c>
      <c r="D129" t="s">
        <v>1465</v>
      </c>
      <c r="E129" t="s">
        <v>1463</v>
      </c>
      <c r="F129" s="7">
        <v>37909</v>
      </c>
      <c r="G129" t="s">
        <v>1665</v>
      </c>
      <c r="H129" t="s">
        <v>1464</v>
      </c>
      <c r="I129" t="s">
        <v>118</v>
      </c>
      <c r="J129" t="s">
        <v>1567</v>
      </c>
      <c r="K129" s="123">
        <v>1</v>
      </c>
    </row>
    <row r="130" spans="1:11" x14ac:dyDescent="0.3">
      <c r="A130" t="s">
        <v>115</v>
      </c>
      <c r="B130" t="s">
        <v>118</v>
      </c>
      <c r="C130" t="s">
        <v>1125</v>
      </c>
      <c r="D130" t="s">
        <v>2269</v>
      </c>
      <c r="E130" t="s">
        <v>2267</v>
      </c>
      <c r="F130" s="7">
        <v>37512</v>
      </c>
      <c r="G130" t="s">
        <v>1659</v>
      </c>
      <c r="H130" t="s">
        <v>2268</v>
      </c>
      <c r="I130" t="s">
        <v>148</v>
      </c>
      <c r="J130" t="s">
        <v>2271</v>
      </c>
      <c r="K130" s="123">
        <v>1</v>
      </c>
    </row>
    <row r="131" spans="1:11" x14ac:dyDescent="0.3">
      <c r="A131" t="s">
        <v>115</v>
      </c>
      <c r="B131" t="s">
        <v>118</v>
      </c>
      <c r="C131" t="s">
        <v>1125</v>
      </c>
      <c r="D131" t="s">
        <v>2399</v>
      </c>
      <c r="E131" t="s">
        <v>2397</v>
      </c>
      <c r="F131" s="7">
        <v>37698</v>
      </c>
      <c r="G131" t="s">
        <v>1659</v>
      </c>
      <c r="H131" t="s">
        <v>2398</v>
      </c>
      <c r="I131" t="s">
        <v>118</v>
      </c>
      <c r="J131" t="s">
        <v>2401</v>
      </c>
      <c r="K131" s="123">
        <v>1</v>
      </c>
    </row>
    <row r="132" spans="1:11" x14ac:dyDescent="0.3">
      <c r="A132" t="s">
        <v>115</v>
      </c>
      <c r="B132" t="s">
        <v>118</v>
      </c>
      <c r="C132" t="s">
        <v>1125</v>
      </c>
      <c r="D132" t="s">
        <v>2515</v>
      </c>
      <c r="E132" t="s">
        <v>2513</v>
      </c>
      <c r="F132" s="7">
        <v>35367</v>
      </c>
      <c r="G132" t="s">
        <v>1673</v>
      </c>
      <c r="H132" t="s">
        <v>2514</v>
      </c>
      <c r="I132" t="s">
        <v>112</v>
      </c>
      <c r="J132" t="s">
        <v>2517</v>
      </c>
      <c r="K132" s="123">
        <v>1</v>
      </c>
    </row>
    <row r="133" spans="1:11" x14ac:dyDescent="0.3">
      <c r="A133" t="s">
        <v>115</v>
      </c>
      <c r="B133" t="s">
        <v>118</v>
      </c>
      <c r="C133" t="s">
        <v>162</v>
      </c>
      <c r="D133" t="s">
        <v>1809</v>
      </c>
      <c r="E133" t="s">
        <v>1807</v>
      </c>
      <c r="F133" s="7">
        <v>37309</v>
      </c>
      <c r="G133" t="s">
        <v>1656</v>
      </c>
      <c r="H133" t="s">
        <v>1808</v>
      </c>
      <c r="I133" t="s">
        <v>118</v>
      </c>
      <c r="J133" t="s">
        <v>1811</v>
      </c>
      <c r="K133" s="123">
        <v>1</v>
      </c>
    </row>
    <row r="134" spans="1:11" x14ac:dyDescent="0.3">
      <c r="A134" t="s">
        <v>115</v>
      </c>
      <c r="B134" t="s">
        <v>111</v>
      </c>
      <c r="C134" t="s">
        <v>226</v>
      </c>
      <c r="D134" t="s">
        <v>1084</v>
      </c>
      <c r="E134" t="s">
        <v>1082</v>
      </c>
      <c r="F134" s="7">
        <v>33191</v>
      </c>
      <c r="G134" t="s">
        <v>1664</v>
      </c>
      <c r="H134" t="s">
        <v>1083</v>
      </c>
      <c r="I134" t="s">
        <v>1086</v>
      </c>
      <c r="J134" t="s">
        <v>1087</v>
      </c>
      <c r="K134" s="123">
        <v>1</v>
      </c>
    </row>
    <row r="135" spans="1:11" x14ac:dyDescent="0.3">
      <c r="A135" t="s">
        <v>115</v>
      </c>
      <c r="B135" t="s">
        <v>111</v>
      </c>
      <c r="C135" t="s">
        <v>1914</v>
      </c>
      <c r="D135" t="s">
        <v>3234</v>
      </c>
      <c r="E135" t="s">
        <v>3232</v>
      </c>
      <c r="F135" s="7">
        <v>36740</v>
      </c>
      <c r="G135" t="s">
        <v>1655</v>
      </c>
      <c r="H135" t="s">
        <v>3233</v>
      </c>
      <c r="I135" t="s">
        <v>1912</v>
      </c>
      <c r="J135" t="s">
        <v>3235</v>
      </c>
      <c r="K135" s="123">
        <v>1</v>
      </c>
    </row>
    <row r="136" spans="1:11" x14ac:dyDescent="0.3">
      <c r="A136" t="s">
        <v>115</v>
      </c>
      <c r="B136" t="s">
        <v>111</v>
      </c>
      <c r="C136" t="s">
        <v>2132</v>
      </c>
      <c r="D136" t="s">
        <v>2432</v>
      </c>
      <c r="E136" t="s">
        <v>2430</v>
      </c>
      <c r="F136" s="7">
        <v>38768</v>
      </c>
      <c r="G136" t="s">
        <v>1660</v>
      </c>
      <c r="H136" t="s">
        <v>2431</v>
      </c>
      <c r="I136" t="s">
        <v>1553</v>
      </c>
      <c r="J136" t="s">
        <v>2434</v>
      </c>
      <c r="K136" s="123">
        <v>1</v>
      </c>
    </row>
    <row r="137" spans="1:11" x14ac:dyDescent="0.3">
      <c r="A137" t="s">
        <v>115</v>
      </c>
      <c r="B137" t="s">
        <v>105</v>
      </c>
      <c r="C137" t="s">
        <v>1253</v>
      </c>
      <c r="D137" t="s">
        <v>1250</v>
      </c>
      <c r="E137" t="s">
        <v>1248</v>
      </c>
      <c r="F137" s="7">
        <v>38288</v>
      </c>
      <c r="G137" t="s">
        <v>1662</v>
      </c>
      <c r="H137" t="s">
        <v>1249</v>
      </c>
      <c r="I137" t="s">
        <v>148</v>
      </c>
      <c r="J137" t="s">
        <v>1252</v>
      </c>
      <c r="K137" s="123">
        <v>1</v>
      </c>
    </row>
    <row r="138" spans="1:11" x14ac:dyDescent="0.3">
      <c r="A138" t="s">
        <v>115</v>
      </c>
      <c r="B138" t="s">
        <v>105</v>
      </c>
      <c r="C138" t="s">
        <v>413</v>
      </c>
      <c r="D138" t="s">
        <v>909</v>
      </c>
      <c r="E138" t="s">
        <v>907</v>
      </c>
      <c r="F138" s="7">
        <v>38482</v>
      </c>
      <c r="G138" t="s">
        <v>1662</v>
      </c>
      <c r="H138" t="s">
        <v>908</v>
      </c>
      <c r="I138" t="s">
        <v>118</v>
      </c>
      <c r="J138" t="s">
        <v>911</v>
      </c>
      <c r="K138" s="123">
        <v>1</v>
      </c>
    </row>
    <row r="139" spans="1:11" x14ac:dyDescent="0.3">
      <c r="A139" t="s">
        <v>115</v>
      </c>
      <c r="B139" t="s">
        <v>1004</v>
      </c>
      <c r="C139" t="s">
        <v>2712</v>
      </c>
      <c r="D139" t="s">
        <v>2864</v>
      </c>
      <c r="E139" t="s">
        <v>2862</v>
      </c>
      <c r="F139" s="7">
        <v>34507</v>
      </c>
      <c r="G139" t="s">
        <v>1654</v>
      </c>
      <c r="H139" t="s">
        <v>2863</v>
      </c>
      <c r="I139" t="s">
        <v>124</v>
      </c>
      <c r="J139" t="s">
        <v>2866</v>
      </c>
      <c r="K139" s="123">
        <v>1</v>
      </c>
    </row>
    <row r="140" spans="1:11" x14ac:dyDescent="0.3">
      <c r="A140" t="s">
        <v>115</v>
      </c>
      <c r="B140" t="s">
        <v>1004</v>
      </c>
      <c r="C140" t="s">
        <v>1003</v>
      </c>
      <c r="D140" t="s">
        <v>1318</v>
      </c>
      <c r="E140" t="s">
        <v>1316</v>
      </c>
      <c r="F140" s="7">
        <v>38532</v>
      </c>
      <c r="G140" t="s">
        <v>1662</v>
      </c>
      <c r="H140" t="s">
        <v>1317</v>
      </c>
      <c r="I140" t="s">
        <v>1039</v>
      </c>
      <c r="J140" t="s">
        <v>1320</v>
      </c>
      <c r="K140" s="123">
        <v>1</v>
      </c>
    </row>
    <row r="141" spans="1:11" x14ac:dyDescent="0.3">
      <c r="A141" t="s">
        <v>115</v>
      </c>
      <c r="B141" t="s">
        <v>1004</v>
      </c>
      <c r="C141" t="s">
        <v>1003</v>
      </c>
      <c r="D141" t="s">
        <v>1382</v>
      </c>
      <c r="E141" t="s">
        <v>1380</v>
      </c>
      <c r="F141" s="7">
        <v>37818</v>
      </c>
      <c r="G141" t="s">
        <v>1665</v>
      </c>
      <c r="H141" t="s">
        <v>1381</v>
      </c>
      <c r="I141" t="s">
        <v>1039</v>
      </c>
      <c r="J141" t="s">
        <v>1384</v>
      </c>
      <c r="K141" s="123">
        <v>1</v>
      </c>
    </row>
    <row r="142" spans="1:11" x14ac:dyDescent="0.3">
      <c r="A142" t="s">
        <v>115</v>
      </c>
      <c r="B142" t="s">
        <v>1004</v>
      </c>
      <c r="C142" t="s">
        <v>692</v>
      </c>
      <c r="D142" t="s">
        <v>1408</v>
      </c>
      <c r="E142" t="s">
        <v>1406</v>
      </c>
      <c r="F142" s="7">
        <v>38328</v>
      </c>
      <c r="G142" t="s">
        <v>1662</v>
      </c>
      <c r="H142" t="s">
        <v>1407</v>
      </c>
      <c r="I142" t="s">
        <v>124</v>
      </c>
      <c r="J142" t="s">
        <v>1410</v>
      </c>
      <c r="K142" s="123">
        <v>1</v>
      </c>
    </row>
    <row r="143" spans="1:11" x14ac:dyDescent="0.3">
      <c r="A143" t="s">
        <v>115</v>
      </c>
      <c r="B143" t="s">
        <v>1004</v>
      </c>
      <c r="C143" t="s">
        <v>692</v>
      </c>
      <c r="D143" t="s">
        <v>1417</v>
      </c>
      <c r="E143" t="s">
        <v>1415</v>
      </c>
      <c r="F143" s="7">
        <v>37912</v>
      </c>
      <c r="G143" t="s">
        <v>1665</v>
      </c>
      <c r="H143" t="s">
        <v>1416</v>
      </c>
      <c r="I143" t="s">
        <v>118</v>
      </c>
      <c r="J143" t="s">
        <v>1419</v>
      </c>
      <c r="K143" s="123">
        <v>1</v>
      </c>
    </row>
    <row r="144" spans="1:11" x14ac:dyDescent="0.3">
      <c r="A144" t="s">
        <v>115</v>
      </c>
      <c r="B144" t="s">
        <v>1004</v>
      </c>
      <c r="C144" t="s">
        <v>692</v>
      </c>
      <c r="D144" t="s">
        <v>2079</v>
      </c>
      <c r="E144" t="s">
        <v>2077</v>
      </c>
      <c r="F144" s="7">
        <v>37266</v>
      </c>
      <c r="G144" t="s">
        <v>1656</v>
      </c>
      <c r="H144" t="s">
        <v>2078</v>
      </c>
      <c r="I144" t="s">
        <v>124</v>
      </c>
      <c r="J144" t="s">
        <v>2081</v>
      </c>
      <c r="K144" s="123">
        <v>1</v>
      </c>
    </row>
    <row r="145" spans="1:11" x14ac:dyDescent="0.3">
      <c r="A145" t="s">
        <v>115</v>
      </c>
      <c r="B145" t="s">
        <v>1890</v>
      </c>
      <c r="C145" t="s">
        <v>1300</v>
      </c>
      <c r="D145" t="s">
        <v>1630</v>
      </c>
      <c r="E145" t="s">
        <v>1628</v>
      </c>
      <c r="F145" s="7">
        <v>31412</v>
      </c>
      <c r="G145" t="s">
        <v>1672</v>
      </c>
      <c r="H145" t="s">
        <v>1629</v>
      </c>
      <c r="I145" t="s">
        <v>771</v>
      </c>
      <c r="J145" t="s">
        <v>1632</v>
      </c>
      <c r="K145" s="123">
        <v>1</v>
      </c>
    </row>
    <row r="146" spans="1:11" x14ac:dyDescent="0.3">
      <c r="A146" t="s">
        <v>115</v>
      </c>
      <c r="B146" t="s">
        <v>1890</v>
      </c>
      <c r="C146" t="s">
        <v>113</v>
      </c>
      <c r="D146" t="s">
        <v>1760</v>
      </c>
      <c r="E146" t="s">
        <v>1758</v>
      </c>
      <c r="F146" s="7">
        <v>32056</v>
      </c>
      <c r="G146" t="s">
        <v>1675</v>
      </c>
      <c r="H146" t="s">
        <v>1759</v>
      </c>
      <c r="I146" t="s">
        <v>148</v>
      </c>
      <c r="J146" t="s">
        <v>1762</v>
      </c>
      <c r="K146" s="123">
        <v>1</v>
      </c>
    </row>
    <row r="147" spans="1:11" x14ac:dyDescent="0.3">
      <c r="A147" t="s">
        <v>115</v>
      </c>
      <c r="B147" t="s">
        <v>1890</v>
      </c>
      <c r="C147" t="s">
        <v>132</v>
      </c>
      <c r="D147" t="s">
        <v>2571</v>
      </c>
      <c r="E147" t="s">
        <v>2569</v>
      </c>
      <c r="F147" s="7">
        <v>37451</v>
      </c>
      <c r="G147" t="s">
        <v>1659</v>
      </c>
      <c r="H147" t="s">
        <v>2570</v>
      </c>
      <c r="I147" t="s">
        <v>112</v>
      </c>
      <c r="J147" t="s">
        <v>2573</v>
      </c>
      <c r="K147" s="123">
        <v>1</v>
      </c>
    </row>
    <row r="148" spans="1:11" x14ac:dyDescent="0.3">
      <c r="A148" t="s">
        <v>182</v>
      </c>
      <c r="F148"/>
      <c r="K148" s="123">
        <v>142</v>
      </c>
    </row>
    <row r="149" spans="1:11" x14ac:dyDescent="0.3">
      <c r="F149"/>
    </row>
    <row r="150" spans="1:11" x14ac:dyDescent="0.3">
      <c r="F150"/>
    </row>
    <row r="151" spans="1:11" x14ac:dyDescent="0.3">
      <c r="F151"/>
    </row>
    <row r="152" spans="1:11" x14ac:dyDescent="0.3">
      <c r="F152"/>
    </row>
    <row r="153" spans="1:11" x14ac:dyDescent="0.3">
      <c r="F153"/>
    </row>
    <row r="154" spans="1:11" x14ac:dyDescent="0.3">
      <c r="F154"/>
    </row>
    <row r="155" spans="1:11" x14ac:dyDescent="0.3">
      <c r="F155"/>
    </row>
    <row r="156" spans="1:11" x14ac:dyDescent="0.3">
      <c r="F156"/>
    </row>
    <row r="157" spans="1:11" x14ac:dyDescent="0.3">
      <c r="F157"/>
    </row>
    <row r="158" spans="1:11" x14ac:dyDescent="0.3">
      <c r="F15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90F-41C5-4797-9ED0-5A58C8D297E4}">
  <sheetPr codeName="Hoja23">
    <tabColor theme="5" tint="0.39997558519241921"/>
  </sheetPr>
  <dimension ref="A1:Q130"/>
  <sheetViews>
    <sheetView topLeftCell="E36" workbookViewId="0">
      <selection activeCell="Q54" sqref="Q54"/>
    </sheetView>
  </sheetViews>
  <sheetFormatPr baseColWidth="10" defaultRowHeight="14.4" x14ac:dyDescent="0.3"/>
  <cols>
    <col min="1" max="1" width="10.88671875" bestFit="1" customWidth="1"/>
    <col min="2" max="2" width="30.6640625" bestFit="1" customWidth="1"/>
    <col min="3" max="3" width="65.109375" bestFit="1" customWidth="1"/>
    <col min="4" max="4" width="10.77734375" bestFit="1" customWidth="1"/>
    <col min="5" max="6" width="8.44140625" bestFit="1" customWidth="1"/>
    <col min="7" max="7" width="8.44140625" style="79" customWidth="1"/>
    <col min="8" max="8" width="28.33203125" bestFit="1" customWidth="1"/>
    <col min="10" max="10" width="30.6640625" bestFit="1" customWidth="1"/>
    <col min="11" max="11" width="9.21875" customWidth="1"/>
    <col min="12" max="12" width="10.21875" bestFit="1" customWidth="1"/>
    <col min="13" max="13" width="11.5546875" style="1"/>
  </cols>
  <sheetData>
    <row r="1" spans="1:13" ht="21" x14ac:dyDescent="0.4">
      <c r="A1" s="121" t="s">
        <v>3071</v>
      </c>
      <c r="B1" s="121"/>
      <c r="C1" s="121"/>
      <c r="D1" s="121"/>
      <c r="E1" s="121"/>
      <c r="F1" s="121"/>
      <c r="G1" s="122"/>
      <c r="H1" s="121"/>
      <c r="J1" s="10" t="s">
        <v>278</v>
      </c>
      <c r="K1" t="s">
        <v>189</v>
      </c>
    </row>
    <row r="2" spans="1:13" x14ac:dyDescent="0.3">
      <c r="A2" t="s">
        <v>278</v>
      </c>
      <c r="B2" t="s">
        <v>3072</v>
      </c>
      <c r="C2" t="s">
        <v>3073</v>
      </c>
      <c r="D2" t="s">
        <v>3074</v>
      </c>
      <c r="E2" t="s">
        <v>3209</v>
      </c>
      <c r="F2" t="s">
        <v>101</v>
      </c>
      <c r="G2" s="79" t="s">
        <v>3245</v>
      </c>
      <c r="H2" t="s">
        <v>448</v>
      </c>
    </row>
    <row r="3" spans="1:13" x14ac:dyDescent="0.3">
      <c r="A3" t="s">
        <v>110</v>
      </c>
      <c r="B3" t="s">
        <v>3149</v>
      </c>
      <c r="C3" t="s">
        <v>3075</v>
      </c>
      <c r="D3">
        <v>25</v>
      </c>
      <c r="E3" s="78">
        <v>300</v>
      </c>
      <c r="F3" s="78">
        <f>T_Materiales[[#This Row],[Valor]]*T_Materiales[[#This Row],[Cantidad]]</f>
        <v>7500</v>
      </c>
      <c r="G3" s="79">
        <v>13</v>
      </c>
      <c r="J3" s="10" t="s">
        <v>3200</v>
      </c>
      <c r="K3" t="s">
        <v>3067</v>
      </c>
      <c r="L3" t="s">
        <v>3210</v>
      </c>
      <c r="M3" s="1" t="s">
        <v>2027</v>
      </c>
    </row>
    <row r="4" spans="1:13" x14ac:dyDescent="0.3">
      <c r="A4" t="s">
        <v>110</v>
      </c>
      <c r="B4" t="s">
        <v>3100</v>
      </c>
      <c r="C4" t="s">
        <v>3076</v>
      </c>
      <c r="D4">
        <v>4</v>
      </c>
      <c r="E4" s="78">
        <v>3000</v>
      </c>
      <c r="F4" s="78">
        <f>T_Materiales[[#This Row],[Valor]]*T_Materiales[[#This Row],[Cantidad]]</f>
        <v>12000</v>
      </c>
      <c r="G4" s="78"/>
      <c r="J4" s="11" t="s">
        <v>3141</v>
      </c>
      <c r="K4" s="33">
        <v>1</v>
      </c>
      <c r="L4" s="78">
        <v>0</v>
      </c>
    </row>
    <row r="5" spans="1:13" x14ac:dyDescent="0.3">
      <c r="A5" t="s">
        <v>110</v>
      </c>
      <c r="B5" t="s">
        <v>3104</v>
      </c>
      <c r="C5" t="s">
        <v>3077</v>
      </c>
      <c r="D5">
        <v>4</v>
      </c>
      <c r="E5" s="78">
        <v>1900</v>
      </c>
      <c r="F5" s="78">
        <f>T_Materiales[[#This Row],[Valor]]*T_Materiales[[#This Row],[Cantidad]]</f>
        <v>7600</v>
      </c>
      <c r="G5" s="78"/>
      <c r="J5" s="11" t="s">
        <v>3115</v>
      </c>
      <c r="K5" s="33">
        <v>1</v>
      </c>
      <c r="L5" s="78">
        <v>0</v>
      </c>
    </row>
    <row r="6" spans="1:13" x14ac:dyDescent="0.3">
      <c r="A6" t="s">
        <v>110</v>
      </c>
      <c r="B6" t="s">
        <v>3105</v>
      </c>
      <c r="C6" t="s">
        <v>3078</v>
      </c>
      <c r="D6">
        <v>4</v>
      </c>
      <c r="E6" s="78">
        <v>1900</v>
      </c>
      <c r="F6" s="78">
        <f>T_Materiales[[#This Row],[Valor]]*T_Materiales[[#This Row],[Cantidad]]</f>
        <v>7600</v>
      </c>
      <c r="G6" s="78"/>
      <c r="J6" s="11" t="s">
        <v>3142</v>
      </c>
      <c r="K6" s="33">
        <v>1</v>
      </c>
      <c r="L6" s="78">
        <v>0</v>
      </c>
    </row>
    <row r="7" spans="1:13" x14ac:dyDescent="0.3">
      <c r="A7" t="s">
        <v>110</v>
      </c>
      <c r="B7" t="s">
        <v>3106</v>
      </c>
      <c r="C7" t="s">
        <v>3079</v>
      </c>
      <c r="D7">
        <v>4</v>
      </c>
      <c r="E7" s="78">
        <v>1900</v>
      </c>
      <c r="F7" s="78">
        <f>T_Materiales[[#This Row],[Valor]]*T_Materiales[[#This Row],[Cantidad]]</f>
        <v>7600</v>
      </c>
      <c r="G7" s="78"/>
      <c r="J7" s="11" t="s">
        <v>3194</v>
      </c>
      <c r="K7" s="33">
        <v>1</v>
      </c>
      <c r="L7" s="78">
        <v>0</v>
      </c>
    </row>
    <row r="8" spans="1:13" x14ac:dyDescent="0.3">
      <c r="A8" t="s">
        <v>110</v>
      </c>
      <c r="B8" t="s">
        <v>3099</v>
      </c>
      <c r="C8" t="s">
        <v>3080</v>
      </c>
      <c r="D8">
        <v>4</v>
      </c>
      <c r="E8" s="78">
        <v>0</v>
      </c>
      <c r="F8" s="78">
        <f>T_Materiales[[#This Row],[Valor]]*T_Materiales[[#This Row],[Cantidad]]</f>
        <v>0</v>
      </c>
      <c r="G8" s="78"/>
      <c r="J8" s="11" t="s">
        <v>3193</v>
      </c>
      <c r="K8" s="33">
        <v>1</v>
      </c>
      <c r="L8" s="78">
        <v>0</v>
      </c>
    </row>
    <row r="9" spans="1:13" x14ac:dyDescent="0.3">
      <c r="A9" t="s">
        <v>110</v>
      </c>
      <c r="B9" t="s">
        <v>3101</v>
      </c>
      <c r="C9" t="s">
        <v>3081</v>
      </c>
      <c r="D9">
        <v>4</v>
      </c>
      <c r="E9" s="78">
        <v>1000</v>
      </c>
      <c r="F9" s="78">
        <f>T_Materiales[[#This Row],[Valor]]*T_Materiales[[#This Row],[Cantidad]]</f>
        <v>4000</v>
      </c>
      <c r="G9" s="78"/>
      <c r="J9" s="11" t="s">
        <v>3198</v>
      </c>
      <c r="K9" s="33">
        <v>1</v>
      </c>
      <c r="L9" s="78">
        <v>0</v>
      </c>
    </row>
    <row r="10" spans="1:13" x14ac:dyDescent="0.3">
      <c r="A10" t="s">
        <v>110</v>
      </c>
      <c r="B10" t="s">
        <v>3102</v>
      </c>
      <c r="C10" t="s">
        <v>3082</v>
      </c>
      <c r="D10">
        <v>1</v>
      </c>
      <c r="E10" s="78">
        <v>0</v>
      </c>
      <c r="F10" s="78">
        <f>T_Materiales[[#This Row],[Valor]]*T_Materiales[[#This Row],[Cantidad]]</f>
        <v>0</v>
      </c>
      <c r="G10" s="78"/>
      <c r="J10" s="11" t="s">
        <v>3173</v>
      </c>
      <c r="K10" s="33">
        <v>2</v>
      </c>
      <c r="L10" s="78">
        <v>14000</v>
      </c>
    </row>
    <row r="11" spans="1:13" x14ac:dyDescent="0.3">
      <c r="A11" t="s">
        <v>110</v>
      </c>
      <c r="B11" t="s">
        <v>3103</v>
      </c>
      <c r="C11" t="s">
        <v>3083</v>
      </c>
      <c r="D11">
        <v>100</v>
      </c>
      <c r="E11" s="78">
        <v>8</v>
      </c>
      <c r="F11" s="78">
        <f>T_Materiales[[#This Row],[Valor]]*T_Materiales[[#This Row],[Cantidad]]</f>
        <v>800</v>
      </c>
      <c r="G11" s="78"/>
      <c r="J11" s="11" t="s">
        <v>3128</v>
      </c>
      <c r="K11" s="33">
        <v>1</v>
      </c>
      <c r="L11" s="78">
        <v>0</v>
      </c>
    </row>
    <row r="12" spans="1:13" x14ac:dyDescent="0.3">
      <c r="A12" t="s">
        <v>110</v>
      </c>
      <c r="B12" t="s">
        <v>3107</v>
      </c>
      <c r="C12" t="s">
        <v>3084</v>
      </c>
      <c r="D12">
        <v>2</v>
      </c>
      <c r="E12" s="78">
        <v>1000</v>
      </c>
      <c r="F12" s="78">
        <f>T_Materiales[[#This Row],[Valor]]*T_Materiales[[#This Row],[Cantidad]]</f>
        <v>2000</v>
      </c>
      <c r="G12" s="78"/>
      <c r="J12" s="11" t="s">
        <v>3150</v>
      </c>
      <c r="K12" s="33">
        <v>6</v>
      </c>
      <c r="L12" s="78">
        <v>1200</v>
      </c>
    </row>
    <row r="13" spans="1:13" x14ac:dyDescent="0.3">
      <c r="A13" t="s">
        <v>110</v>
      </c>
      <c r="B13" t="s">
        <v>3108</v>
      </c>
      <c r="C13" t="s">
        <v>3085</v>
      </c>
      <c r="D13">
        <v>2</v>
      </c>
      <c r="E13" s="78">
        <v>1000</v>
      </c>
      <c r="F13" s="78">
        <f>T_Materiales[[#This Row],[Valor]]*T_Materiales[[#This Row],[Cantidad]]</f>
        <v>2000</v>
      </c>
      <c r="G13" s="78"/>
      <c r="J13" s="11" t="s">
        <v>3117</v>
      </c>
      <c r="K13" s="33">
        <v>25</v>
      </c>
      <c r="L13" s="78">
        <v>5000</v>
      </c>
    </row>
    <row r="14" spans="1:13" x14ac:dyDescent="0.3">
      <c r="A14" t="s">
        <v>110</v>
      </c>
      <c r="B14" t="s">
        <v>3109</v>
      </c>
      <c r="C14" t="s">
        <v>3086</v>
      </c>
      <c r="D14">
        <v>2</v>
      </c>
      <c r="E14" s="78">
        <v>1000</v>
      </c>
      <c r="F14" s="78">
        <f>T_Materiales[[#This Row],[Valor]]*T_Materiales[[#This Row],[Cantidad]]</f>
        <v>2000</v>
      </c>
      <c r="G14" s="78"/>
      <c r="J14" s="11" t="s">
        <v>3165</v>
      </c>
      <c r="K14" s="33">
        <v>1</v>
      </c>
      <c r="L14" s="78">
        <v>0</v>
      </c>
    </row>
    <row r="15" spans="1:13" x14ac:dyDescent="0.3">
      <c r="A15" t="s">
        <v>110</v>
      </c>
      <c r="B15" t="s">
        <v>3110</v>
      </c>
      <c r="C15" t="s">
        <v>3087</v>
      </c>
      <c r="D15">
        <v>25</v>
      </c>
      <c r="E15" s="78">
        <v>90</v>
      </c>
      <c r="F15" s="78">
        <f>T_Materiales[[#This Row],[Valor]]*T_Materiales[[#This Row],[Cantidad]]</f>
        <v>2250</v>
      </c>
      <c r="G15" s="78"/>
      <c r="J15" s="11" t="s">
        <v>3229</v>
      </c>
      <c r="K15" s="33">
        <v>4</v>
      </c>
      <c r="L15" s="78">
        <v>6000</v>
      </c>
    </row>
    <row r="16" spans="1:13" x14ac:dyDescent="0.3">
      <c r="A16" t="s">
        <v>110</v>
      </c>
      <c r="B16" t="s">
        <v>3140</v>
      </c>
      <c r="C16" t="s">
        <v>3088</v>
      </c>
      <c r="D16">
        <v>2</v>
      </c>
      <c r="E16" s="78">
        <v>3000</v>
      </c>
      <c r="F16" s="78">
        <f>T_Materiales[[#This Row],[Valor]]*T_Materiales[[#This Row],[Cantidad]]</f>
        <v>6000</v>
      </c>
      <c r="G16" s="78"/>
      <c r="J16" s="11" t="s">
        <v>3190</v>
      </c>
      <c r="K16" s="33">
        <v>40</v>
      </c>
      <c r="L16" s="78">
        <v>20000</v>
      </c>
      <c r="M16" s="1">
        <v>40</v>
      </c>
    </row>
    <row r="17" spans="1:13" x14ac:dyDescent="0.3">
      <c r="A17" t="s">
        <v>110</v>
      </c>
      <c r="B17" t="s">
        <v>3111</v>
      </c>
      <c r="C17" t="s">
        <v>3089</v>
      </c>
      <c r="D17">
        <v>3</v>
      </c>
      <c r="E17" s="78">
        <v>1</v>
      </c>
      <c r="F17" s="78">
        <f>T_Materiales[[#This Row],[Valor]]*T_Materiales[[#This Row],[Cantidad]]</f>
        <v>3</v>
      </c>
      <c r="G17" s="78"/>
      <c r="J17" s="11" t="s">
        <v>3102</v>
      </c>
      <c r="K17" s="33">
        <v>3</v>
      </c>
      <c r="L17" s="78">
        <v>0</v>
      </c>
    </row>
    <row r="18" spans="1:13" x14ac:dyDescent="0.3">
      <c r="A18" t="s">
        <v>110</v>
      </c>
      <c r="B18" t="s">
        <v>3112</v>
      </c>
      <c r="C18" t="s">
        <v>3090</v>
      </c>
      <c r="D18">
        <v>1</v>
      </c>
      <c r="E18" s="78">
        <v>1500</v>
      </c>
      <c r="F18" s="78">
        <f>T_Materiales[[#This Row],[Valor]]*T_Materiales[[#This Row],[Cantidad]]</f>
        <v>1500</v>
      </c>
      <c r="J18" s="11" t="s">
        <v>3199</v>
      </c>
      <c r="K18" s="33">
        <v>2</v>
      </c>
      <c r="L18" s="78">
        <v>2000</v>
      </c>
      <c r="M18" s="1">
        <v>2</v>
      </c>
    </row>
    <row r="19" spans="1:13" x14ac:dyDescent="0.3">
      <c r="A19" t="s">
        <v>110</v>
      </c>
      <c r="B19" t="s">
        <v>3113</v>
      </c>
      <c r="C19" t="s">
        <v>3091</v>
      </c>
      <c r="D19">
        <v>4</v>
      </c>
      <c r="E19" s="78">
        <v>3000</v>
      </c>
      <c r="F19" s="78">
        <f>T_Materiales[[#This Row],[Valor]]*T_Materiales[[#This Row],[Cantidad]]</f>
        <v>12000</v>
      </c>
      <c r="G19" s="78"/>
      <c r="J19" s="11" t="s">
        <v>3227</v>
      </c>
      <c r="K19" s="33">
        <v>1</v>
      </c>
      <c r="L19" s="78">
        <v>5000</v>
      </c>
      <c r="M19" s="1">
        <v>1</v>
      </c>
    </row>
    <row r="20" spans="1:13" x14ac:dyDescent="0.3">
      <c r="A20" t="s">
        <v>110</v>
      </c>
      <c r="B20" t="s">
        <v>3201</v>
      </c>
      <c r="C20" t="s">
        <v>3092</v>
      </c>
      <c r="D20">
        <v>3</v>
      </c>
      <c r="E20" s="78">
        <v>1000</v>
      </c>
      <c r="F20" s="78">
        <f>T_Materiales[[#This Row],[Valor]]*T_Materiales[[#This Row],[Cantidad]]</f>
        <v>3000</v>
      </c>
      <c r="G20" s="78"/>
      <c r="J20" s="11" t="s">
        <v>3201</v>
      </c>
      <c r="K20" s="33">
        <v>17</v>
      </c>
      <c r="L20" s="78">
        <v>17000</v>
      </c>
    </row>
    <row r="21" spans="1:13" x14ac:dyDescent="0.3">
      <c r="A21" t="s">
        <v>110</v>
      </c>
      <c r="B21" t="s">
        <v>3145</v>
      </c>
      <c r="C21" t="s">
        <v>3093</v>
      </c>
      <c r="D21">
        <v>5</v>
      </c>
      <c r="E21" s="78">
        <v>1000</v>
      </c>
      <c r="F21" s="78">
        <f>T_Materiales[[#This Row],[Valor]]*T_Materiales[[#This Row],[Cantidad]]</f>
        <v>5000</v>
      </c>
      <c r="G21" s="78">
        <v>5</v>
      </c>
      <c r="J21" s="11" t="s">
        <v>3197</v>
      </c>
      <c r="K21" s="33">
        <v>65</v>
      </c>
      <c r="L21" s="78">
        <v>64200</v>
      </c>
    </row>
    <row r="22" spans="1:13" x14ac:dyDescent="0.3">
      <c r="A22" t="s">
        <v>110</v>
      </c>
      <c r="B22" t="s">
        <v>3146</v>
      </c>
      <c r="C22" t="s">
        <v>3094</v>
      </c>
      <c r="D22">
        <v>2</v>
      </c>
      <c r="E22" s="78">
        <v>1000</v>
      </c>
      <c r="F22" s="78">
        <f>T_Materiales[[#This Row],[Valor]]*T_Materiales[[#This Row],[Cantidad]]</f>
        <v>2000</v>
      </c>
      <c r="G22" s="78">
        <v>2</v>
      </c>
      <c r="J22" s="11" t="s">
        <v>3103</v>
      </c>
      <c r="K22" s="33">
        <v>3950</v>
      </c>
      <c r="L22" s="78">
        <v>31600</v>
      </c>
    </row>
    <row r="23" spans="1:13" x14ac:dyDescent="0.3">
      <c r="A23" t="s">
        <v>110</v>
      </c>
      <c r="B23" t="s">
        <v>3114</v>
      </c>
      <c r="C23" t="s">
        <v>3095</v>
      </c>
      <c r="D23">
        <v>1</v>
      </c>
      <c r="E23" s="78">
        <v>1500</v>
      </c>
      <c r="F23" s="78">
        <f>T_Materiales[[#This Row],[Valor]]*T_Materiales[[#This Row],[Cantidad]]</f>
        <v>1500</v>
      </c>
      <c r="G23" s="78"/>
      <c r="J23" s="11" t="s">
        <v>3110</v>
      </c>
      <c r="K23" s="33">
        <v>109</v>
      </c>
      <c r="L23" s="78">
        <v>9810</v>
      </c>
    </row>
    <row r="24" spans="1:13" x14ac:dyDescent="0.3">
      <c r="A24" t="s">
        <v>110</v>
      </c>
      <c r="B24" t="s">
        <v>3115</v>
      </c>
      <c r="C24" t="s">
        <v>3096</v>
      </c>
      <c r="D24">
        <v>1</v>
      </c>
      <c r="E24" s="78">
        <v>0</v>
      </c>
      <c r="F24" s="78">
        <f>T_Materiales[[#This Row],[Valor]]*T_Materiales[[#This Row],[Cantidad]]</f>
        <v>0</v>
      </c>
      <c r="G24" s="78"/>
      <c r="J24" s="11" t="s">
        <v>3191</v>
      </c>
      <c r="K24" s="33">
        <v>4</v>
      </c>
      <c r="L24" s="78">
        <v>4000</v>
      </c>
      <c r="M24" s="1">
        <v>4</v>
      </c>
    </row>
    <row r="25" spans="1:13" x14ac:dyDescent="0.3">
      <c r="A25" t="s">
        <v>110</v>
      </c>
      <c r="B25" t="s">
        <v>3116</v>
      </c>
      <c r="C25" t="s">
        <v>3097</v>
      </c>
      <c r="D25">
        <v>1</v>
      </c>
      <c r="E25" s="78">
        <v>0</v>
      </c>
      <c r="F25" s="78">
        <f>T_Materiales[[#This Row],[Valor]]*T_Materiales[[#This Row],[Cantidad]]</f>
        <v>0</v>
      </c>
      <c r="G25" s="78"/>
      <c r="J25" s="11" t="s">
        <v>3230</v>
      </c>
      <c r="K25" s="33">
        <v>4</v>
      </c>
      <c r="L25" s="78">
        <v>6000</v>
      </c>
    </row>
    <row r="26" spans="1:13" x14ac:dyDescent="0.3">
      <c r="A26" t="s">
        <v>110</v>
      </c>
      <c r="B26" t="s">
        <v>3117</v>
      </c>
      <c r="C26" t="s">
        <v>3098</v>
      </c>
      <c r="D26">
        <v>25</v>
      </c>
      <c r="E26" s="78">
        <v>200</v>
      </c>
      <c r="F26" s="78">
        <f>T_Materiales[[#This Row],[Valor]]*T_Materiales[[#This Row],[Cantidad]]</f>
        <v>5000</v>
      </c>
      <c r="G26" s="78"/>
      <c r="J26" s="11" t="s">
        <v>3114</v>
      </c>
      <c r="K26" s="33">
        <v>1</v>
      </c>
      <c r="L26" s="78">
        <v>1500</v>
      </c>
    </row>
    <row r="27" spans="1:13" x14ac:dyDescent="0.3">
      <c r="A27" t="s">
        <v>110</v>
      </c>
      <c r="B27" t="s">
        <v>3203</v>
      </c>
      <c r="C27" t="s">
        <v>3118</v>
      </c>
      <c r="D27">
        <v>1</v>
      </c>
      <c r="E27" s="78">
        <v>1000</v>
      </c>
      <c r="F27" s="78">
        <f>T_Materiales[[#This Row],[Valor]]*T_Materiales[[#This Row],[Cantidad]]</f>
        <v>1000</v>
      </c>
      <c r="G27" s="78"/>
      <c r="H27" t="s">
        <v>3119</v>
      </c>
      <c r="J27" s="11" t="s">
        <v>3143</v>
      </c>
      <c r="K27" s="33">
        <v>1</v>
      </c>
      <c r="L27" s="78">
        <v>0</v>
      </c>
    </row>
    <row r="28" spans="1:13" x14ac:dyDescent="0.3">
      <c r="A28" t="s">
        <v>117</v>
      </c>
      <c r="B28" t="s">
        <v>3201</v>
      </c>
      <c r="C28" t="s">
        <v>3120</v>
      </c>
      <c r="D28">
        <v>2</v>
      </c>
      <c r="E28" s="78">
        <v>1000</v>
      </c>
      <c r="F28" s="78">
        <f>T_Materiales[[#This Row],[Valor]]*T_Materiales[[#This Row],[Cantidad]]</f>
        <v>2000</v>
      </c>
      <c r="G28" s="78"/>
      <c r="J28" s="11" t="s">
        <v>3101</v>
      </c>
      <c r="K28" s="33">
        <v>8</v>
      </c>
      <c r="L28" s="78">
        <v>8000</v>
      </c>
    </row>
    <row r="29" spans="1:13" x14ac:dyDescent="0.3">
      <c r="A29" t="s">
        <v>117</v>
      </c>
      <c r="B29" t="s">
        <v>3140</v>
      </c>
      <c r="C29" t="s">
        <v>3121</v>
      </c>
      <c r="D29">
        <v>2</v>
      </c>
      <c r="E29" s="78">
        <v>3000</v>
      </c>
      <c r="F29" s="78">
        <f>T_Materiales[[#This Row],[Valor]]*T_Materiales[[#This Row],[Cantidad]]</f>
        <v>6000</v>
      </c>
      <c r="G29" s="78"/>
      <c r="J29" s="11" t="s">
        <v>3100</v>
      </c>
      <c r="K29" s="33">
        <v>23</v>
      </c>
      <c r="L29" s="78">
        <v>69000</v>
      </c>
    </row>
    <row r="30" spans="1:13" x14ac:dyDescent="0.3">
      <c r="A30" t="s">
        <v>117</v>
      </c>
      <c r="B30" t="s">
        <v>3141</v>
      </c>
      <c r="C30" t="s">
        <v>3122</v>
      </c>
      <c r="D30">
        <v>1</v>
      </c>
      <c r="E30" s="78">
        <v>0</v>
      </c>
      <c r="F30" s="78">
        <f>T_Materiales[[#This Row],[Valor]]*T_Materiales[[#This Row],[Cantidad]]</f>
        <v>0</v>
      </c>
      <c r="G30" s="78"/>
      <c r="J30" s="11" t="s">
        <v>3177</v>
      </c>
      <c r="K30" s="33">
        <v>10</v>
      </c>
      <c r="L30" s="78">
        <v>0</v>
      </c>
    </row>
    <row r="31" spans="1:13" x14ac:dyDescent="0.3">
      <c r="A31" t="s">
        <v>117</v>
      </c>
      <c r="B31" t="s">
        <v>3142</v>
      </c>
      <c r="C31" t="s">
        <v>3123</v>
      </c>
      <c r="D31">
        <v>1</v>
      </c>
      <c r="E31" s="78">
        <v>0</v>
      </c>
      <c r="F31" s="78">
        <f>T_Materiales[[#This Row],[Valor]]*T_Materiales[[#This Row],[Cantidad]]</f>
        <v>0</v>
      </c>
      <c r="G31" s="78"/>
      <c r="J31" s="11" t="s">
        <v>3129</v>
      </c>
      <c r="K31" s="33">
        <v>1</v>
      </c>
      <c r="L31" s="78">
        <v>0</v>
      </c>
    </row>
    <row r="32" spans="1:13" x14ac:dyDescent="0.3">
      <c r="A32" t="s">
        <v>117</v>
      </c>
      <c r="B32" t="s">
        <v>3099</v>
      </c>
      <c r="C32" t="s">
        <v>3124</v>
      </c>
      <c r="D32">
        <v>4</v>
      </c>
      <c r="E32" s="78">
        <v>0</v>
      </c>
      <c r="F32" s="78">
        <f>T_Materiales[[#This Row],[Valor]]*T_Materiales[[#This Row],[Cantidad]]</f>
        <v>0</v>
      </c>
      <c r="G32" s="78"/>
      <c r="J32" s="11" t="s">
        <v>3116</v>
      </c>
      <c r="K32" s="33">
        <v>2</v>
      </c>
      <c r="L32" s="78">
        <v>0</v>
      </c>
    </row>
    <row r="33" spans="1:17" x14ac:dyDescent="0.3">
      <c r="A33" t="s">
        <v>117</v>
      </c>
      <c r="B33" t="s">
        <v>3101</v>
      </c>
      <c r="C33" t="s">
        <v>3125</v>
      </c>
      <c r="D33">
        <v>4</v>
      </c>
      <c r="E33" s="78">
        <v>1000</v>
      </c>
      <c r="F33" s="78">
        <f>T_Materiales[[#This Row],[Valor]]*T_Materiales[[#This Row],[Cantidad]]</f>
        <v>4000</v>
      </c>
      <c r="G33" s="78"/>
      <c r="J33" s="11" t="s">
        <v>3202</v>
      </c>
      <c r="K33" s="33">
        <v>4</v>
      </c>
      <c r="L33" s="78">
        <v>10000</v>
      </c>
    </row>
    <row r="34" spans="1:17" x14ac:dyDescent="0.3">
      <c r="A34" t="s">
        <v>117</v>
      </c>
      <c r="B34" t="s">
        <v>3144</v>
      </c>
      <c r="C34" t="s">
        <v>3126</v>
      </c>
      <c r="D34">
        <v>4</v>
      </c>
      <c r="E34" s="78">
        <v>1000</v>
      </c>
      <c r="F34" s="78">
        <f>T_Materiales[[#This Row],[Valor]]*T_Materiales[[#This Row],[Cantidad]]</f>
        <v>4000</v>
      </c>
      <c r="G34" s="78">
        <v>4</v>
      </c>
      <c r="J34" s="11" t="s">
        <v>3147</v>
      </c>
      <c r="K34" s="33">
        <v>12</v>
      </c>
      <c r="L34" s="78">
        <v>12000</v>
      </c>
    </row>
    <row r="35" spans="1:17" x14ac:dyDescent="0.3">
      <c r="A35" t="s">
        <v>117</v>
      </c>
      <c r="B35" t="s">
        <v>3147</v>
      </c>
      <c r="C35" t="s">
        <v>3127</v>
      </c>
      <c r="D35">
        <v>12</v>
      </c>
      <c r="E35" s="78">
        <v>1000</v>
      </c>
      <c r="F35" s="78">
        <f>T_Materiales[[#This Row],[Valor]]*T_Materiales[[#This Row],[Cantidad]]</f>
        <v>12000</v>
      </c>
      <c r="G35" s="78">
        <v>12</v>
      </c>
      <c r="J35" s="11" t="s">
        <v>3176</v>
      </c>
      <c r="K35" s="33">
        <v>1</v>
      </c>
      <c r="L35" s="78">
        <v>1000</v>
      </c>
    </row>
    <row r="36" spans="1:17" x14ac:dyDescent="0.3">
      <c r="A36" t="s">
        <v>117</v>
      </c>
      <c r="B36" t="s">
        <v>3108</v>
      </c>
      <c r="C36" t="s">
        <v>3085</v>
      </c>
      <c r="D36">
        <v>2</v>
      </c>
      <c r="E36" s="78">
        <v>1000</v>
      </c>
      <c r="F36" s="78">
        <f>T_Materiales[[#This Row],[Valor]]*T_Materiales[[#This Row],[Cantidad]]</f>
        <v>2000</v>
      </c>
      <c r="G36" s="78">
        <v>2</v>
      </c>
      <c r="J36" s="11" t="s">
        <v>3145</v>
      </c>
      <c r="K36" s="33">
        <v>5</v>
      </c>
      <c r="L36" s="78">
        <v>5000</v>
      </c>
    </row>
    <row r="37" spans="1:17" x14ac:dyDescent="0.3">
      <c r="A37" t="s">
        <v>117</v>
      </c>
      <c r="B37" t="s">
        <v>3109</v>
      </c>
      <c r="C37" t="s">
        <v>3086</v>
      </c>
      <c r="D37">
        <v>2</v>
      </c>
      <c r="E37" s="78">
        <v>1000</v>
      </c>
      <c r="F37" s="78">
        <f>T_Materiales[[#This Row],[Valor]]*T_Materiales[[#This Row],[Cantidad]]</f>
        <v>2000</v>
      </c>
      <c r="G37" s="78">
        <v>2</v>
      </c>
      <c r="J37" s="11" t="s">
        <v>3146</v>
      </c>
      <c r="K37" s="33">
        <v>2</v>
      </c>
      <c r="L37" s="78">
        <v>2000</v>
      </c>
    </row>
    <row r="38" spans="1:17" x14ac:dyDescent="0.3">
      <c r="A38" t="s">
        <v>117</v>
      </c>
      <c r="B38" t="s">
        <v>3106</v>
      </c>
      <c r="C38" t="s">
        <v>3170</v>
      </c>
      <c r="D38">
        <v>4</v>
      </c>
      <c r="E38" s="78">
        <v>1900</v>
      </c>
      <c r="F38" s="78">
        <f>T_Materiales[[#This Row],[Valor]]*T_Materiales[[#This Row],[Cantidad]]</f>
        <v>7600</v>
      </c>
      <c r="G38" s="78"/>
      <c r="J38" s="11" t="s">
        <v>3144</v>
      </c>
      <c r="K38" s="33">
        <v>4</v>
      </c>
      <c r="L38" s="78">
        <v>4000</v>
      </c>
    </row>
    <row r="39" spans="1:17" x14ac:dyDescent="0.3">
      <c r="A39" t="s">
        <v>117</v>
      </c>
      <c r="B39" t="s">
        <v>3105</v>
      </c>
      <c r="C39" t="s">
        <v>3171</v>
      </c>
      <c r="D39">
        <v>4</v>
      </c>
      <c r="E39" s="78">
        <v>1900</v>
      </c>
      <c r="F39" s="78">
        <f>T_Materiales[[#This Row],[Valor]]*T_Materiales[[#This Row],[Cantidad]]</f>
        <v>7600</v>
      </c>
      <c r="G39" s="78"/>
      <c r="J39" s="11" t="s">
        <v>3149</v>
      </c>
      <c r="K39" s="33">
        <v>159</v>
      </c>
      <c r="L39" s="78">
        <v>47700</v>
      </c>
      <c r="M39" s="1">
        <v>50</v>
      </c>
      <c r="O39">
        <v>75</v>
      </c>
      <c r="P39">
        <v>300</v>
      </c>
      <c r="Q39">
        <f>O39*P39</f>
        <v>22500</v>
      </c>
    </row>
    <row r="40" spans="1:17" x14ac:dyDescent="0.3">
      <c r="A40" t="s">
        <v>117</v>
      </c>
      <c r="B40" t="s">
        <v>3169</v>
      </c>
      <c r="C40" t="s">
        <v>3172</v>
      </c>
      <c r="D40">
        <v>4</v>
      </c>
      <c r="E40" s="78">
        <v>1900</v>
      </c>
      <c r="F40" s="78">
        <f>T_Materiales[[#This Row],[Valor]]*T_Materiales[[#This Row],[Cantidad]]</f>
        <v>7600</v>
      </c>
      <c r="G40" s="78"/>
      <c r="J40" s="11" t="s">
        <v>3106</v>
      </c>
      <c r="K40" s="33">
        <v>21</v>
      </c>
      <c r="L40" s="78">
        <v>36300</v>
      </c>
      <c r="O40">
        <v>10</v>
      </c>
      <c r="P40">
        <v>1500</v>
      </c>
      <c r="Q40">
        <f t="shared" ref="Q40:Q47" si="0">O40*P40</f>
        <v>15000</v>
      </c>
    </row>
    <row r="41" spans="1:17" x14ac:dyDescent="0.3">
      <c r="A41" t="s">
        <v>117</v>
      </c>
      <c r="B41" t="s">
        <v>3128</v>
      </c>
      <c r="C41" t="s">
        <v>3128</v>
      </c>
      <c r="D41">
        <v>1</v>
      </c>
      <c r="E41" s="78">
        <v>0</v>
      </c>
      <c r="F41" s="78">
        <f>T_Materiales[[#This Row],[Valor]]*T_Materiales[[#This Row],[Cantidad]]</f>
        <v>0</v>
      </c>
      <c r="G41" s="78"/>
      <c r="J41" s="11" t="s">
        <v>3104</v>
      </c>
      <c r="K41" s="33">
        <v>11</v>
      </c>
      <c r="L41" s="78">
        <v>17300</v>
      </c>
      <c r="O41">
        <v>10</v>
      </c>
      <c r="P41">
        <v>1500</v>
      </c>
      <c r="Q41">
        <f t="shared" si="0"/>
        <v>15000</v>
      </c>
    </row>
    <row r="42" spans="1:17" x14ac:dyDescent="0.3">
      <c r="A42" t="s">
        <v>117</v>
      </c>
      <c r="B42" t="s">
        <v>3129</v>
      </c>
      <c r="C42" t="s">
        <v>3129</v>
      </c>
      <c r="D42">
        <v>1</v>
      </c>
      <c r="E42" s="78">
        <v>0</v>
      </c>
      <c r="F42" s="78">
        <f>T_Materiales[[#This Row],[Valor]]*T_Materiales[[#This Row],[Cantidad]]</f>
        <v>0</v>
      </c>
      <c r="G42" s="78"/>
      <c r="J42" s="11" t="s">
        <v>3169</v>
      </c>
      <c r="K42" s="33">
        <v>10</v>
      </c>
      <c r="L42" s="78">
        <v>19000</v>
      </c>
      <c r="O42">
        <v>10</v>
      </c>
      <c r="P42">
        <v>1500</v>
      </c>
      <c r="Q42">
        <f t="shared" si="0"/>
        <v>15000</v>
      </c>
    </row>
    <row r="43" spans="1:17" x14ac:dyDescent="0.3">
      <c r="A43" t="s">
        <v>117</v>
      </c>
      <c r="B43" t="s">
        <v>3102</v>
      </c>
      <c r="C43" t="s">
        <v>3130</v>
      </c>
      <c r="D43">
        <v>1</v>
      </c>
      <c r="E43" s="78">
        <v>0</v>
      </c>
      <c r="F43" s="78">
        <f>T_Materiales[[#This Row],[Valor]]*T_Materiales[[#This Row],[Cantidad]]</f>
        <v>0</v>
      </c>
      <c r="G43" s="78"/>
      <c r="J43" s="11" t="s">
        <v>3105</v>
      </c>
      <c r="K43" s="33">
        <v>21</v>
      </c>
      <c r="L43" s="78">
        <v>36300</v>
      </c>
      <c r="O43">
        <v>10</v>
      </c>
      <c r="P43">
        <v>1500</v>
      </c>
      <c r="Q43">
        <f t="shared" si="0"/>
        <v>15000</v>
      </c>
    </row>
    <row r="44" spans="1:17" x14ac:dyDescent="0.3">
      <c r="A44" t="s">
        <v>117</v>
      </c>
      <c r="B44" t="s">
        <v>3100</v>
      </c>
      <c r="C44" t="s">
        <v>3131</v>
      </c>
      <c r="D44">
        <v>4</v>
      </c>
      <c r="E44" s="78">
        <v>3000</v>
      </c>
      <c r="F44" s="78">
        <f>T_Materiales[[#This Row],[Valor]]*T_Materiales[[#This Row],[Cantidad]]</f>
        <v>12000</v>
      </c>
      <c r="G44" s="78"/>
      <c r="J44" s="11" t="s">
        <v>3107</v>
      </c>
      <c r="K44" s="33">
        <v>5</v>
      </c>
      <c r="L44" s="78">
        <v>5000</v>
      </c>
      <c r="M44" s="1">
        <v>6</v>
      </c>
      <c r="Q44">
        <f t="shared" si="0"/>
        <v>0</v>
      </c>
    </row>
    <row r="45" spans="1:17" x14ac:dyDescent="0.3">
      <c r="A45" t="s">
        <v>117</v>
      </c>
      <c r="B45" t="s">
        <v>3143</v>
      </c>
      <c r="C45" t="s">
        <v>3132</v>
      </c>
      <c r="D45">
        <v>1</v>
      </c>
      <c r="E45" s="78">
        <v>0</v>
      </c>
      <c r="F45" s="78">
        <f>T_Materiales[[#This Row],[Valor]]*T_Materiales[[#This Row],[Cantidad]]</f>
        <v>0</v>
      </c>
      <c r="G45" s="78"/>
      <c r="J45" s="11" t="s">
        <v>3108</v>
      </c>
      <c r="K45" s="33">
        <v>11</v>
      </c>
      <c r="L45" s="78">
        <v>11000</v>
      </c>
      <c r="M45" s="1">
        <v>6</v>
      </c>
      <c r="Q45">
        <f t="shared" si="0"/>
        <v>0</v>
      </c>
    </row>
    <row r="46" spans="1:17" x14ac:dyDescent="0.3">
      <c r="A46" t="s">
        <v>117</v>
      </c>
      <c r="B46" t="s">
        <v>3103</v>
      </c>
      <c r="C46" t="s">
        <v>3133</v>
      </c>
      <c r="D46">
        <v>100</v>
      </c>
      <c r="E46" s="78">
        <v>8</v>
      </c>
      <c r="F46" s="78">
        <f>T_Materiales[[#This Row],[Valor]]*T_Materiales[[#This Row],[Cantidad]]</f>
        <v>800</v>
      </c>
      <c r="G46" s="78"/>
      <c r="J46" s="11" t="s">
        <v>3109</v>
      </c>
      <c r="K46" s="33">
        <v>11</v>
      </c>
      <c r="L46" s="78">
        <v>11000</v>
      </c>
      <c r="M46" s="1">
        <v>6</v>
      </c>
      <c r="Q46">
        <f t="shared" si="0"/>
        <v>0</v>
      </c>
    </row>
    <row r="47" spans="1:17" x14ac:dyDescent="0.3">
      <c r="A47" t="s">
        <v>117</v>
      </c>
      <c r="B47" t="s">
        <v>3110</v>
      </c>
      <c r="C47" t="s">
        <v>3134</v>
      </c>
      <c r="D47">
        <v>24</v>
      </c>
      <c r="E47" s="78">
        <v>90</v>
      </c>
      <c r="F47" s="78">
        <f>T_Materiales[[#This Row],[Valor]]*T_Materiales[[#This Row],[Cantidad]]</f>
        <v>2160</v>
      </c>
      <c r="G47" s="78"/>
      <c r="J47" s="11" t="s">
        <v>3140</v>
      </c>
      <c r="K47" s="33">
        <v>17</v>
      </c>
      <c r="L47" s="78">
        <v>51000</v>
      </c>
      <c r="M47" s="1">
        <v>5</v>
      </c>
      <c r="O47">
        <v>5</v>
      </c>
      <c r="P47">
        <v>3000</v>
      </c>
      <c r="Q47">
        <f t="shared" si="0"/>
        <v>15000</v>
      </c>
    </row>
    <row r="48" spans="1:17" x14ac:dyDescent="0.3">
      <c r="A48" t="s">
        <v>117</v>
      </c>
      <c r="B48" t="s">
        <v>3148</v>
      </c>
      <c r="C48" t="s">
        <v>3135</v>
      </c>
      <c r="D48">
        <v>3</v>
      </c>
      <c r="E48" s="78">
        <v>2000</v>
      </c>
      <c r="F48" s="78">
        <f>T_Materiales[[#This Row],[Valor]]*T_Materiales[[#This Row],[Cantidad]]</f>
        <v>6000</v>
      </c>
      <c r="G48" s="78"/>
      <c r="J48" s="11" t="s">
        <v>3152</v>
      </c>
      <c r="K48" s="33">
        <v>5</v>
      </c>
      <c r="L48" s="78">
        <v>7500</v>
      </c>
    </row>
    <row r="49" spans="1:13" x14ac:dyDescent="0.3">
      <c r="A49" t="s">
        <v>117</v>
      </c>
      <c r="B49" t="s">
        <v>3149</v>
      </c>
      <c r="C49" t="s">
        <v>3136</v>
      </c>
      <c r="D49">
        <v>6</v>
      </c>
      <c r="E49" s="78">
        <v>300</v>
      </c>
      <c r="F49" s="78">
        <f>T_Materiales[[#This Row],[Valor]]*T_Materiales[[#This Row],[Cantidad]]</f>
        <v>1800</v>
      </c>
      <c r="G49" s="79">
        <v>6</v>
      </c>
      <c r="J49" s="11" t="s">
        <v>3148</v>
      </c>
      <c r="K49" s="33">
        <v>8</v>
      </c>
      <c r="L49" s="78">
        <v>16000</v>
      </c>
    </row>
    <row r="50" spans="1:13" x14ac:dyDescent="0.3">
      <c r="A50" t="s">
        <v>117</v>
      </c>
      <c r="B50" t="s">
        <v>3150</v>
      </c>
      <c r="C50" t="s">
        <v>3137</v>
      </c>
      <c r="D50">
        <v>6</v>
      </c>
      <c r="E50" s="78">
        <v>200</v>
      </c>
      <c r="F50" s="78">
        <f>T_Materiales[[#This Row],[Valor]]*T_Materiales[[#This Row],[Cantidad]]</f>
        <v>1200</v>
      </c>
      <c r="G50" s="78"/>
      <c r="J50" s="11" t="s">
        <v>3113</v>
      </c>
      <c r="K50" s="33">
        <v>7</v>
      </c>
      <c r="L50" s="78">
        <v>21000</v>
      </c>
      <c r="M50" s="1">
        <v>4</v>
      </c>
    </row>
    <row r="51" spans="1:13" x14ac:dyDescent="0.3">
      <c r="A51" t="s">
        <v>117</v>
      </c>
      <c r="B51" t="s">
        <v>3152</v>
      </c>
      <c r="C51" t="s">
        <v>3138</v>
      </c>
      <c r="D51">
        <v>5</v>
      </c>
      <c r="E51" s="78">
        <v>1500</v>
      </c>
      <c r="F51" s="78">
        <f>T_Materiales[[#This Row],[Valor]]*T_Materiales[[#This Row],[Cantidad]]</f>
        <v>7500</v>
      </c>
      <c r="G51" s="78"/>
      <c r="H51" t="s">
        <v>3153</v>
      </c>
      <c r="J51" s="11" t="s">
        <v>3111</v>
      </c>
      <c r="K51" s="33">
        <v>3</v>
      </c>
      <c r="L51" s="78">
        <v>3</v>
      </c>
    </row>
    <row r="52" spans="1:13" x14ac:dyDescent="0.3">
      <c r="A52" t="s">
        <v>117</v>
      </c>
      <c r="B52" t="s">
        <v>3151</v>
      </c>
      <c r="C52" t="s">
        <v>3139</v>
      </c>
      <c r="D52">
        <v>20</v>
      </c>
      <c r="E52" s="78">
        <v>170</v>
      </c>
      <c r="F52" s="78">
        <f>T_Materiales[[#This Row],[Valor]]*T_Materiales[[#This Row],[Cantidad]]</f>
        <v>3400</v>
      </c>
      <c r="G52" s="78"/>
      <c r="J52" s="11" t="s">
        <v>3175</v>
      </c>
      <c r="K52" s="33">
        <v>14</v>
      </c>
      <c r="L52" s="78">
        <v>14000</v>
      </c>
    </row>
    <row r="53" spans="1:13" x14ac:dyDescent="0.3">
      <c r="A53" t="s">
        <v>122</v>
      </c>
      <c r="B53" t="s">
        <v>3149</v>
      </c>
      <c r="C53" t="s">
        <v>3154</v>
      </c>
      <c r="D53">
        <v>35</v>
      </c>
      <c r="E53" s="78">
        <v>300</v>
      </c>
      <c r="F53" s="78">
        <f>T_Materiales[[#This Row],[Valor]]*T_Materiales[[#This Row],[Cantidad]]</f>
        <v>10500</v>
      </c>
      <c r="G53" s="79">
        <v>13</v>
      </c>
      <c r="J53" s="11" t="s">
        <v>3112</v>
      </c>
      <c r="K53" s="33">
        <v>1</v>
      </c>
      <c r="L53" s="78">
        <v>1500</v>
      </c>
    </row>
    <row r="54" spans="1:13" x14ac:dyDescent="0.3">
      <c r="A54" t="s">
        <v>122</v>
      </c>
      <c r="B54" t="s">
        <v>3100</v>
      </c>
      <c r="C54" t="s">
        <v>3155</v>
      </c>
      <c r="D54">
        <v>4</v>
      </c>
      <c r="E54" s="78">
        <v>3000</v>
      </c>
      <c r="F54" s="78">
        <f>T_Materiales[[#This Row],[Valor]]*T_Materiales[[#This Row],[Cantidad]]</f>
        <v>12000</v>
      </c>
      <c r="G54" s="78"/>
      <c r="J54" s="11" t="s">
        <v>3174</v>
      </c>
      <c r="K54" s="33">
        <v>2</v>
      </c>
      <c r="L54" s="78">
        <v>10000</v>
      </c>
    </row>
    <row r="55" spans="1:13" x14ac:dyDescent="0.3">
      <c r="A55" t="s">
        <v>122</v>
      </c>
      <c r="B55" t="s">
        <v>3106</v>
      </c>
      <c r="C55" t="s">
        <v>3170</v>
      </c>
      <c r="D55">
        <v>4</v>
      </c>
      <c r="E55" s="78">
        <v>1900</v>
      </c>
      <c r="F55" s="78">
        <f>T_Materiales[[#This Row],[Valor]]*T_Materiales[[#This Row],[Cantidad]]</f>
        <v>7600</v>
      </c>
      <c r="G55" s="78"/>
      <c r="J55" s="11" t="s">
        <v>3203</v>
      </c>
      <c r="K55" s="33">
        <v>1</v>
      </c>
      <c r="L55" s="78">
        <v>1000</v>
      </c>
    </row>
    <row r="56" spans="1:13" x14ac:dyDescent="0.3">
      <c r="A56" t="s">
        <v>122</v>
      </c>
      <c r="B56" t="s">
        <v>3105</v>
      </c>
      <c r="C56" t="s">
        <v>3171</v>
      </c>
      <c r="D56">
        <v>4</v>
      </c>
      <c r="E56" s="78">
        <v>1900</v>
      </c>
      <c r="F56" s="78">
        <f>T_Materiales[[#This Row],[Valor]]*T_Materiales[[#This Row],[Cantidad]]</f>
        <v>7600</v>
      </c>
      <c r="G56" s="78"/>
      <c r="J56" s="11" t="s">
        <v>3151</v>
      </c>
      <c r="K56" s="33">
        <v>26</v>
      </c>
      <c r="L56" s="78">
        <v>4420</v>
      </c>
    </row>
    <row r="57" spans="1:13" x14ac:dyDescent="0.3">
      <c r="A57" t="s">
        <v>122</v>
      </c>
      <c r="B57" t="s">
        <v>3169</v>
      </c>
      <c r="C57" t="s">
        <v>3172</v>
      </c>
      <c r="D57">
        <v>4</v>
      </c>
      <c r="E57" s="78">
        <v>1900</v>
      </c>
      <c r="F57" s="78">
        <f>T_Materiales[[#This Row],[Valor]]*T_Materiales[[#This Row],[Cantidad]]</f>
        <v>7600</v>
      </c>
      <c r="G57" s="78"/>
      <c r="J57" s="11" t="s">
        <v>3099</v>
      </c>
      <c r="K57" s="33">
        <v>18</v>
      </c>
      <c r="L57" s="78">
        <v>0</v>
      </c>
    </row>
    <row r="58" spans="1:13" x14ac:dyDescent="0.3">
      <c r="A58" t="s">
        <v>122</v>
      </c>
      <c r="B58" t="s">
        <v>3108</v>
      </c>
      <c r="C58" t="s">
        <v>3085</v>
      </c>
      <c r="D58">
        <v>4</v>
      </c>
      <c r="E58" s="78">
        <v>1000</v>
      </c>
      <c r="F58" s="78">
        <f>T_Materiales[[#This Row],[Valor]]*T_Materiales[[#This Row],[Cantidad]]</f>
        <v>4000</v>
      </c>
      <c r="G58" s="78">
        <v>4</v>
      </c>
      <c r="J58" s="11" t="s">
        <v>3206</v>
      </c>
      <c r="K58" s="33">
        <v>4</v>
      </c>
      <c r="L58" s="78">
        <v>28000</v>
      </c>
    </row>
    <row r="59" spans="1:13" x14ac:dyDescent="0.3">
      <c r="A59" t="s">
        <v>122</v>
      </c>
      <c r="B59" t="s">
        <v>3109</v>
      </c>
      <c r="C59" t="s">
        <v>3086</v>
      </c>
      <c r="D59">
        <v>4</v>
      </c>
      <c r="E59" s="78">
        <v>1000</v>
      </c>
      <c r="F59" s="78">
        <f>T_Materiales[[#This Row],[Valor]]*T_Materiales[[#This Row],[Cantidad]]</f>
        <v>4000</v>
      </c>
      <c r="G59" s="78"/>
      <c r="J59" s="11" t="s">
        <v>3208</v>
      </c>
      <c r="K59" s="33">
        <v>1</v>
      </c>
      <c r="L59" s="78">
        <v>20000</v>
      </c>
    </row>
    <row r="60" spans="1:13" x14ac:dyDescent="0.3">
      <c r="A60" t="s">
        <v>122</v>
      </c>
      <c r="B60" t="s">
        <v>3173</v>
      </c>
      <c r="C60" t="s">
        <v>3156</v>
      </c>
      <c r="D60">
        <v>2</v>
      </c>
      <c r="E60" s="78">
        <v>7000</v>
      </c>
      <c r="F60" s="78">
        <f>T_Materiales[[#This Row],[Valor]]*T_Materiales[[#This Row],[Cantidad]]</f>
        <v>14000</v>
      </c>
      <c r="G60" s="78"/>
      <c r="J60" s="11" t="s">
        <v>3228</v>
      </c>
      <c r="K60" s="33">
        <v>32</v>
      </c>
      <c r="L60" s="78">
        <v>4800</v>
      </c>
    </row>
    <row r="61" spans="1:13" x14ac:dyDescent="0.3">
      <c r="A61" t="s">
        <v>122</v>
      </c>
      <c r="B61" t="s">
        <v>3174</v>
      </c>
      <c r="C61" t="s">
        <v>3157</v>
      </c>
      <c r="D61">
        <v>2</v>
      </c>
      <c r="E61" s="78">
        <v>5000</v>
      </c>
      <c r="F61" s="78">
        <f>T_Materiales[[#This Row],[Valor]]*T_Materiales[[#This Row],[Cantidad]]</f>
        <v>10000</v>
      </c>
      <c r="G61" s="78"/>
      <c r="J61" s="11" t="s">
        <v>182</v>
      </c>
      <c r="K61" s="33">
        <v>4702</v>
      </c>
      <c r="L61" s="78">
        <v>661133</v>
      </c>
    </row>
    <row r="62" spans="1:13" x14ac:dyDescent="0.3">
      <c r="A62" t="s">
        <v>122</v>
      </c>
      <c r="B62" t="s">
        <v>3201</v>
      </c>
      <c r="C62" t="s">
        <v>3158</v>
      </c>
      <c r="D62">
        <v>3</v>
      </c>
      <c r="E62" s="78">
        <v>1000</v>
      </c>
      <c r="F62" s="78">
        <f>T_Materiales[[#This Row],[Valor]]*T_Materiales[[#This Row],[Cantidad]]</f>
        <v>3000</v>
      </c>
      <c r="G62" s="78"/>
    </row>
    <row r="63" spans="1:13" x14ac:dyDescent="0.3">
      <c r="A63" t="s">
        <v>122</v>
      </c>
      <c r="B63" t="s">
        <v>3175</v>
      </c>
      <c r="C63" t="s">
        <v>3159</v>
      </c>
      <c r="D63">
        <v>6</v>
      </c>
      <c r="E63" s="78">
        <v>1000</v>
      </c>
      <c r="F63" s="78">
        <f>T_Materiales[[#This Row],[Valor]]*T_Materiales[[#This Row],[Cantidad]]</f>
        <v>6000</v>
      </c>
      <c r="G63" s="78"/>
    </row>
    <row r="64" spans="1:13" x14ac:dyDescent="0.3">
      <c r="A64" t="s">
        <v>122</v>
      </c>
      <c r="B64" t="s">
        <v>3176</v>
      </c>
      <c r="C64" t="s">
        <v>3160</v>
      </c>
      <c r="D64">
        <v>1</v>
      </c>
      <c r="E64" s="78">
        <v>1000</v>
      </c>
      <c r="F64" s="78">
        <f>T_Materiales[[#This Row],[Valor]]*T_Materiales[[#This Row],[Cantidad]]</f>
        <v>1000</v>
      </c>
      <c r="G64" s="78">
        <v>1</v>
      </c>
    </row>
    <row r="65" spans="1:7" x14ac:dyDescent="0.3">
      <c r="A65" t="s">
        <v>122</v>
      </c>
      <c r="B65" t="s">
        <v>3151</v>
      </c>
      <c r="C65" t="s">
        <v>3161</v>
      </c>
      <c r="D65">
        <v>6</v>
      </c>
      <c r="E65" s="78">
        <v>170</v>
      </c>
      <c r="F65" s="78">
        <f>T_Materiales[[#This Row],[Valor]]*T_Materiales[[#This Row],[Cantidad]]</f>
        <v>1020</v>
      </c>
      <c r="G65" s="78"/>
    </row>
    <row r="66" spans="1:7" x14ac:dyDescent="0.3">
      <c r="A66" t="s">
        <v>122</v>
      </c>
      <c r="B66" t="s">
        <v>3177</v>
      </c>
      <c r="C66" t="s">
        <v>3162</v>
      </c>
      <c r="D66">
        <v>7</v>
      </c>
      <c r="E66" s="78">
        <v>0</v>
      </c>
      <c r="F66" s="78">
        <f>T_Materiales[[#This Row],[Valor]]*T_Materiales[[#This Row],[Cantidad]]</f>
        <v>0</v>
      </c>
      <c r="G66" s="78"/>
    </row>
    <row r="67" spans="1:7" x14ac:dyDescent="0.3">
      <c r="A67" t="s">
        <v>122</v>
      </c>
      <c r="B67" t="s">
        <v>3099</v>
      </c>
      <c r="C67" t="s">
        <v>3163</v>
      </c>
      <c r="D67">
        <v>3</v>
      </c>
      <c r="E67" s="78">
        <v>0</v>
      </c>
      <c r="F67" s="78">
        <f>T_Materiales[[#This Row],[Valor]]*T_Materiales[[#This Row],[Cantidad]]</f>
        <v>0</v>
      </c>
      <c r="G67" s="78"/>
    </row>
    <row r="68" spans="1:7" x14ac:dyDescent="0.3">
      <c r="A68" t="s">
        <v>122</v>
      </c>
      <c r="B68" t="s">
        <v>3148</v>
      </c>
      <c r="C68" t="s">
        <v>3164</v>
      </c>
      <c r="D68">
        <v>2</v>
      </c>
      <c r="E68" s="78">
        <v>2000</v>
      </c>
      <c r="F68" s="78">
        <f>T_Materiales[[#This Row],[Valor]]*T_Materiales[[#This Row],[Cantidad]]</f>
        <v>4000</v>
      </c>
      <c r="G68" s="78"/>
    </row>
    <row r="69" spans="1:7" x14ac:dyDescent="0.3">
      <c r="A69" t="s">
        <v>122</v>
      </c>
      <c r="B69" t="s">
        <v>3165</v>
      </c>
      <c r="C69" t="s">
        <v>3165</v>
      </c>
      <c r="D69">
        <v>1</v>
      </c>
      <c r="E69" s="78">
        <v>0</v>
      </c>
      <c r="F69" s="78">
        <f>T_Materiales[[#This Row],[Valor]]*T_Materiales[[#This Row],[Cantidad]]</f>
        <v>0</v>
      </c>
      <c r="G69" s="78"/>
    </row>
    <row r="70" spans="1:7" x14ac:dyDescent="0.3">
      <c r="A70" t="s">
        <v>122</v>
      </c>
      <c r="B70" t="s">
        <v>3208</v>
      </c>
      <c r="C70" t="s">
        <v>3166</v>
      </c>
      <c r="D70">
        <v>1</v>
      </c>
      <c r="E70" s="78">
        <v>20000</v>
      </c>
      <c r="F70" s="78">
        <f>T_Materiales[[#This Row],[Valor]]*T_Materiales[[#This Row],[Cantidad]]</f>
        <v>20000</v>
      </c>
      <c r="G70" s="78"/>
    </row>
    <row r="71" spans="1:7" x14ac:dyDescent="0.3">
      <c r="A71" t="s">
        <v>122</v>
      </c>
      <c r="B71" t="s">
        <v>3103</v>
      </c>
      <c r="C71" t="s">
        <v>3167</v>
      </c>
      <c r="D71">
        <v>500</v>
      </c>
      <c r="E71" s="78">
        <v>8</v>
      </c>
      <c r="F71" s="78">
        <f>T_Materiales[[#This Row],[Valor]]*T_Materiales[[#This Row],[Cantidad]]</f>
        <v>4000</v>
      </c>
      <c r="G71" s="78"/>
    </row>
    <row r="72" spans="1:7" x14ac:dyDescent="0.3">
      <c r="A72" t="s">
        <v>122</v>
      </c>
      <c r="B72" t="s">
        <v>3140</v>
      </c>
      <c r="C72" t="s">
        <v>3168</v>
      </c>
      <c r="D72">
        <v>4</v>
      </c>
      <c r="E72" s="78">
        <v>3000</v>
      </c>
      <c r="F72" s="78">
        <f>T_Materiales[[#This Row],[Valor]]*T_Materiales[[#This Row],[Cantidad]]</f>
        <v>12000</v>
      </c>
      <c r="G72" s="78"/>
    </row>
    <row r="73" spans="1:7" x14ac:dyDescent="0.3">
      <c r="A73" t="s">
        <v>122</v>
      </c>
      <c r="B73" t="s">
        <v>3194</v>
      </c>
      <c r="C73" t="s">
        <v>3195</v>
      </c>
      <c r="D73">
        <v>1</v>
      </c>
      <c r="E73" s="78">
        <v>0</v>
      </c>
      <c r="F73" s="78">
        <f>T_Materiales[[#This Row],[Valor]]*T_Materiales[[#This Row],[Cantidad]]</f>
        <v>0</v>
      </c>
      <c r="G73" s="78"/>
    </row>
    <row r="74" spans="1:7" x14ac:dyDescent="0.3">
      <c r="A74" t="s">
        <v>3189</v>
      </c>
      <c r="B74" t="s">
        <v>3149</v>
      </c>
      <c r="C74" t="s">
        <v>3154</v>
      </c>
      <c r="D74">
        <v>30</v>
      </c>
      <c r="E74" s="78">
        <v>300</v>
      </c>
      <c r="F74" s="78">
        <f>T_Materiales[[#This Row],[Valor]]*T_Materiales[[#This Row],[Cantidad]]</f>
        <v>9000</v>
      </c>
      <c r="G74" s="79">
        <v>13</v>
      </c>
    </row>
    <row r="75" spans="1:7" x14ac:dyDescent="0.3">
      <c r="A75" t="s">
        <v>3189</v>
      </c>
      <c r="B75" t="s">
        <v>3140</v>
      </c>
      <c r="C75" t="s">
        <v>3178</v>
      </c>
      <c r="D75">
        <v>3</v>
      </c>
      <c r="E75" s="78">
        <v>3000</v>
      </c>
      <c r="F75" s="78">
        <f>T_Materiales[[#This Row],[Valor]]*T_Materiales[[#This Row],[Cantidad]]</f>
        <v>9000</v>
      </c>
      <c r="G75" s="78"/>
    </row>
    <row r="76" spans="1:7" x14ac:dyDescent="0.3">
      <c r="A76" t="s">
        <v>3189</v>
      </c>
      <c r="B76" t="s">
        <v>3149</v>
      </c>
      <c r="C76" t="s">
        <v>3154</v>
      </c>
      <c r="D76">
        <v>8</v>
      </c>
      <c r="E76" s="78">
        <v>300</v>
      </c>
      <c r="F76" s="78">
        <f>T_Materiales[[#This Row],[Valor]]*T_Materiales[[#This Row],[Cantidad]]</f>
        <v>2400</v>
      </c>
      <c r="G76" s="79">
        <v>8</v>
      </c>
    </row>
    <row r="77" spans="1:7" x14ac:dyDescent="0.3">
      <c r="A77" t="s">
        <v>3189</v>
      </c>
      <c r="B77" t="s">
        <v>3106</v>
      </c>
      <c r="C77" t="s">
        <v>3170</v>
      </c>
      <c r="D77">
        <v>2</v>
      </c>
      <c r="E77" s="78">
        <v>1900</v>
      </c>
      <c r="F77" s="78">
        <f>T_Materiales[[#This Row],[Valor]]*T_Materiales[[#This Row],[Cantidad]]</f>
        <v>3800</v>
      </c>
      <c r="G77" s="78"/>
    </row>
    <row r="78" spans="1:7" x14ac:dyDescent="0.3">
      <c r="A78" t="s">
        <v>3189</v>
      </c>
      <c r="B78" t="s">
        <v>3105</v>
      </c>
      <c r="C78" t="s">
        <v>3171</v>
      </c>
      <c r="D78">
        <v>2</v>
      </c>
      <c r="E78" s="78">
        <v>1900</v>
      </c>
      <c r="F78" s="78">
        <f>T_Materiales[[#This Row],[Valor]]*T_Materiales[[#This Row],[Cantidad]]</f>
        <v>3800</v>
      </c>
      <c r="G78" s="78"/>
    </row>
    <row r="79" spans="1:7" x14ac:dyDescent="0.3">
      <c r="A79" t="s">
        <v>3189</v>
      </c>
      <c r="B79" t="s">
        <v>3169</v>
      </c>
      <c r="C79" t="s">
        <v>3172</v>
      </c>
      <c r="D79">
        <v>2</v>
      </c>
      <c r="E79" s="78">
        <v>1900</v>
      </c>
      <c r="F79" s="78">
        <f>T_Materiales[[#This Row],[Valor]]*T_Materiales[[#This Row],[Cantidad]]</f>
        <v>3800</v>
      </c>
      <c r="G79" s="78"/>
    </row>
    <row r="80" spans="1:7" x14ac:dyDescent="0.3">
      <c r="A80" t="s">
        <v>3189</v>
      </c>
      <c r="B80" t="s">
        <v>3201</v>
      </c>
      <c r="C80" t="s">
        <v>3179</v>
      </c>
      <c r="D80">
        <v>3</v>
      </c>
      <c r="E80" s="78">
        <v>1000</v>
      </c>
      <c r="F80" s="78">
        <f>T_Materiales[[#This Row],[Valor]]*T_Materiales[[#This Row],[Cantidad]]</f>
        <v>3000</v>
      </c>
      <c r="G80" s="78"/>
    </row>
    <row r="81" spans="1:7" x14ac:dyDescent="0.3">
      <c r="A81" t="s">
        <v>3189</v>
      </c>
      <c r="B81" t="s">
        <v>3100</v>
      </c>
      <c r="C81" t="s">
        <v>3180</v>
      </c>
      <c r="D81">
        <v>4</v>
      </c>
      <c r="E81" s="78">
        <v>3000</v>
      </c>
      <c r="F81" s="78">
        <f>T_Materiales[[#This Row],[Valor]]*T_Materiales[[#This Row],[Cantidad]]</f>
        <v>12000</v>
      </c>
      <c r="G81" s="78"/>
    </row>
    <row r="82" spans="1:7" x14ac:dyDescent="0.3">
      <c r="A82" t="s">
        <v>3189</v>
      </c>
      <c r="B82" t="s">
        <v>3110</v>
      </c>
      <c r="C82" t="s">
        <v>3181</v>
      </c>
      <c r="D82">
        <v>15</v>
      </c>
      <c r="E82" s="78">
        <v>90</v>
      </c>
      <c r="F82" s="78">
        <f>T_Materiales[[#This Row],[Valor]]*T_Materiales[[#This Row],[Cantidad]]</f>
        <v>1350</v>
      </c>
      <c r="G82" s="78"/>
    </row>
    <row r="83" spans="1:7" x14ac:dyDescent="0.3">
      <c r="A83" t="s">
        <v>3189</v>
      </c>
      <c r="B83" t="s">
        <v>3108</v>
      </c>
      <c r="C83" t="s">
        <v>3085</v>
      </c>
      <c r="D83">
        <v>1</v>
      </c>
      <c r="E83" s="78">
        <v>1000</v>
      </c>
      <c r="F83" s="78">
        <f>T_Materiales[[#This Row],[Valor]]*T_Materiales[[#This Row],[Cantidad]]</f>
        <v>1000</v>
      </c>
      <c r="G83" s="78">
        <v>1</v>
      </c>
    </row>
    <row r="84" spans="1:7" x14ac:dyDescent="0.3">
      <c r="A84" t="s">
        <v>3189</v>
      </c>
      <c r="B84" t="s">
        <v>3109</v>
      </c>
      <c r="C84" t="s">
        <v>3086</v>
      </c>
      <c r="D84">
        <v>1</v>
      </c>
      <c r="E84" s="78">
        <v>1000</v>
      </c>
      <c r="F84" s="78">
        <f>T_Materiales[[#This Row],[Valor]]*T_Materiales[[#This Row],[Cantidad]]</f>
        <v>1000</v>
      </c>
      <c r="G84" s="78">
        <v>1</v>
      </c>
    </row>
    <row r="85" spans="1:7" x14ac:dyDescent="0.3">
      <c r="A85" t="s">
        <v>3189</v>
      </c>
      <c r="B85" t="s">
        <v>3107</v>
      </c>
      <c r="C85" t="s">
        <v>3084</v>
      </c>
      <c r="D85">
        <v>1</v>
      </c>
      <c r="E85" s="78">
        <v>1000</v>
      </c>
      <c r="F85" s="78">
        <f>T_Materiales[[#This Row],[Valor]]*T_Materiales[[#This Row],[Cantidad]]</f>
        <v>1000</v>
      </c>
      <c r="G85" s="78">
        <v>1</v>
      </c>
    </row>
    <row r="86" spans="1:7" x14ac:dyDescent="0.3">
      <c r="A86" t="s">
        <v>3189</v>
      </c>
      <c r="B86" t="s">
        <v>3199</v>
      </c>
      <c r="C86" t="s">
        <v>3192</v>
      </c>
      <c r="D86">
        <v>2</v>
      </c>
      <c r="E86" s="78">
        <v>1000</v>
      </c>
      <c r="F86" s="78">
        <f>T_Materiales[[#This Row],[Valor]]*T_Materiales[[#This Row],[Cantidad]]</f>
        <v>2000</v>
      </c>
      <c r="G86" s="78"/>
    </row>
    <row r="87" spans="1:7" x14ac:dyDescent="0.3">
      <c r="A87" t="s">
        <v>3189</v>
      </c>
      <c r="B87" t="s">
        <v>3175</v>
      </c>
      <c r="C87" t="s">
        <v>3182</v>
      </c>
      <c r="D87">
        <v>4</v>
      </c>
      <c r="E87" s="78">
        <v>1000</v>
      </c>
      <c r="F87" s="78">
        <f>T_Materiales[[#This Row],[Valor]]*T_Materiales[[#This Row],[Cantidad]]</f>
        <v>4000</v>
      </c>
      <c r="G87" s="78"/>
    </row>
    <row r="88" spans="1:7" x14ac:dyDescent="0.3">
      <c r="A88" t="s">
        <v>3189</v>
      </c>
      <c r="B88" t="s">
        <v>3177</v>
      </c>
      <c r="C88" t="s">
        <v>3183</v>
      </c>
      <c r="D88">
        <v>3</v>
      </c>
      <c r="E88" s="78">
        <v>0</v>
      </c>
      <c r="F88" s="78">
        <f>T_Materiales[[#This Row],[Valor]]*T_Materiales[[#This Row],[Cantidad]]</f>
        <v>0</v>
      </c>
      <c r="G88" s="78"/>
    </row>
    <row r="89" spans="1:7" x14ac:dyDescent="0.3">
      <c r="A89" t="s">
        <v>3189</v>
      </c>
      <c r="B89" t="s">
        <v>3099</v>
      </c>
      <c r="C89" t="s">
        <v>3080</v>
      </c>
      <c r="D89">
        <v>4</v>
      </c>
      <c r="E89" s="78">
        <v>0</v>
      </c>
      <c r="F89" s="78">
        <f>T_Materiales[[#This Row],[Valor]]*T_Materiales[[#This Row],[Cantidad]]</f>
        <v>0</v>
      </c>
      <c r="G89" s="78"/>
    </row>
    <row r="90" spans="1:7" x14ac:dyDescent="0.3">
      <c r="A90" t="s">
        <v>3189</v>
      </c>
      <c r="B90" t="s">
        <v>3148</v>
      </c>
      <c r="C90" t="s">
        <v>3184</v>
      </c>
      <c r="D90">
        <v>3</v>
      </c>
      <c r="E90" s="78">
        <v>2000</v>
      </c>
      <c r="F90" s="78">
        <f>T_Materiales[[#This Row],[Valor]]*T_Materiales[[#This Row],[Cantidad]]</f>
        <v>6000</v>
      </c>
      <c r="G90" s="78"/>
    </row>
    <row r="91" spans="1:7" x14ac:dyDescent="0.3">
      <c r="A91" t="s">
        <v>3189</v>
      </c>
      <c r="B91" t="s">
        <v>3103</v>
      </c>
      <c r="C91" t="s">
        <v>3185</v>
      </c>
      <c r="D91">
        <v>50</v>
      </c>
      <c r="E91" s="78">
        <v>8</v>
      </c>
      <c r="F91" s="78">
        <f>T_Materiales[[#This Row],[Valor]]*T_Materiales[[#This Row],[Cantidad]]</f>
        <v>400</v>
      </c>
      <c r="G91" s="78"/>
    </row>
    <row r="92" spans="1:7" x14ac:dyDescent="0.3">
      <c r="A92" t="s">
        <v>3189</v>
      </c>
      <c r="B92" t="s">
        <v>3190</v>
      </c>
      <c r="C92" t="s">
        <v>3186</v>
      </c>
      <c r="D92">
        <v>40</v>
      </c>
      <c r="E92" s="78">
        <v>500</v>
      </c>
      <c r="F92" s="78">
        <f>T_Materiales[[#This Row],[Valor]]*T_Materiales[[#This Row],[Cantidad]]</f>
        <v>20000</v>
      </c>
      <c r="G92" s="78"/>
    </row>
    <row r="93" spans="1:7" x14ac:dyDescent="0.3">
      <c r="A93" t="s">
        <v>3189</v>
      </c>
      <c r="B93" t="s">
        <v>3191</v>
      </c>
      <c r="C93" t="s">
        <v>3187</v>
      </c>
      <c r="D93">
        <v>4</v>
      </c>
      <c r="E93" s="78">
        <v>1000</v>
      </c>
      <c r="F93" s="78">
        <f>T_Materiales[[#This Row],[Valor]]*T_Materiales[[#This Row],[Cantidad]]</f>
        <v>4000</v>
      </c>
      <c r="G93" s="78"/>
    </row>
    <row r="94" spans="1:7" x14ac:dyDescent="0.3">
      <c r="A94" t="s">
        <v>3189</v>
      </c>
      <c r="B94" t="s">
        <v>3202</v>
      </c>
      <c r="C94" t="s">
        <v>3188</v>
      </c>
      <c r="D94">
        <v>4</v>
      </c>
      <c r="E94" s="78">
        <v>2500</v>
      </c>
      <c r="F94" s="78">
        <f>T_Materiales[[#This Row],[Valor]]*T_Materiales[[#This Row],[Cantidad]]</f>
        <v>10000</v>
      </c>
      <c r="G94" s="78"/>
    </row>
    <row r="95" spans="1:7" x14ac:dyDescent="0.3">
      <c r="A95" t="s">
        <v>3189</v>
      </c>
      <c r="B95" t="s">
        <v>3193</v>
      </c>
      <c r="C95" t="s">
        <v>3196</v>
      </c>
      <c r="D95">
        <v>1</v>
      </c>
      <c r="E95" s="78">
        <v>0</v>
      </c>
      <c r="F95" s="78">
        <f>T_Materiales[[#This Row],[Valor]]*T_Materiales[[#This Row],[Cantidad]]</f>
        <v>0</v>
      </c>
      <c r="G95" s="78"/>
    </row>
    <row r="96" spans="1:7" x14ac:dyDescent="0.3">
      <c r="A96" t="s">
        <v>115</v>
      </c>
      <c r="B96" t="s">
        <v>3149</v>
      </c>
      <c r="C96" t="s">
        <v>3075</v>
      </c>
      <c r="D96">
        <v>19</v>
      </c>
      <c r="E96" s="78">
        <v>300</v>
      </c>
      <c r="F96" s="78">
        <f>T_Materiales[[#This Row],[Valor]]*T_Materiales[[#This Row],[Cantidad]]</f>
        <v>5700</v>
      </c>
      <c r="G96" s="79">
        <v>19</v>
      </c>
    </row>
    <row r="97" spans="1:7" x14ac:dyDescent="0.3">
      <c r="A97" t="s">
        <v>115</v>
      </c>
      <c r="B97" t="s">
        <v>3100</v>
      </c>
      <c r="C97" t="s">
        <v>3076</v>
      </c>
      <c r="D97">
        <v>3</v>
      </c>
      <c r="E97" s="78">
        <v>3000</v>
      </c>
      <c r="F97" s="78">
        <f>T_Materiales[[#This Row],[Valor]]*T_Materiales[[#This Row],[Cantidad]]</f>
        <v>9000</v>
      </c>
      <c r="G97" s="78"/>
    </row>
    <row r="98" spans="1:7" x14ac:dyDescent="0.3">
      <c r="A98" t="s">
        <v>115</v>
      </c>
      <c r="B98" t="s">
        <v>3104</v>
      </c>
      <c r="C98" t="s">
        <v>3077</v>
      </c>
      <c r="D98">
        <v>3</v>
      </c>
      <c r="E98" s="78">
        <v>1900</v>
      </c>
      <c r="F98" s="78">
        <f>T_Materiales[[#This Row],[Valor]]*T_Materiales[[#This Row],[Cantidad]]</f>
        <v>5700</v>
      </c>
      <c r="G98" s="78"/>
    </row>
    <row r="99" spans="1:7" x14ac:dyDescent="0.3">
      <c r="A99" t="s">
        <v>115</v>
      </c>
      <c r="B99" t="s">
        <v>3105</v>
      </c>
      <c r="C99" t="s">
        <v>3078</v>
      </c>
      <c r="D99">
        <v>3</v>
      </c>
      <c r="E99" s="78">
        <v>1900</v>
      </c>
      <c r="F99" s="78">
        <f>T_Materiales[[#This Row],[Valor]]*T_Materiales[[#This Row],[Cantidad]]</f>
        <v>5700</v>
      </c>
      <c r="G99" s="78"/>
    </row>
    <row r="100" spans="1:7" x14ac:dyDescent="0.3">
      <c r="A100" t="s">
        <v>115</v>
      </c>
      <c r="B100" t="s">
        <v>3106</v>
      </c>
      <c r="C100" t="s">
        <v>3079</v>
      </c>
      <c r="D100">
        <v>3</v>
      </c>
      <c r="E100" s="78">
        <v>1900</v>
      </c>
      <c r="F100" s="78">
        <f>T_Materiales[[#This Row],[Valor]]*T_Materiales[[#This Row],[Cantidad]]</f>
        <v>5700</v>
      </c>
      <c r="G100" s="78"/>
    </row>
    <row r="101" spans="1:7" x14ac:dyDescent="0.3">
      <c r="A101" t="s">
        <v>115</v>
      </c>
      <c r="B101" t="s">
        <v>3099</v>
      </c>
      <c r="C101" t="s">
        <v>3080</v>
      </c>
      <c r="D101">
        <v>3</v>
      </c>
      <c r="E101" s="78">
        <v>0</v>
      </c>
      <c r="F101" s="78">
        <f>T_Materiales[[#This Row],[Valor]]*T_Materiales[[#This Row],[Cantidad]]</f>
        <v>0</v>
      </c>
      <c r="G101" s="78"/>
    </row>
    <row r="102" spans="1:7" x14ac:dyDescent="0.3">
      <c r="A102" t="s">
        <v>115</v>
      </c>
      <c r="B102" t="s">
        <v>3102</v>
      </c>
      <c r="C102" t="s">
        <v>3082</v>
      </c>
      <c r="D102">
        <v>1</v>
      </c>
      <c r="E102" s="78">
        <v>0</v>
      </c>
      <c r="F102" s="78">
        <f>T_Materiales[[#This Row],[Valor]]*T_Materiales[[#This Row],[Cantidad]]</f>
        <v>0</v>
      </c>
      <c r="G102" s="78"/>
    </row>
    <row r="103" spans="1:7" x14ac:dyDescent="0.3">
      <c r="A103" t="s">
        <v>115</v>
      </c>
      <c r="B103" t="s">
        <v>3103</v>
      </c>
      <c r="C103" t="s">
        <v>3083</v>
      </c>
      <c r="D103">
        <v>100</v>
      </c>
      <c r="E103" s="78">
        <v>8</v>
      </c>
      <c r="F103" s="78">
        <f>T_Materiales[[#This Row],[Valor]]*T_Materiales[[#This Row],[Cantidad]]</f>
        <v>800</v>
      </c>
      <c r="G103" s="78"/>
    </row>
    <row r="104" spans="1:7" x14ac:dyDescent="0.3">
      <c r="A104" t="s">
        <v>115</v>
      </c>
      <c r="B104" t="s">
        <v>3107</v>
      </c>
      <c r="C104" t="s">
        <v>3084</v>
      </c>
      <c r="D104">
        <v>2</v>
      </c>
      <c r="E104" s="78">
        <v>1000</v>
      </c>
      <c r="F104" s="78">
        <f>T_Materiales[[#This Row],[Valor]]*T_Materiales[[#This Row],[Cantidad]]</f>
        <v>2000</v>
      </c>
      <c r="G104" s="78">
        <v>2</v>
      </c>
    </row>
    <row r="105" spans="1:7" x14ac:dyDescent="0.3">
      <c r="A105" t="s">
        <v>115</v>
      </c>
      <c r="B105" t="s">
        <v>3108</v>
      </c>
      <c r="C105" t="s">
        <v>3085</v>
      </c>
      <c r="D105">
        <v>2</v>
      </c>
      <c r="E105" s="78">
        <v>1000</v>
      </c>
      <c r="F105" s="78">
        <f>T_Materiales[[#This Row],[Valor]]*T_Materiales[[#This Row],[Cantidad]]</f>
        <v>2000</v>
      </c>
      <c r="G105" s="78">
        <v>2</v>
      </c>
    </row>
    <row r="106" spans="1:7" x14ac:dyDescent="0.3">
      <c r="A106" t="s">
        <v>115</v>
      </c>
      <c r="B106" t="s">
        <v>3109</v>
      </c>
      <c r="C106" t="s">
        <v>3086</v>
      </c>
      <c r="D106">
        <v>2</v>
      </c>
      <c r="E106" s="78">
        <v>1000</v>
      </c>
      <c r="F106" s="78">
        <f>T_Materiales[[#This Row],[Valor]]*T_Materiales[[#This Row],[Cantidad]]</f>
        <v>2000</v>
      </c>
      <c r="G106" s="78">
        <v>2</v>
      </c>
    </row>
    <row r="107" spans="1:7" x14ac:dyDescent="0.3">
      <c r="A107" t="s">
        <v>115</v>
      </c>
      <c r="B107" t="s">
        <v>3110</v>
      </c>
      <c r="C107" t="s">
        <v>3087</v>
      </c>
      <c r="D107">
        <v>25</v>
      </c>
      <c r="E107" s="78">
        <v>90</v>
      </c>
      <c r="F107" s="78">
        <f>T_Materiales[[#This Row],[Valor]]*T_Materiales[[#This Row],[Cantidad]]</f>
        <v>2250</v>
      </c>
      <c r="G107" s="78"/>
    </row>
    <row r="108" spans="1:7" x14ac:dyDescent="0.3">
      <c r="A108" t="s">
        <v>115</v>
      </c>
      <c r="B108" t="s">
        <v>3140</v>
      </c>
      <c r="C108" t="s">
        <v>3088</v>
      </c>
      <c r="D108">
        <v>2</v>
      </c>
      <c r="E108" s="78">
        <v>3000</v>
      </c>
      <c r="F108" s="78">
        <f>T_Materiales[[#This Row],[Valor]]*T_Materiales[[#This Row],[Cantidad]]</f>
        <v>6000</v>
      </c>
      <c r="G108" s="78"/>
    </row>
    <row r="109" spans="1:7" x14ac:dyDescent="0.3">
      <c r="A109" t="s">
        <v>115</v>
      </c>
      <c r="B109" t="s">
        <v>3175</v>
      </c>
      <c r="C109" t="s">
        <v>3089</v>
      </c>
      <c r="D109">
        <v>4</v>
      </c>
      <c r="E109" s="78">
        <v>1000</v>
      </c>
      <c r="F109" s="78">
        <f>T_Materiales[[#This Row],[Valor]]*T_Materiales[[#This Row],[Cantidad]]</f>
        <v>4000</v>
      </c>
      <c r="G109" s="78"/>
    </row>
    <row r="110" spans="1:7" x14ac:dyDescent="0.3">
      <c r="A110" t="s">
        <v>115</v>
      </c>
      <c r="B110" t="s">
        <v>3197</v>
      </c>
      <c r="C110" t="s">
        <v>3197</v>
      </c>
      <c r="D110">
        <v>30</v>
      </c>
      <c r="E110" s="78">
        <v>2000</v>
      </c>
      <c r="F110" s="78">
        <f>T_Materiales[[#This Row],[Valor]]*T_Materiales[[#This Row],[Cantidad]]</f>
        <v>60000</v>
      </c>
      <c r="G110" s="78"/>
    </row>
    <row r="111" spans="1:7" x14ac:dyDescent="0.3">
      <c r="A111" t="s">
        <v>115</v>
      </c>
      <c r="B111" t="s">
        <v>3113</v>
      </c>
      <c r="C111" t="s">
        <v>3091</v>
      </c>
      <c r="D111">
        <v>3</v>
      </c>
      <c r="E111" s="78">
        <v>3000</v>
      </c>
      <c r="F111" s="78">
        <f>T_Materiales[[#This Row],[Valor]]*T_Materiales[[#This Row],[Cantidad]]</f>
        <v>9000</v>
      </c>
      <c r="G111" s="78"/>
    </row>
    <row r="112" spans="1:7" x14ac:dyDescent="0.3">
      <c r="A112" t="s">
        <v>115</v>
      </c>
      <c r="B112" t="s">
        <v>3201</v>
      </c>
      <c r="C112" t="s">
        <v>3120</v>
      </c>
      <c r="D112">
        <v>3</v>
      </c>
      <c r="E112" s="78">
        <v>1000</v>
      </c>
      <c r="F112" s="78">
        <f>T_Materiales[[#This Row],[Valor]]*T_Materiales[[#This Row],[Cantidad]]</f>
        <v>3000</v>
      </c>
      <c r="G112" s="78"/>
    </row>
    <row r="113" spans="1:7" x14ac:dyDescent="0.3">
      <c r="A113" t="s">
        <v>115</v>
      </c>
      <c r="B113" t="s">
        <v>3198</v>
      </c>
      <c r="C113" t="s">
        <v>3096</v>
      </c>
      <c r="D113">
        <v>1</v>
      </c>
      <c r="E113" s="78">
        <v>0</v>
      </c>
      <c r="F113" s="78">
        <f>T_Materiales[[#This Row],[Valor]]*T_Materiales[[#This Row],[Cantidad]]</f>
        <v>0</v>
      </c>
      <c r="G113" s="78"/>
    </row>
    <row r="114" spans="1:7" x14ac:dyDescent="0.3">
      <c r="A114" t="s">
        <v>115</v>
      </c>
      <c r="B114" t="s">
        <v>3116</v>
      </c>
      <c r="C114" t="s">
        <v>3097</v>
      </c>
      <c r="D114">
        <v>1</v>
      </c>
      <c r="E114" s="78">
        <v>0</v>
      </c>
      <c r="F114" s="78">
        <f>T_Materiales[[#This Row],[Valor]]*T_Materiales[[#This Row],[Cantidad]]</f>
        <v>0</v>
      </c>
      <c r="G114" s="78"/>
    </row>
    <row r="115" spans="1:7" x14ac:dyDescent="0.3">
      <c r="A115" t="s">
        <v>3204</v>
      </c>
      <c r="B115" t="s">
        <v>3103</v>
      </c>
      <c r="C115" t="s">
        <v>3205</v>
      </c>
      <c r="D115">
        <v>3000</v>
      </c>
      <c r="E115" s="78">
        <v>8</v>
      </c>
      <c r="F115" s="78">
        <f>T_Materiales[[#This Row],[Valor]]*T_Materiales[[#This Row],[Cantidad]]</f>
        <v>24000</v>
      </c>
      <c r="G115" s="78"/>
    </row>
    <row r="116" spans="1:7" x14ac:dyDescent="0.3">
      <c r="A116" t="s">
        <v>3204</v>
      </c>
      <c r="B116" t="s">
        <v>3206</v>
      </c>
      <c r="C116" t="s">
        <v>3207</v>
      </c>
      <c r="D116">
        <v>4</v>
      </c>
      <c r="E116" s="78">
        <v>7000</v>
      </c>
      <c r="F116" s="78">
        <f>T_Materiales[[#This Row],[Valor]]*T_Materiales[[#This Row],[Cantidad]]</f>
        <v>28000</v>
      </c>
      <c r="G116" s="78"/>
    </row>
    <row r="117" spans="1:7" x14ac:dyDescent="0.3">
      <c r="A117" t="s">
        <v>121</v>
      </c>
      <c r="B117" t="s">
        <v>3103</v>
      </c>
      <c r="C117" s="11" t="s">
        <v>3219</v>
      </c>
      <c r="D117">
        <v>100</v>
      </c>
      <c r="E117" s="78">
        <v>8</v>
      </c>
      <c r="F117" s="78">
        <f>T_Materiales[[#This Row],[Valor]]*T_Materiales[[#This Row],[Cantidad]]</f>
        <v>800</v>
      </c>
      <c r="G117" s="78"/>
    </row>
    <row r="118" spans="1:7" x14ac:dyDescent="0.3">
      <c r="A118" t="s">
        <v>121</v>
      </c>
      <c r="B118" t="s">
        <v>3149</v>
      </c>
      <c r="C118" s="11" t="s">
        <v>3154</v>
      </c>
      <c r="D118">
        <v>36</v>
      </c>
      <c r="E118" s="78">
        <v>300</v>
      </c>
      <c r="F118" s="78">
        <f>T_Materiales[[#This Row],[Valor]]*T_Materiales[[#This Row],[Cantidad]]</f>
        <v>10800</v>
      </c>
      <c r="G118" s="79">
        <v>13</v>
      </c>
    </row>
    <row r="119" spans="1:7" x14ac:dyDescent="0.3">
      <c r="A119" t="s">
        <v>121</v>
      </c>
      <c r="B119" t="s">
        <v>3197</v>
      </c>
      <c r="C119" s="11" t="s">
        <v>3197</v>
      </c>
      <c r="D119">
        <v>35</v>
      </c>
      <c r="E119" s="78">
        <v>120</v>
      </c>
      <c r="F119" s="78">
        <f>T_Materiales[[#This Row],[Valor]]*T_Materiales[[#This Row],[Cantidad]]</f>
        <v>4200</v>
      </c>
      <c r="G119" s="78"/>
    </row>
    <row r="120" spans="1:7" x14ac:dyDescent="0.3">
      <c r="A120" t="s">
        <v>121</v>
      </c>
      <c r="B120" t="s">
        <v>3228</v>
      </c>
      <c r="C120" s="11" t="s">
        <v>3220</v>
      </c>
      <c r="D120">
        <v>32</v>
      </c>
      <c r="E120" s="78">
        <v>150</v>
      </c>
      <c r="F120" s="78">
        <f>T_Materiales[[#This Row],[Valor]]*T_Materiales[[#This Row],[Cantidad]]</f>
        <v>4800</v>
      </c>
      <c r="G120" s="78"/>
    </row>
    <row r="121" spans="1:7" x14ac:dyDescent="0.3">
      <c r="A121" t="s">
        <v>121</v>
      </c>
      <c r="B121" t="s">
        <v>3110</v>
      </c>
      <c r="C121" s="11" t="s">
        <v>3221</v>
      </c>
      <c r="D121">
        <v>20</v>
      </c>
      <c r="E121" s="78">
        <v>90</v>
      </c>
      <c r="F121" s="78">
        <f>T_Materiales[[#This Row],[Valor]]*T_Materiales[[#This Row],[Cantidad]]</f>
        <v>1800</v>
      </c>
      <c r="G121" s="78"/>
    </row>
    <row r="122" spans="1:7" x14ac:dyDescent="0.3">
      <c r="A122" t="s">
        <v>121</v>
      </c>
      <c r="B122" t="s">
        <v>3104</v>
      </c>
      <c r="C122" t="s">
        <v>3077</v>
      </c>
      <c r="D122">
        <v>4</v>
      </c>
      <c r="E122" s="78">
        <v>1000</v>
      </c>
      <c r="F122" s="78">
        <f>T_Materiales[[#This Row],[Valor]]*T_Materiales[[#This Row],[Cantidad]]</f>
        <v>4000</v>
      </c>
      <c r="G122" s="78"/>
    </row>
    <row r="123" spans="1:7" x14ac:dyDescent="0.3">
      <c r="A123" t="s">
        <v>121</v>
      </c>
      <c r="B123" t="s">
        <v>3105</v>
      </c>
      <c r="C123" t="s">
        <v>3078</v>
      </c>
      <c r="D123">
        <v>4</v>
      </c>
      <c r="E123" s="78">
        <v>1000</v>
      </c>
      <c r="F123" s="78">
        <f>T_Materiales[[#This Row],[Valor]]*T_Materiales[[#This Row],[Cantidad]]</f>
        <v>4000</v>
      </c>
      <c r="G123" s="78"/>
    </row>
    <row r="124" spans="1:7" x14ac:dyDescent="0.3">
      <c r="A124" t="s">
        <v>121</v>
      </c>
      <c r="B124" t="s">
        <v>3106</v>
      </c>
      <c r="C124" t="s">
        <v>3079</v>
      </c>
      <c r="D124">
        <v>4</v>
      </c>
      <c r="E124" s="78">
        <v>1000</v>
      </c>
      <c r="F124" s="78">
        <f>T_Materiales[[#This Row],[Valor]]*T_Materiales[[#This Row],[Cantidad]]</f>
        <v>4000</v>
      </c>
      <c r="G124" s="78"/>
    </row>
    <row r="125" spans="1:7" x14ac:dyDescent="0.3">
      <c r="A125" t="s">
        <v>121</v>
      </c>
      <c r="B125" t="s">
        <v>3230</v>
      </c>
      <c r="C125" s="11" t="s">
        <v>3222</v>
      </c>
      <c r="D125">
        <v>4</v>
      </c>
      <c r="E125" s="78">
        <v>1500</v>
      </c>
      <c r="F125" s="78">
        <f>T_Materiales[[#This Row],[Valor]]*T_Materiales[[#This Row],[Cantidad]]</f>
        <v>6000</v>
      </c>
      <c r="G125" s="78"/>
    </row>
    <row r="126" spans="1:7" x14ac:dyDescent="0.3">
      <c r="A126" t="s">
        <v>121</v>
      </c>
      <c r="B126" t="s">
        <v>3100</v>
      </c>
      <c r="C126" s="11" t="s">
        <v>3223</v>
      </c>
      <c r="D126">
        <v>4</v>
      </c>
      <c r="E126" s="78">
        <v>3000</v>
      </c>
      <c r="F126" s="78">
        <f>T_Materiales[[#This Row],[Valor]]*T_Materiales[[#This Row],[Cantidad]]</f>
        <v>12000</v>
      </c>
      <c r="G126" s="78"/>
    </row>
    <row r="127" spans="1:7" x14ac:dyDescent="0.3">
      <c r="A127" t="s">
        <v>121</v>
      </c>
      <c r="B127" t="s">
        <v>3140</v>
      </c>
      <c r="C127" s="11" t="s">
        <v>3224</v>
      </c>
      <c r="D127">
        <v>4</v>
      </c>
      <c r="E127" s="78">
        <v>3000</v>
      </c>
      <c r="F127" s="78">
        <f>T_Materiales[[#This Row],[Valor]]*T_Materiales[[#This Row],[Cantidad]]</f>
        <v>12000</v>
      </c>
      <c r="G127" s="78"/>
    </row>
    <row r="128" spans="1:7" x14ac:dyDescent="0.3">
      <c r="A128" t="s">
        <v>121</v>
      </c>
      <c r="B128" t="s">
        <v>3229</v>
      </c>
      <c r="C128" s="11" t="s">
        <v>3225</v>
      </c>
      <c r="D128">
        <v>4</v>
      </c>
      <c r="E128" s="78">
        <v>1500</v>
      </c>
      <c r="F128" s="78">
        <f>T_Materiales[[#This Row],[Valor]]*T_Materiales[[#This Row],[Cantidad]]</f>
        <v>6000</v>
      </c>
      <c r="G128" s="78"/>
    </row>
    <row r="129" spans="1:7" x14ac:dyDescent="0.3">
      <c r="A129" t="s">
        <v>121</v>
      </c>
      <c r="B129" t="s">
        <v>3201</v>
      </c>
      <c r="C129" s="11" t="s">
        <v>3226</v>
      </c>
      <c r="D129">
        <v>3</v>
      </c>
      <c r="E129" s="78">
        <v>1000</v>
      </c>
      <c r="F129" s="78">
        <f>T_Materiales[[#This Row],[Valor]]*T_Materiales[[#This Row],[Cantidad]]</f>
        <v>3000</v>
      </c>
      <c r="G129" s="78"/>
    </row>
    <row r="130" spans="1:7" x14ac:dyDescent="0.3">
      <c r="A130" t="s">
        <v>121</v>
      </c>
      <c r="B130" s="11" t="s">
        <v>3227</v>
      </c>
      <c r="C130" s="11" t="s">
        <v>3227</v>
      </c>
      <c r="D130">
        <v>1</v>
      </c>
      <c r="E130" s="78">
        <v>5000</v>
      </c>
      <c r="F130" s="78">
        <f>T_Materiales[[#This Row],[Valor]]*T_Materiales[[#This Row],[Cantidad]]</f>
        <v>5000</v>
      </c>
      <c r="G130" s="78"/>
    </row>
  </sheetData>
  <autoFilter ref="J3:M61" xr:uid="{21E7190F-41C5-4797-9ED0-5A58C8D297E4}"/>
  <mergeCells count="1">
    <mergeCell ref="A1:H1"/>
  </mergeCells>
  <pageMargins left="0.7" right="0.7" top="0.75" bottom="0.75" header="0.3" footer="0.3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693EB-3C91-421C-B529-8EE3A72FB76D}">
  <sheetPr codeName="Hoja24">
    <tabColor theme="5" tint="0.39997558519241921"/>
  </sheetPr>
  <dimension ref="A2:E5"/>
  <sheetViews>
    <sheetView workbookViewId="0">
      <selection activeCell="I13" sqref="I13"/>
    </sheetView>
  </sheetViews>
  <sheetFormatPr baseColWidth="10" defaultRowHeight="14.4" x14ac:dyDescent="0.3"/>
  <cols>
    <col min="2" max="2" width="28.44140625" bestFit="1" customWidth="1"/>
  </cols>
  <sheetData>
    <row r="2" spans="1:5" x14ac:dyDescent="0.3">
      <c r="A2" t="s">
        <v>708</v>
      </c>
      <c r="B2" t="s">
        <v>3213</v>
      </c>
      <c r="C2" t="s">
        <v>3211</v>
      </c>
      <c r="D2">
        <v>1000</v>
      </c>
      <c r="E2" t="s">
        <v>3212</v>
      </c>
    </row>
    <row r="3" spans="1:5" x14ac:dyDescent="0.3">
      <c r="A3" t="s">
        <v>708</v>
      </c>
      <c r="B3" t="s">
        <v>3214</v>
      </c>
      <c r="C3">
        <v>1</v>
      </c>
      <c r="D3">
        <v>200</v>
      </c>
      <c r="E3" t="s">
        <v>3216</v>
      </c>
    </row>
    <row r="4" spans="1:5" x14ac:dyDescent="0.3">
      <c r="A4" t="s">
        <v>708</v>
      </c>
      <c r="B4" t="s">
        <v>3215</v>
      </c>
      <c r="C4">
        <v>1</v>
      </c>
      <c r="D4">
        <v>3000</v>
      </c>
      <c r="E4" t="s">
        <v>3216</v>
      </c>
    </row>
    <row r="5" spans="1:5" x14ac:dyDescent="0.3">
      <c r="A5" t="s">
        <v>708</v>
      </c>
      <c r="B5" t="s">
        <v>3218</v>
      </c>
      <c r="C5">
        <v>1</v>
      </c>
      <c r="E5" t="s">
        <v>3217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Props1.xml><?xml version="1.0" encoding="utf-8"?>
<ds:datastoreItem xmlns:ds="http://schemas.openxmlformats.org/officeDocument/2006/customXml" ds:itemID="{9F75A91B-D9B5-46E0-B4C2-25C94A0DFB1B}">
  <ds:schemaRefs/>
</ds:datastoreItem>
</file>

<file path=customXml/itemProps2.xml><?xml version="1.0" encoding="utf-8"?>
<ds:datastoreItem xmlns:ds="http://schemas.openxmlformats.org/officeDocument/2006/customXml" ds:itemID="{17D9EB28-8AAC-4FA2-8032-4115A9184A33}">
  <ds:schemaRefs/>
</ds:datastoreItem>
</file>

<file path=customXml/itemProps3.xml><?xml version="1.0" encoding="utf-8"?>
<ds:datastoreItem xmlns:ds="http://schemas.openxmlformats.org/officeDocument/2006/customXml" ds:itemID="{5E372E05-0760-4A8F-AE9D-B6A66588ADD0}">
  <ds:schemaRefs/>
</ds:datastoreItem>
</file>

<file path=customXml/itemProps4.xml><?xml version="1.0" encoding="utf-8"?>
<ds:datastoreItem xmlns:ds="http://schemas.openxmlformats.org/officeDocument/2006/customXml" ds:itemID="{E552A252-1A1B-4C5F-A683-779A0E1AC421}">
  <ds:schemaRefs/>
</ds:datastoreItem>
</file>

<file path=customXml/itemProps5.xml><?xml version="1.0" encoding="utf-8"?>
<ds:datastoreItem xmlns:ds="http://schemas.openxmlformats.org/officeDocument/2006/customXml" ds:itemID="{0267A8DB-83E1-4862-94E4-8E52449BAE2C}">
  <ds:schemaRefs/>
</ds:datastoreItem>
</file>

<file path=customXml/itemProps6.xml><?xml version="1.0" encoding="utf-8"?>
<ds:datastoreItem xmlns:ds="http://schemas.openxmlformats.org/officeDocument/2006/customXml" ds:itemID="{A290521F-1928-4249-B931-E6D13E8D9B44}">
  <ds:schemaRefs/>
</ds:datastoreItem>
</file>

<file path=customXml/itemProps7.xml><?xml version="1.0" encoding="utf-8"?>
<ds:datastoreItem xmlns:ds="http://schemas.openxmlformats.org/officeDocument/2006/customXml" ds:itemID="{B6756390-5BEC-451E-BB35-BC3061D17269}">
  <ds:schemaRefs/>
</ds:datastoreItem>
</file>

<file path=customXml/itemProps8.xml><?xml version="1.0" encoding="utf-8"?>
<ds:datastoreItem xmlns:ds="http://schemas.openxmlformats.org/officeDocument/2006/customXml" ds:itemID="{E2E9F4E5-DE67-45AB-BE5F-74C5C3D021D8}">
  <ds:schemaRefs/>
</ds:datastoreItem>
</file>

<file path=customXml/itemProps9.xml><?xml version="1.0" encoding="utf-8"?>
<ds:datastoreItem xmlns:ds="http://schemas.openxmlformats.org/officeDocument/2006/customXml" ds:itemID="{63C52E1A-F6CC-4533-ADDC-2151CA9B4F1A}">
  <ds:schemaRefs/>
</ds:datastoreItem>
</file>

<file path=customXml/itemProps10.xml><?xml version="1.0" encoding="utf-8"?>
<ds:datastoreItem xmlns:ds="http://schemas.openxmlformats.org/officeDocument/2006/customXml" ds:itemID="{4F7737D8-9D75-45AF-94A4-85CD75EECADF}">
  <ds:schemaRefs/>
</ds:datastoreItem>
</file>

<file path=customXml/itemProps11.xml><?xml version="1.0" encoding="utf-8"?>
<ds:datastoreItem xmlns:ds="http://schemas.openxmlformats.org/officeDocument/2006/customXml" ds:itemID="{9462333F-D12C-4CB9-8A59-34C5D8AFA0FC}">
  <ds:schemaRefs/>
</ds:datastoreItem>
</file>

<file path=customXml/itemProps12.xml><?xml version="1.0" encoding="utf-8"?>
<ds:datastoreItem xmlns:ds="http://schemas.openxmlformats.org/officeDocument/2006/customXml" ds:itemID="{D6F656F6-864F-4473-A1C8-F57E9B75202C}">
  <ds:schemaRefs/>
</ds:datastoreItem>
</file>

<file path=customXml/itemProps13.xml><?xml version="1.0" encoding="utf-8"?>
<ds:datastoreItem xmlns:ds="http://schemas.openxmlformats.org/officeDocument/2006/customXml" ds:itemID="{38EB3B0B-D089-45DB-AEDC-240115DFB1BD}">
  <ds:schemaRefs/>
</ds:datastoreItem>
</file>

<file path=customXml/itemProps14.xml><?xml version="1.0" encoding="utf-8"?>
<ds:datastoreItem xmlns:ds="http://schemas.openxmlformats.org/officeDocument/2006/customXml" ds:itemID="{F506DD66-4DF4-4724-863D-CCDD81CB31B8}">
  <ds:schemaRefs/>
</ds:datastoreItem>
</file>

<file path=customXml/itemProps15.xml><?xml version="1.0" encoding="utf-8"?>
<ds:datastoreItem xmlns:ds="http://schemas.openxmlformats.org/officeDocument/2006/customXml" ds:itemID="{F00DA4A8-195C-4169-9F0A-B9531CA1984F}">
  <ds:schemaRefs/>
</ds:datastoreItem>
</file>

<file path=customXml/itemProps16.xml><?xml version="1.0" encoding="utf-8"?>
<ds:datastoreItem xmlns:ds="http://schemas.openxmlformats.org/officeDocument/2006/customXml" ds:itemID="{EF52F25B-B2B3-4B20-B2D9-52DAB1031B8C}">
  <ds:schemaRefs/>
</ds:datastoreItem>
</file>

<file path=customXml/itemProps17.xml><?xml version="1.0" encoding="utf-8"?>
<ds:datastoreItem xmlns:ds="http://schemas.openxmlformats.org/officeDocument/2006/customXml" ds:itemID="{6E095344-5F2F-4AAC-AD71-811B68E49512}">
  <ds:schemaRefs/>
</ds:datastoreItem>
</file>

<file path=customXml/itemProps18.xml><?xml version="1.0" encoding="utf-8"?>
<ds:datastoreItem xmlns:ds="http://schemas.openxmlformats.org/officeDocument/2006/customXml" ds:itemID="{81210B2A-B8CB-4326-AE55-0761574742AF}">
  <ds:schemaRefs/>
</ds:datastoreItem>
</file>

<file path=customXml/itemProps19.xml><?xml version="1.0" encoding="utf-8"?>
<ds:datastoreItem xmlns:ds="http://schemas.openxmlformats.org/officeDocument/2006/customXml" ds:itemID="{DB0D3388-A424-4900-9A02-7F7B6CE2FF29}">
  <ds:schemaRefs/>
</ds:datastoreItem>
</file>

<file path=customXml/itemProps20.xml><?xml version="1.0" encoding="utf-8"?>
<ds:datastoreItem xmlns:ds="http://schemas.openxmlformats.org/officeDocument/2006/customXml" ds:itemID="{70AEE2B9-CAF5-42FA-9E52-0096FCF45CFB}">
  <ds:schemaRefs/>
</ds:datastoreItem>
</file>

<file path=customXml/itemProps21.xml><?xml version="1.0" encoding="utf-8"?>
<ds:datastoreItem xmlns:ds="http://schemas.openxmlformats.org/officeDocument/2006/customXml" ds:itemID="{09E1C6E8-BA1F-4FA0-9C63-C6EF091AC7E9}">
  <ds:schemaRefs/>
</ds:datastoreItem>
</file>

<file path=customXml/itemProps22.xml><?xml version="1.0" encoding="utf-8"?>
<ds:datastoreItem xmlns:ds="http://schemas.openxmlformats.org/officeDocument/2006/customXml" ds:itemID="{ECD0D202-3F90-4537-8B93-6AC1A0C7E5E7}">
  <ds:schemaRefs/>
</ds:datastoreItem>
</file>

<file path=customXml/itemProps23.xml><?xml version="1.0" encoding="utf-8"?>
<ds:datastoreItem xmlns:ds="http://schemas.openxmlformats.org/officeDocument/2006/customXml" ds:itemID="{758D2DEA-D042-4DAB-A925-DD3EE6BDB97C}">
  <ds:schemaRefs/>
</ds:datastoreItem>
</file>

<file path=customXml/itemProps24.xml><?xml version="1.0" encoding="utf-8"?>
<ds:datastoreItem xmlns:ds="http://schemas.openxmlformats.org/officeDocument/2006/customXml" ds:itemID="{ADBC6D43-D7DE-44A2-87C9-207DA2D14559}">
  <ds:schemaRefs/>
</ds:datastoreItem>
</file>

<file path=customXml/itemProps25.xml><?xml version="1.0" encoding="utf-8"?>
<ds:datastoreItem xmlns:ds="http://schemas.openxmlformats.org/officeDocument/2006/customXml" ds:itemID="{AF56433D-9DA2-4B1D-8367-2C2F82C8B85B}">
  <ds:schemaRefs/>
</ds:datastoreItem>
</file>

<file path=customXml/itemProps26.xml><?xml version="1.0" encoding="utf-8"?>
<ds:datastoreItem xmlns:ds="http://schemas.openxmlformats.org/officeDocument/2006/customXml" ds:itemID="{49BB5ADB-2D2D-4BB7-B066-D09B0F511D24}">
  <ds:schemaRefs/>
</ds:datastoreItem>
</file>

<file path=customXml/itemProps27.xml><?xml version="1.0" encoding="utf-8"?>
<ds:datastoreItem xmlns:ds="http://schemas.openxmlformats.org/officeDocument/2006/customXml" ds:itemID="{73012AA1-F9F4-4A03-A5BC-05638FECA0E1}">
  <ds:schemaRefs/>
</ds:datastoreItem>
</file>

<file path=customXml/itemProps28.xml><?xml version="1.0" encoding="utf-8"?>
<ds:datastoreItem xmlns:ds="http://schemas.openxmlformats.org/officeDocument/2006/customXml" ds:itemID="{73BDF26F-7AFB-485A-BB12-BA6FCE65016E}">
  <ds:schemaRefs/>
</ds:datastoreItem>
</file>

<file path=customXml/itemProps29.xml><?xml version="1.0" encoding="utf-8"?>
<ds:datastoreItem xmlns:ds="http://schemas.openxmlformats.org/officeDocument/2006/customXml" ds:itemID="{3E3878C6-4835-4119-8710-67E1EC7EA41D}">
  <ds:schemaRefs/>
</ds:datastoreItem>
</file>

<file path=customXml/itemProps30.xml><?xml version="1.0" encoding="utf-8"?>
<ds:datastoreItem xmlns:ds="http://schemas.openxmlformats.org/officeDocument/2006/customXml" ds:itemID="{5F7D4498-C3D7-423F-953C-FD14816CD99B}">
  <ds:schemaRefs/>
</ds:datastoreItem>
</file>

<file path=customXml/itemProps31.xml><?xml version="1.0" encoding="utf-8"?>
<ds:datastoreItem xmlns:ds="http://schemas.openxmlformats.org/officeDocument/2006/customXml" ds:itemID="{53F4D849-7782-4D55-B306-4EC5DE9F6A50}">
  <ds:schemaRefs/>
</ds:datastoreItem>
</file>

<file path=customXml/itemProps32.xml><?xml version="1.0" encoding="utf-8"?>
<ds:datastoreItem xmlns:ds="http://schemas.openxmlformats.org/officeDocument/2006/customXml" ds:itemID="{9A88351F-DBDF-4C63-BD24-FCE19FA93DEE}">
  <ds:schemaRefs/>
</ds:datastoreItem>
</file>

<file path=customXml/itemProps33.xml><?xml version="1.0" encoding="utf-8"?>
<ds:datastoreItem xmlns:ds="http://schemas.openxmlformats.org/officeDocument/2006/customXml" ds:itemID="{FEA866E7-8265-4C36-953B-84966A833634}">
  <ds:schemaRefs/>
</ds:datastoreItem>
</file>

<file path=customXml/itemProps34.xml><?xml version="1.0" encoding="utf-8"?>
<ds:datastoreItem xmlns:ds="http://schemas.openxmlformats.org/officeDocument/2006/customXml" ds:itemID="{C3C33535-702F-4119-BE4E-2D51A15E39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11</vt:i4>
      </vt:variant>
    </vt:vector>
  </HeadingPairs>
  <TitlesOfParts>
    <vt:vector size="37" baseType="lpstr">
      <vt:lpstr>Datos</vt:lpstr>
      <vt:lpstr>BBDD_Formadores</vt:lpstr>
      <vt:lpstr>BBDD</vt:lpstr>
      <vt:lpstr>Tabla_Pagos</vt:lpstr>
      <vt:lpstr>Revision_RUT</vt:lpstr>
      <vt:lpstr>ACREDITACION</vt:lpstr>
      <vt:lpstr>Dashboard1</vt:lpstr>
      <vt:lpstr>Dashboard2</vt:lpstr>
      <vt:lpstr>Voluntarios</vt:lpstr>
      <vt:lpstr>Cuotas</vt:lpstr>
      <vt:lpstr>Pasajes_Formador</vt:lpstr>
      <vt:lpstr>Comp. INGRESO</vt:lpstr>
      <vt:lpstr>Comp. EGRESO</vt:lpstr>
      <vt:lpstr>Presupuesto</vt:lpstr>
      <vt:lpstr>Menú</vt:lpstr>
      <vt:lpstr>Inf_Cuotas</vt:lpstr>
      <vt:lpstr>Inf_NOPagados</vt:lpstr>
      <vt:lpstr>Inf_Formadores</vt:lpstr>
      <vt:lpstr>Inf_Credenciales</vt:lpstr>
      <vt:lpstr>Inf_Voluntarios</vt:lpstr>
      <vt:lpstr>Inf_Vol_OtrasZonas</vt:lpstr>
      <vt:lpstr>Inf_VoluntariosDistrito</vt:lpstr>
      <vt:lpstr>Inf_PorDistrito_Grupo</vt:lpstr>
      <vt:lpstr>Inf_PorRama</vt:lpstr>
      <vt:lpstr>Materiales e Insumos</vt:lpstr>
      <vt:lpstr>Alimentos para Comprar</vt:lpstr>
      <vt:lpstr>CURSANTES</vt:lpstr>
      <vt:lpstr>FORMADORES</vt:lpstr>
      <vt:lpstr>Lista_Asignado</vt:lpstr>
      <vt:lpstr>Lista_Avisado</vt:lpstr>
      <vt:lpstr>Lista_Cama</vt:lpstr>
      <vt:lpstr>Lista_Cargos</vt:lpstr>
      <vt:lpstr>Lista_Cuenta</vt:lpstr>
      <vt:lpstr>Lista_Estado</vt:lpstr>
      <vt:lpstr>Lista_Institucional</vt:lpstr>
      <vt:lpstr>Lista_Registro</vt:lpstr>
      <vt:lpstr>Lista_Transporte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Pablo Pesce</cp:lastModifiedBy>
  <cp:lastPrinted>2023-06-26T17:26:59Z</cp:lastPrinted>
  <dcterms:created xsi:type="dcterms:W3CDTF">2022-09-05T19:08:59Z</dcterms:created>
  <dcterms:modified xsi:type="dcterms:W3CDTF">2025-07-04T17:12:50Z</dcterms:modified>
</cp:coreProperties>
</file>