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slicers/slicer1.xml" ContentType="application/vnd.ms-excel.slicer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ara\Downloads\inara\subir para o github dados\"/>
    </mc:Choice>
  </mc:AlternateContent>
  <xr:revisionPtr revIDLastSave="0" documentId="13_ncr:1_{1A100ACA-AAB1-4824-B408-E1A879D7AE79}" xr6:coauthVersionLast="47" xr6:coauthVersionMax="47" xr10:uidLastSave="{00000000-0000-0000-0000-000000000000}"/>
  <bookViews>
    <workbookView xWindow="-108" yWindow="-108" windowWidth="23256" windowHeight="12456" activeTab="4" xr2:uid="{8262F22A-2629-4D05-B7C3-2D9C8107118F}"/>
  </bookViews>
  <sheets>
    <sheet name="Cadastros" sheetId="1" r:id="rId1"/>
    <sheet name="Entrega_Fat" sheetId="2" r:id="rId2"/>
    <sheet name="Caulculo_Impostos" sheetId="6" r:id="rId3"/>
    <sheet name="Controle_NF" sheetId="3" r:id="rId4"/>
    <sheet name="Consulta" sheetId="4" r:id="rId5"/>
  </sheets>
  <definedNames>
    <definedName name="SegmentaçãodeDados_Competência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6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7" i="4" l="1" a="1"/>
  <c r="E17" i="4" s="1"/>
  <c r="F9" i="6"/>
  <c r="F8" i="6"/>
  <c r="F7" i="6"/>
  <c r="F6" i="6"/>
  <c r="F4" i="6"/>
  <c r="F5" i="6"/>
  <c r="G4" i="6" a="1"/>
  <c r="G4" i="6" s="1"/>
  <c r="G8" i="6" a="1"/>
  <c r="G8" i="6" s="1"/>
  <c r="G7" i="6" a="1"/>
  <c r="G7" i="6" s="1"/>
  <c r="G5" i="6" a="1"/>
  <c r="G5" i="6" s="1"/>
  <c r="G6" i="6" a="1"/>
  <c r="G6" i="6" s="1"/>
  <c r="G10" i="6" l="1"/>
  <c r="E13" i="6"/>
  <c r="K4" i="2"/>
  <c r="E4" i="2"/>
  <c r="B4" i="2"/>
  <c r="H8" i="2"/>
  <c r="H9" i="2"/>
  <c r="H10" i="2"/>
  <c r="H11" i="2"/>
  <c r="H12" i="2"/>
  <c r="H13" i="2"/>
  <c r="H14" i="2"/>
  <c r="E8" i="4" s="1" a="1"/>
  <c r="E8" i="4" s="1"/>
  <c r="H15" i="2"/>
  <c r="H16" i="2"/>
  <c r="H17" i="2"/>
  <c r="H18" i="2"/>
  <c r="H19" i="2"/>
  <c r="H20" i="2"/>
  <c r="H21" i="2"/>
  <c r="H22" i="2"/>
  <c r="H23" i="2"/>
  <c r="H24" i="2"/>
  <c r="H25" i="2"/>
  <c r="H4" i="2" l="1"/>
  <c r="F10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Inara Caldas</author>
  </authors>
  <commentList>
    <comment ref="B4" authorId="0" shapeId="0" xr:uid="{6BFE3867-837D-4EF4-9A4E-6A9CBFF16FE4}">
      <text>
        <r>
          <rPr>
            <b/>
            <sz val="12"/>
            <color indexed="81"/>
            <rFont val="Segoe UI"/>
            <family val="2"/>
          </rPr>
          <t>Inara Caldas:</t>
        </r>
        <r>
          <rPr>
            <sz val="12"/>
            <color indexed="81"/>
            <rFont val="Segoe UI"/>
            <family val="2"/>
          </rPr>
          <t xml:space="preserve">
Insira o nome do convênio, que esteja listado na aba cadastro.</t>
        </r>
      </text>
    </comment>
    <comment ref="B7" authorId="0" shapeId="0" xr:uid="{727D32B5-BFAF-4875-AD84-B47F7F09FB65}">
      <text>
        <r>
          <rPr>
            <b/>
            <sz val="14"/>
            <color indexed="81"/>
            <rFont val="Segoe UI"/>
            <family val="2"/>
          </rPr>
          <t>Inara Caldas:</t>
        </r>
        <r>
          <rPr>
            <sz val="14"/>
            <color indexed="81"/>
            <rFont val="Segoe UI"/>
            <family val="2"/>
          </rPr>
          <t xml:space="preserve">
Insira o valor bruto 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<sst xmlns="http://schemas.openxmlformats.org/spreadsheetml/2006/main" count="154" uniqueCount="70">
  <si>
    <t>Status</t>
  </si>
  <si>
    <t>Protocolo</t>
  </si>
  <si>
    <t>Título</t>
  </si>
  <si>
    <t>Observação</t>
  </si>
  <si>
    <t>NF</t>
  </si>
  <si>
    <t>Data de emissão</t>
  </si>
  <si>
    <t>CONVÊNIO</t>
  </si>
  <si>
    <t>COFINS</t>
  </si>
  <si>
    <t>CSLL</t>
  </si>
  <si>
    <t>IRPJ</t>
  </si>
  <si>
    <t>PIS</t>
  </si>
  <si>
    <t>ISS</t>
  </si>
  <si>
    <t>TAXA</t>
  </si>
  <si>
    <t>Valor NF</t>
  </si>
  <si>
    <t>Glosa</t>
  </si>
  <si>
    <t>Golsa</t>
  </si>
  <si>
    <t>Emissão</t>
  </si>
  <si>
    <t>Agudo</t>
  </si>
  <si>
    <t>VidaPlena Saúde Integrada</t>
  </si>
  <si>
    <t>Alliança Corporativa Benefícios</t>
  </si>
  <si>
    <t>MedGlobal Assistência</t>
  </si>
  <si>
    <t>Vanguard Odonto &amp; Vida</t>
  </si>
  <si>
    <t>Unimedica Cooperativa Regional</t>
  </si>
  <si>
    <t>BioCare Serviços Médicos</t>
  </si>
  <si>
    <t>Crônico</t>
  </si>
  <si>
    <t>Exame</t>
  </si>
  <si>
    <t>Visita</t>
  </si>
  <si>
    <t>Sadt</t>
  </si>
  <si>
    <t>💻 CADASTRO E PARAMÊTROS</t>
  </si>
  <si>
    <t>CADASTRO DE CONVÊNIOS E IMPOSTOS</t>
  </si>
  <si>
    <t>OBSERVAÇÃO</t>
  </si>
  <si>
    <t>💸 CONTROLE DE ENTREGA DE FATURAMENTO</t>
  </si>
  <si>
    <t>STATUS</t>
  </si>
  <si>
    <t>COMPETÊNCIA</t>
  </si>
  <si>
    <t>OPERAÇÃO</t>
  </si>
  <si>
    <t>TIPO</t>
  </si>
  <si>
    <t>PROTOCOLO</t>
  </si>
  <si>
    <t>TÍTULO</t>
  </si>
  <si>
    <t>VALAOR APRESENTADO</t>
  </si>
  <si>
    <t>A EMITIR</t>
  </si>
  <si>
    <t>DATA DE ENTRAGA</t>
  </si>
  <si>
    <t>Entregue</t>
  </si>
  <si>
    <t>Pendente</t>
  </si>
  <si>
    <t>Emitida</t>
  </si>
  <si>
    <t>Cancelada</t>
  </si>
  <si>
    <t>Aguardando emissão</t>
  </si>
  <si>
    <t>📝 TOTAL PROTOCOLO</t>
  </si>
  <si>
    <t>✅ APRESENTADO</t>
  </si>
  <si>
    <t>Inara</t>
  </si>
  <si>
    <t>VALOR BRUTO</t>
  </si>
  <si>
    <t>🧮 CÁLCULO  DE IMPOSTOS</t>
  </si>
  <si>
    <t>⛔ A EMITIR</t>
  </si>
  <si>
    <t>⏱️ABERTO</t>
  </si>
  <si>
    <t>IMPOSTO</t>
  </si>
  <si>
    <t>IRRJ</t>
  </si>
  <si>
    <t>ALÍQUOTA</t>
  </si>
  <si>
    <t>VALOR</t>
  </si>
  <si>
    <t>VALOR LÍQUIDO</t>
  </si>
  <si>
    <t>PESQUISA</t>
  </si>
  <si>
    <t>TOTAL IMPOSTOS</t>
  </si>
  <si>
    <t>8518848</t>
  </si>
  <si>
    <t>4848</t>
  </si>
  <si>
    <t>56</t>
  </si>
  <si>
    <t>37517</t>
  </si>
  <si>
    <t>1</t>
  </si>
  <si>
    <t>📝CONTROLE DE NOTAS FISCIAS EMITIDAS</t>
  </si>
  <si>
    <t>🔍 CONSULTAS DE TÍTULOS E NOTAS FISCAIS</t>
  </si>
  <si>
    <t>📄INFORMAÇÕES DE TÍTULOS</t>
  </si>
  <si>
    <t>📝NOTAS FISCAIS VINCULADAS</t>
  </si>
  <si>
    <t>Informe o título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</si>
</sst>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-* #,##0_-;\-* #,##0_-;_-* &quot;-&quot;??_-;_-@_-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indexed="81"/>
      <name val="Segoe UI"/>
      <family val="2"/>
    </font>
    <font>
      <sz val="12"/>
      <color indexed="81"/>
      <name val="Segoe UI"/>
      <family val="2"/>
    </font>
    <font>
      <b/>
      <sz val="14"/>
      <color indexed="81"/>
      <name val="Segoe UI"/>
      <family val="2"/>
    </font>
    <font>
      <sz val="14"/>
      <color indexed="81"/>
      <name val="Segoe UI"/>
      <family val="2"/>
    </font>
    <font>
      <b/>
      <sz val="11"/>
      <color theme="1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rgb="FF000000"/>
      <name val="Aptos"/>
      <family val="2"/>
    </font>
    <font>
      <b/>
      <sz val="18"/>
      <color theme="4" tint="-0.249977111117893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8"/>
      <color theme="0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2"/>
      <color theme="4" tint="-0.24997711111789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5F3FF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ECECEC"/>
        <bgColor indexed="64"/>
      </patternFill>
    </fill>
  </fills>
  <borders count="24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249977111117893"/>
      </left>
      <right style="thin">
        <color theme="0" tint="-0.14999847407452621"/>
      </right>
      <top/>
      <bottom/>
      <diagonal/>
    </border>
    <border>
      <left/>
      <right/>
      <top style="thin">
        <color theme="0" tint="-0.249977111117893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7">
    <xf numFmtId="0" fontId="0" fillId="0" borderId="0" xfId="0"/>
    <xf numFmtId="14" fontId="0" fillId="0" borderId="0" xfId="0" applyNumberFormat="1"/>
    <xf numFmtId="10" fontId="0" fillId="0" borderId="0" xfId="0" applyNumberFormat="1"/>
    <xf numFmtId="9" fontId="0" fillId="0" borderId="0" xfId="2" applyFont="1"/>
    <xf numFmtId="0" fontId="2" fillId="0" borderId="0" xfId="0" applyFont="1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4" fontId="0" fillId="0" borderId="0" xfId="1" applyFont="1"/>
    <xf numFmtId="10" fontId="0" fillId="0" borderId="0" xfId="2" applyNumberFormat="1" applyFont="1"/>
    <xf numFmtId="49" fontId="0" fillId="0" borderId="0" xfId="0" applyNumberFormat="1"/>
    <xf numFmtId="165" fontId="0" fillId="0" borderId="0" xfId="3" applyNumberFormat="1" applyFont="1" applyAlignment="1">
      <alignment horizontal="right"/>
    </xf>
    <xf numFmtId="0" fontId="12" fillId="0" borderId="0" xfId="0" applyFont="1"/>
    <xf numFmtId="44" fontId="12" fillId="0" borderId="0" xfId="1" applyFont="1" applyFill="1"/>
    <xf numFmtId="14" fontId="12" fillId="0" borderId="0" xfId="0" applyNumberFormat="1" applyFont="1"/>
    <xf numFmtId="0" fontId="0" fillId="0" borderId="1" xfId="0" applyBorder="1" applyAlignment="1">
      <alignment horizontal="center"/>
    </xf>
    <xf numFmtId="0" fontId="4" fillId="0" borderId="1" xfId="0" applyFont="1" applyBorder="1"/>
    <xf numFmtId="10" fontId="4" fillId="0" borderId="1" xfId="0" applyNumberFormat="1" applyFont="1" applyBorder="1" applyAlignment="1">
      <alignment horizontal="center"/>
    </xf>
    <xf numFmtId="10" fontId="4" fillId="0" borderId="1" xfId="2" applyNumberFormat="1" applyFont="1" applyBorder="1" applyAlignment="1">
      <alignment horizontal="center"/>
    </xf>
    <xf numFmtId="10" fontId="4" fillId="0" borderId="1" xfId="0" applyNumberFormat="1" applyFont="1" applyBorder="1"/>
    <xf numFmtId="0" fontId="4" fillId="0" borderId="1" xfId="0" applyFont="1" applyBorder="1" applyAlignment="1">
      <alignment horizontal="center"/>
    </xf>
    <xf numFmtId="0" fontId="11" fillId="0" borderId="0" xfId="0" applyFont="1" applyAlignment="1">
      <alignment vertical="center"/>
    </xf>
    <xf numFmtId="44" fontId="0" fillId="0" borderId="1" xfId="1" applyFont="1" applyBorder="1" applyAlignment="1"/>
    <xf numFmtId="17" fontId="0" fillId="0" borderId="1" xfId="0" applyNumberFormat="1" applyBorder="1" applyAlignment="1">
      <alignment horizontal="center"/>
    </xf>
    <xf numFmtId="49" fontId="0" fillId="0" borderId="1" xfId="3" applyNumberFormat="1" applyFont="1" applyBorder="1" applyAlignment="1">
      <alignment horizontal="center"/>
    </xf>
    <xf numFmtId="44" fontId="0" fillId="0" borderId="1" xfId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left" indent="1"/>
    </xf>
    <xf numFmtId="0" fontId="0" fillId="0" borderId="4" xfId="0" applyBorder="1"/>
    <xf numFmtId="0" fontId="0" fillId="0" borderId="2" xfId="0" applyBorder="1"/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7" fillId="0" borderId="0" xfId="0" applyFont="1"/>
    <xf numFmtId="0" fontId="19" fillId="2" borderId="12" xfId="0" applyFont="1" applyFill="1" applyBorder="1" applyAlignment="1">
      <alignment vertical="center"/>
    </xf>
    <xf numFmtId="10" fontId="17" fillId="0" borderId="1" xfId="2" applyNumberFormat="1" applyFont="1" applyBorder="1" applyAlignment="1">
      <alignment horizontal="center"/>
    </xf>
    <xf numFmtId="10" fontId="17" fillId="0" borderId="10" xfId="2" applyNumberFormat="1" applyFont="1" applyBorder="1" applyAlignment="1">
      <alignment horizontal="center"/>
    </xf>
    <xf numFmtId="4" fontId="18" fillId="0" borderId="1" xfId="0" applyNumberFormat="1" applyFont="1" applyBorder="1" applyAlignment="1">
      <alignment horizontal="left" indent="2"/>
    </xf>
    <xf numFmtId="44" fontId="17" fillId="0" borderId="1" xfId="1" applyFont="1" applyBorder="1" applyAlignment="1">
      <alignment horizontal="left" indent="2"/>
    </xf>
    <xf numFmtId="0" fontId="17" fillId="0" borderId="1" xfId="0" applyFont="1" applyBorder="1" applyAlignment="1">
      <alignment horizontal="left" indent="2"/>
    </xf>
    <xf numFmtId="0" fontId="17" fillId="0" borderId="10" xfId="0" applyFont="1" applyBorder="1" applyAlignment="1">
      <alignment horizontal="left" indent="2"/>
    </xf>
    <xf numFmtId="44" fontId="17" fillId="0" borderId="10" xfId="1" applyFont="1" applyBorder="1" applyAlignment="1">
      <alignment horizontal="left" indent="2"/>
    </xf>
    <xf numFmtId="44" fontId="12" fillId="0" borderId="0" xfId="1" applyFont="1" applyFill="1" applyBorder="1"/>
    <xf numFmtId="0" fontId="20" fillId="0" borderId="0" xfId="0" applyFont="1"/>
    <xf numFmtId="0" fontId="21" fillId="0" borderId="0" xfId="0" applyFont="1"/>
    <xf numFmtId="0" fontId="21" fillId="0" borderId="1" xfId="0" applyFont="1" applyBorder="1"/>
    <xf numFmtId="44" fontId="21" fillId="0" borderId="1" xfId="1" applyFont="1" applyBorder="1"/>
    <xf numFmtId="0" fontId="17" fillId="0" borderId="13" xfId="0" applyFont="1" applyBorder="1"/>
    <xf numFmtId="0" fontId="17" fillId="0" borderId="14" xfId="0" applyFont="1" applyBorder="1"/>
    <xf numFmtId="17" fontId="0" fillId="0" borderId="10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44" fontId="0" fillId="0" borderId="10" xfId="1" applyFont="1" applyBorder="1" applyAlignment="1"/>
    <xf numFmtId="14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49" fontId="0" fillId="0" borderId="10" xfId="3" applyNumberFormat="1" applyFont="1" applyBorder="1" applyAlignment="1">
      <alignment horizontal="center"/>
    </xf>
    <xf numFmtId="44" fontId="0" fillId="0" borderId="10" xfId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0" fontId="24" fillId="0" borderId="0" xfId="0" applyFont="1"/>
    <xf numFmtId="49" fontId="12" fillId="0" borderId="0" xfId="0" applyNumberFormat="1" applyFont="1"/>
    <xf numFmtId="0" fontId="12" fillId="0" borderId="1" xfId="0" applyFont="1" applyBorder="1"/>
    <xf numFmtId="14" fontId="12" fillId="0" borderId="1" xfId="0" applyNumberFormat="1" applyFont="1" applyBorder="1"/>
    <xf numFmtId="0" fontId="12" fillId="0" borderId="1" xfId="0" applyFont="1" applyBorder="1" applyAlignment="1">
      <alignment horizontal="center"/>
    </xf>
    <xf numFmtId="44" fontId="12" fillId="0" borderId="1" xfId="1" applyFont="1" applyFill="1" applyBorder="1" applyAlignment="1">
      <alignment horizontal="center"/>
    </xf>
    <xf numFmtId="14" fontId="12" fillId="0" borderId="1" xfId="1" applyNumberFormat="1" applyFont="1" applyFill="1" applyBorder="1" applyAlignment="1">
      <alignment horizontal="center"/>
    </xf>
    <xf numFmtId="14" fontId="12" fillId="0" borderId="1" xfId="0" applyNumberFormat="1" applyFont="1" applyBorder="1" applyAlignment="1">
      <alignment horizontal="center"/>
    </xf>
    <xf numFmtId="44" fontId="12" fillId="0" borderId="1" xfId="1" applyFont="1" applyFill="1" applyBorder="1" applyAlignment="1">
      <alignment horizontal="left" indent="1"/>
    </xf>
    <xf numFmtId="44" fontId="12" fillId="0" borderId="1" xfId="1" applyFont="1" applyFill="1" applyBorder="1" applyAlignment="1">
      <alignment horizontal="left" indent="3"/>
    </xf>
    <xf numFmtId="44" fontId="12" fillId="0" borderId="0" xfId="1" applyFont="1"/>
    <xf numFmtId="49" fontId="12" fillId="0" borderId="1" xfId="0" applyNumberFormat="1" applyFont="1" applyBorder="1"/>
    <xf numFmtId="44" fontId="12" fillId="0" borderId="1" xfId="1" applyFont="1" applyBorder="1"/>
    <xf numFmtId="49" fontId="12" fillId="0" borderId="1" xfId="1" applyNumberFormat="1" applyFont="1" applyFill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44" fontId="12" fillId="0" borderId="1" xfId="1" applyFont="1" applyBorder="1" applyAlignment="1">
      <alignment horizontal="center"/>
    </xf>
    <xf numFmtId="44" fontId="12" fillId="0" borderId="1" xfId="1" applyFont="1" applyBorder="1" applyAlignment="1">
      <alignment horizontal="left" indent="2"/>
    </xf>
    <xf numFmtId="44" fontId="12" fillId="0" borderId="1" xfId="1" applyFont="1" applyFill="1" applyBorder="1" applyAlignment="1">
      <alignment horizontal="left" indent="4"/>
    </xf>
    <xf numFmtId="0" fontId="5" fillId="3" borderId="1" xfId="0" applyFont="1" applyFill="1" applyBorder="1" applyAlignment="1">
      <alignment horizontal="center" vertical="center"/>
    </xf>
    <xf numFmtId="44" fontId="5" fillId="3" borderId="1" xfId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22" fillId="3" borderId="1" xfId="0" applyFont="1" applyFill="1" applyBorder="1"/>
    <xf numFmtId="14" fontId="22" fillId="3" borderId="1" xfId="0" applyNumberFormat="1" applyFont="1" applyFill="1" applyBorder="1"/>
    <xf numFmtId="0" fontId="0" fillId="0" borderId="0" xfId="0" applyAlignment="1">
      <alignment vertic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 applyAlignment="1">
      <alignment vertical="center"/>
    </xf>
    <xf numFmtId="0" fontId="0" fillId="0" borderId="19" xfId="0" applyBorder="1"/>
    <xf numFmtId="0" fontId="0" fillId="0" borderId="21" xfId="0" applyBorder="1" applyAlignment="1">
      <alignment horizontal="left" indent="2"/>
    </xf>
    <xf numFmtId="0" fontId="0" fillId="0" borderId="22" xfId="0" applyBorder="1" applyAlignment="1">
      <alignment vertical="center"/>
    </xf>
    <xf numFmtId="10" fontId="19" fillId="2" borderId="3" xfId="2" applyNumberFormat="1" applyFont="1" applyFill="1" applyBorder="1" applyAlignment="1">
      <alignment horizontal="center" vertical="center"/>
    </xf>
    <xf numFmtId="44" fontId="19" fillId="2" borderId="9" xfId="1" applyFont="1" applyFill="1" applyBorder="1" applyAlignment="1">
      <alignment horizontal="left" vertical="center" indent="2"/>
    </xf>
    <xf numFmtId="0" fontId="11" fillId="3" borderId="0" xfId="0" applyFont="1" applyFill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49" fontId="11" fillId="3" borderId="0" xfId="0" applyNumberFormat="1" applyFont="1" applyFill="1" applyAlignment="1">
      <alignment horizontal="left"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164" fontId="15" fillId="0" borderId="5" xfId="1" applyNumberFormat="1" applyFont="1" applyBorder="1" applyAlignment="1">
      <alignment horizontal="center" vertical="center"/>
    </xf>
    <xf numFmtId="164" fontId="15" fillId="0" borderId="8" xfId="1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164" fontId="15" fillId="0" borderId="5" xfId="0" applyNumberFormat="1" applyFont="1" applyBorder="1" applyAlignment="1">
      <alignment horizontal="center" vertical="center"/>
    </xf>
    <xf numFmtId="164" fontId="15" fillId="0" borderId="8" xfId="0" applyNumberFormat="1" applyFont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164" fontId="19" fillId="2" borderId="14" xfId="1" applyNumberFormat="1" applyFont="1" applyFill="1" applyBorder="1" applyAlignment="1">
      <alignment horizontal="center" vertical="center"/>
    </xf>
    <xf numFmtId="164" fontId="19" fillId="2" borderId="0" xfId="1" applyNumberFormat="1" applyFont="1" applyFill="1" applyBorder="1" applyAlignment="1">
      <alignment horizontal="center" vertical="center"/>
    </xf>
    <xf numFmtId="0" fontId="25" fillId="0" borderId="2" xfId="0" applyFont="1" applyBorder="1" applyAlignment="1">
      <alignment vertical="center"/>
    </xf>
    <xf numFmtId="0" fontId="25" fillId="0" borderId="2" xfId="0" applyFont="1" applyBorder="1" applyAlignment="1">
      <alignment horizontal="left" vertical="center"/>
    </xf>
    <xf numFmtId="0" fontId="22" fillId="3" borderId="0" xfId="0" applyFont="1" applyFill="1" applyAlignment="1">
      <alignment horizontal="left" vertical="center"/>
    </xf>
    <xf numFmtId="0" fontId="12" fillId="0" borderId="20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1" fontId="23" fillId="4" borderId="19" xfId="0" applyNumberFormat="1" applyFont="1" applyFill="1" applyBorder="1" applyAlignment="1">
      <alignment horizontal="center" vertical="center"/>
    </xf>
    <xf numFmtId="1" fontId="23" fillId="4" borderId="21" xfId="0" applyNumberFormat="1" applyFont="1" applyFill="1" applyBorder="1" applyAlignment="1">
      <alignment horizontal="center" vertical="center"/>
    </xf>
  </cellXfs>
  <cellStyles count="4">
    <cellStyle name="Moeda" xfId="1" builtinId="4"/>
    <cellStyle name="Normal" xfId="0" builtinId="0"/>
    <cellStyle name="Porcentagem" xfId="2" builtinId="5"/>
    <cellStyle name="Vírgula" xfId="3" builtinId="3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  <outline val="0"/>
        <shadow val="0"/>
        <u val="none"/>
        <vertAlign val="baseline"/>
        <sz val="18"/>
      </font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font>
        <strike val="0"/>
        <outline val="0"/>
        <shadow val="0"/>
        <u val="none"/>
        <vertAlign val="baseline"/>
        <sz val="18"/>
      </font>
      <numFmt numFmtId="14" formatCode="0.00%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font>
        <strike val="0"/>
        <outline val="0"/>
        <shadow val="0"/>
        <u val="none"/>
        <vertAlign val="baseline"/>
        <sz val="18"/>
      </font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font>
        <strike val="0"/>
        <outline val="0"/>
        <shadow val="0"/>
        <u val="none"/>
        <vertAlign val="baseline"/>
        <sz val="18"/>
        <family val="2"/>
      </font>
    </dxf>
    <dxf>
      <border outline="0">
        <bottom style="thin">
          <color theme="0" tint="-0.149998474074526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alignment horizont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numFmt numFmtId="165" formatCode="_-* #,##0_-;\-* #,##0_-;_-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alignment horizontal="center" textRotation="0" wrapText="0" indent="0" justifyLastLine="0" shrinkToFit="0" readingOrder="0"/>
      <border diagonalUp="0" diagonalDown="0" outline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numFmt numFmtId="30" formatCode="@"/>
      <alignment horizontal="left" vertical="bottom" textRotation="0" wrapText="0" relativeIndent="1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</border>
    </dxf>
    <dxf>
      <numFmt numFmtId="22" formatCode="mmm/yy"/>
      <alignment horizont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theme="0" tint="-0.149998474074526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theme="0" tint="-0.149998474074526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</dxfs>
  <tableStyles count="0" defaultTableStyle="TableStyleMedium2" defaultPivotStyle="PivotStyleLight16"/>
  <colors>
    <mruColors>
      <color rgb="FFECECEC"/>
      <color rgb="FFE5F3FF"/>
      <color rgb="FFE1EBFF"/>
      <color rgb="FFCDDEFF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240767</xdr:colOff>
      <xdr:row>4</xdr:row>
      <xdr:rowOff>149197</xdr:rowOff>
    </xdr:from>
    <xdr:to>
      <xdr:col>14</xdr:col>
      <xdr:colOff>68035</xdr:colOff>
      <xdr:row>23</xdr:row>
      <xdr:rowOff>121103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Competência">
              <a:extLst>
                <a:ext uri="{FF2B5EF4-FFF2-40B4-BE49-F238E27FC236}">
                  <a16:creationId xmlns:a16="http://schemas.microsoft.com/office/drawing/2014/main" id="{C33EFA0E-21BC-255C-C94B-85D53728EE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mpetênc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125996" y="1662311"/>
              <a:ext cx="1656068" cy="35315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1042323</xdr:colOff>
      <xdr:row>33</xdr:row>
      <xdr:rowOff>9675</xdr:rowOff>
    </xdr:from>
    <xdr:to>
      <xdr:col>12</xdr:col>
      <xdr:colOff>466727</xdr:colOff>
      <xdr:row>47</xdr:row>
      <xdr:rowOff>10403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F767D06-0CC3-4D54-84E6-B64CAA5648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6194" b="59695"/>
        <a:stretch>
          <a:fillRect/>
        </a:stretch>
      </xdr:blipFill>
      <xdr:spPr>
        <a:xfrm>
          <a:off x="13680637" y="3787018"/>
          <a:ext cx="5280919" cy="2591528"/>
        </a:xfrm>
        <a:prstGeom prst="rect">
          <a:avLst/>
        </a:prstGeom>
      </xdr:spPr>
    </xdr:pic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mpetência" xr10:uid="{7AADC467-EDAB-4DD3-B33C-73FA0225F4BD}" sourceName="COMPETÊNCIA">
  <extLst>
    <x:ext xmlns:x15="http://schemas.microsoft.com/office/spreadsheetml/2010/11/main" uri="{2F2917AC-EB37-4324-AD4E-5DD8C200BD13}">
      <x15:tableSlicerCache tableId="5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mpetência" xr10:uid="{EEDB1C2F-ABDD-47F7-951D-50A5557EBC22}" cache="SegmentaçãodeDados_Competência" caption="COMPETÊNCIA" style="SlicerStyleDark1" rowHeight="180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74C3983-1666-4706-AA06-A194E907CADA}" name="Tab_impostos" displayName="Tab_impostos" ref="B3:H22" totalsRowShown="0" headerRowDxfId="33" dataDxfId="32">
  <autoFilter ref="B3:H22" xr:uid="{674C3983-1666-4706-AA06-A194E907CADA}"/>
  <tableColumns count="7">
    <tableColumn id="2" xr3:uid="{DF250A79-38AE-46F2-B19D-E16E97F0FD2A}" name="CONVÊNIO" dataDxfId="31"/>
    <tableColumn id="3" xr3:uid="{1975E5B2-A510-4597-9013-18AB80C7818C}" name="COFINS" dataDxfId="30"/>
    <tableColumn id="4" xr3:uid="{9265EB07-9FE0-4B1A-97FF-67601C7C1E44}" name="CSLL" dataDxfId="29"/>
    <tableColumn id="5" xr3:uid="{CBE1E7B1-8CD1-44E0-A5BD-60E5F6D2F35A}" name="IRPJ" dataDxfId="28"/>
    <tableColumn id="6" xr3:uid="{F68132E4-CAAB-436D-B489-5BCA76DE899E}" name="PIS" dataDxfId="27" dataCellStyle="Porcentagem"/>
    <tableColumn id="7" xr3:uid="{AC20B962-4107-4F20-8154-F22E1D87041A}" name="ISS" dataDxfId="26" dataCellStyle="Porcentagem"/>
    <tableColumn id="1" xr3:uid="{4B0C1379-883F-4E28-B39B-DCD4D1F88F16}" name="OBSERVAÇÃO" dataDxfId="2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F9B59E-EA83-4EFD-BC2E-9EBE802DAD20}" name="tabEntrega_Fat" displayName="tabEntrega_Fat" ref="A6:K27" totalsRowShown="0" headerRowDxfId="24" dataDxfId="22" headerRowBorderDxfId="23">
  <autoFilter ref="A6:K27" xr:uid="{91F9B59E-EA83-4EFD-BC2E-9EBE802DAD20}"/>
  <sortState xmlns:xlrd2="http://schemas.microsoft.com/office/spreadsheetml/2017/richdata2" ref="A7:K26">
    <sortCondition ref="A6:A26"/>
  </sortState>
  <tableColumns count="11">
    <tableColumn id="1" xr3:uid="{735B9BCB-D28F-4422-95CA-05D4B34FEA54}" name="COMPETÊNCIA" dataDxfId="21"/>
    <tableColumn id="2" xr3:uid="{D73B33AE-6ADA-4BC3-99C9-0687C8A583DE}" name="OPERAÇÃO" dataDxfId="20"/>
    <tableColumn id="3" xr3:uid="{F8556224-380F-44AC-B152-86C5AB43C2B6}" name="CONVÊNIO" dataDxfId="19"/>
    <tableColumn id="4" xr3:uid="{CB76A272-91F7-4F64-9B91-60F1D1277834}" name="TIPO" dataDxfId="18"/>
    <tableColumn id="5" xr3:uid="{A875EDF5-C10D-4A89-BE8C-8997D8C8C4A6}" name="PROTOCOLO" dataDxfId="17"/>
    <tableColumn id="6" xr3:uid="{BE43F75C-1263-4941-A49F-0FD774124055}" name="TÍTULO" dataDxfId="16" dataCellStyle="Vírgula">
      <calculatedColumnFormula>RANDBETWEEN(15000,1000)</calculatedColumnFormula>
    </tableColumn>
    <tableColumn id="7" xr3:uid="{BE3FD908-8FAB-4C9D-A310-3849356C4ECD}" name="VALAOR APRESENTADO" dataDxfId="15" dataCellStyle="Moeda"/>
    <tableColumn id="10" xr3:uid="{AD24C351-557C-4194-B212-7DD96A2ADE95}" name="A EMITIR" dataDxfId="14" dataCellStyle="Moeda">
      <calculatedColumnFormula>IF(tabControle_NF[[#This Row],[Valor NF]]="","",tabEntrega_Fat[[#This Row],[VALAOR APRESENTADO]]-tabControle_NF[[#This Row],[Valor NF]])</calculatedColumnFormula>
    </tableColumn>
    <tableColumn id="8" xr3:uid="{A96BE4EC-158C-4E91-B638-4F21C1C048C0}" name="DATA DE ENTRAGA" dataDxfId="13"/>
    <tableColumn id="11" xr3:uid="{3BEB5439-A299-47DB-ABF7-F9A7B2A7CC63}" name="STATUS" dataDxfId="12"/>
    <tableColumn id="9" xr3:uid="{CACB4073-DF37-4701-9FD4-3DB8723C228C}" name="OBSERVAÇÃO" dataDxfId="1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2919CA-260A-4244-BFDE-84FD3AF4030B}" name="Tabela1" displayName="Tabela1" ref="E3:G10" totalsRowShown="0" headerRowDxfId="10" dataDxfId="8" headerRowBorderDxfId="9">
  <autoFilter ref="E3:G10" xr:uid="{FD2919CA-260A-4244-BFDE-84FD3AF4030B}"/>
  <tableColumns count="3">
    <tableColumn id="1" xr3:uid="{39903EB3-98B4-41E4-90A7-8E16FA59171F}" name="IMPOSTO" dataDxfId="7"/>
    <tableColumn id="2" xr3:uid="{FFC0F6E6-6D98-4F4C-B394-1A7884C0C1B0}" name="ALÍQUOTA" dataDxfId="6" dataCellStyle="Porcentagem">
      <calculatedColumnFormula>_xlfn.XLOOKUP(B4,Tab_impostos[CONVÊNIO],Tab_impostos[COFINS])</calculatedColumnFormula>
    </tableColumn>
    <tableColumn id="3" xr3:uid="{FA4616F1-EFB7-434E-946C-8918E0FB1823}" name="VALOR" dataDxfId="5" dataCellStyle="Moeda">
      <calculatedColumnFormula array="1">ROUND(B9*_xlfn.XLOOKUP(#REF!,Tab_impostos[[#All],[CONVÊNIO]],Tab_impostos[[#All],[CSLL]]),2)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E49A94B-C643-4022-8756-B2C991753D5B}" name="tabControle_NF" displayName="tabControle_NF" ref="A3:H26" totalsRowShown="0" headerRowDxfId="44" dataDxfId="42" headerRowBorderDxfId="43">
  <autoFilter ref="A3:H26" xr:uid="{EE49A94B-C643-4022-8756-B2C991753D5B}"/>
  <sortState xmlns:xlrd2="http://schemas.microsoft.com/office/spreadsheetml/2017/richdata2" ref="A4:H25">
    <sortCondition descending="1" ref="C3:C25"/>
  </sortState>
  <tableColumns count="8">
    <tableColumn id="1" xr3:uid="{287F7994-0150-471D-AF3E-89531F58CF1D}" name="Título" dataDxfId="41"/>
    <tableColumn id="8" xr3:uid="{00D0849F-BF2C-471C-815E-940C8C1AFF16}" name="Protocolo" dataDxfId="40"/>
    <tableColumn id="2" xr3:uid="{874B95B6-5541-47AE-B615-51B608F844E5}" name="NF" dataDxfId="39"/>
    <tableColumn id="6" xr3:uid="{29E5B17D-0173-4318-ADFD-076A64244049}" name="Valor NF" dataDxfId="38" dataCellStyle="Moeda"/>
    <tableColumn id="10" xr3:uid="{3B2B0944-1C8B-4757-A88C-864613BE65E6}" name="Glosa" dataDxfId="37" dataCellStyle="Moeda"/>
    <tableColumn id="3" xr3:uid="{9839073E-BCEC-4FAC-833C-E3FAD04BC910}" name="Data de emissão" dataDxfId="36"/>
    <tableColumn id="5" xr3:uid="{58604588-BFBE-4C1A-A69D-C4699D510ADE}" name="Status" dataDxfId="35"/>
    <tableColumn id="4" xr3:uid="{F969C48C-FDEB-466D-BD03-E990C0ACF74C}" name="Observação" dataDxfId="3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9D421-D07F-42FC-BA61-828471400120}">
  <sheetPr>
    <tabColor theme="4" tint="-0.499984740745262"/>
  </sheetPr>
  <dimension ref="A1:K22"/>
  <sheetViews>
    <sheetView showGridLines="0" zoomScale="120" zoomScaleNormal="120" workbookViewId="0">
      <selection activeCell="K18" sqref="K18"/>
    </sheetView>
  </sheetViews>
  <sheetFormatPr defaultRowHeight="14.4" x14ac:dyDescent="0.3"/>
  <cols>
    <col min="1" max="1" width="3.6640625" customWidth="1"/>
    <col min="2" max="2" width="54.77734375" bestFit="1" customWidth="1"/>
    <col min="3" max="3" width="14.44140625" bestFit="1" customWidth="1"/>
    <col min="4" max="4" width="12.21875" customWidth="1"/>
    <col min="5" max="5" width="11.44140625" customWidth="1"/>
    <col min="6" max="6" width="12" customWidth="1"/>
    <col min="7" max="7" width="10.88671875" customWidth="1"/>
    <col min="8" max="8" width="29.33203125" customWidth="1"/>
    <col min="9" max="9" width="9.44140625" customWidth="1"/>
    <col min="10" max="11" width="6.77734375" bestFit="1" customWidth="1"/>
    <col min="12" max="12" width="8.33203125" bestFit="1" customWidth="1"/>
  </cols>
  <sheetData>
    <row r="1" spans="1:11" ht="37.799999999999997" customHeight="1" x14ac:dyDescent="0.3">
      <c r="A1" s="90" t="s">
        <v>28</v>
      </c>
      <c r="B1" s="90"/>
      <c r="C1" s="90"/>
      <c r="D1" s="90"/>
      <c r="E1" s="90"/>
      <c r="F1" s="90"/>
      <c r="G1" s="90"/>
      <c r="H1" s="90"/>
      <c r="I1" s="90"/>
      <c r="J1" s="90"/>
      <c r="K1" s="90"/>
    </row>
    <row r="2" spans="1:11" ht="39.6" customHeight="1" x14ac:dyDescent="0.3">
      <c r="B2" s="91" t="s">
        <v>29</v>
      </c>
      <c r="C2" s="91"/>
      <c r="D2" s="91"/>
      <c r="E2" s="91"/>
      <c r="F2" s="91"/>
      <c r="G2" s="91"/>
      <c r="H2" s="91"/>
    </row>
    <row r="3" spans="1:11" ht="22.8" customHeight="1" x14ac:dyDescent="0.3">
      <c r="B3" s="75" t="s">
        <v>6</v>
      </c>
      <c r="C3" s="75" t="s">
        <v>7</v>
      </c>
      <c r="D3" s="75" t="s">
        <v>8</v>
      </c>
      <c r="E3" s="75" t="s">
        <v>9</v>
      </c>
      <c r="F3" s="75" t="s">
        <v>10</v>
      </c>
      <c r="G3" s="75" t="s">
        <v>11</v>
      </c>
      <c r="H3" s="75" t="s">
        <v>30</v>
      </c>
    </row>
    <row r="4" spans="1:11" ht="18" x14ac:dyDescent="0.35">
      <c r="B4" s="15" t="s">
        <v>18</v>
      </c>
      <c r="C4" s="16">
        <v>0.03</v>
      </c>
      <c r="D4" s="16">
        <v>0.05</v>
      </c>
      <c r="E4" s="16">
        <v>1.4999999999999999E-2</v>
      </c>
      <c r="F4" s="16">
        <v>6.4999999999999997E-3</v>
      </c>
      <c r="G4" s="17">
        <v>0.05</v>
      </c>
      <c r="H4" s="15"/>
    </row>
    <row r="5" spans="1:11" ht="18" x14ac:dyDescent="0.35">
      <c r="B5" s="15" t="s">
        <v>19</v>
      </c>
      <c r="C5" s="16">
        <v>2.4E-2</v>
      </c>
      <c r="D5" s="16">
        <v>0.05</v>
      </c>
      <c r="E5" s="16">
        <v>0.01</v>
      </c>
      <c r="F5" s="16">
        <v>2.5000000000000001E-2</v>
      </c>
      <c r="G5" s="17">
        <v>0.04</v>
      </c>
      <c r="H5" s="15"/>
    </row>
    <row r="6" spans="1:11" ht="18" x14ac:dyDescent="0.35">
      <c r="B6" s="15" t="s">
        <v>20</v>
      </c>
      <c r="C6" s="16">
        <v>0.01</v>
      </c>
      <c r="D6" s="16">
        <v>0.05</v>
      </c>
      <c r="E6" s="16">
        <v>0.06</v>
      </c>
      <c r="F6" s="16">
        <v>0.04</v>
      </c>
      <c r="G6" s="17">
        <v>0.01</v>
      </c>
      <c r="H6" s="15"/>
    </row>
    <row r="7" spans="1:11" ht="18" x14ac:dyDescent="0.35">
      <c r="B7" s="15" t="s">
        <v>21</v>
      </c>
      <c r="C7" s="16">
        <v>4.8000000000000001E-2</v>
      </c>
      <c r="D7" s="16">
        <v>0.02</v>
      </c>
      <c r="E7" s="16">
        <v>0.03</v>
      </c>
      <c r="F7" s="16">
        <v>0.04</v>
      </c>
      <c r="G7" s="17">
        <v>0.05</v>
      </c>
      <c r="H7" s="15"/>
    </row>
    <row r="8" spans="1:11" ht="18" x14ac:dyDescent="0.35">
      <c r="B8" s="15" t="s">
        <v>22</v>
      </c>
      <c r="C8" s="16">
        <v>0.03</v>
      </c>
      <c r="D8" s="16">
        <v>0.01</v>
      </c>
      <c r="E8" s="16">
        <v>1.4999999999999999E-2</v>
      </c>
      <c r="F8" s="16">
        <v>6.4999999999999997E-3</v>
      </c>
      <c r="G8" s="17">
        <v>0.03</v>
      </c>
      <c r="H8" s="15"/>
    </row>
    <row r="9" spans="1:11" ht="18" x14ac:dyDescent="0.35">
      <c r="B9" s="15" t="s">
        <v>23</v>
      </c>
      <c r="C9" s="16">
        <v>4.2000000000000003E-2</v>
      </c>
      <c r="D9" s="16">
        <v>0.04</v>
      </c>
      <c r="E9" s="16">
        <v>0.02</v>
      </c>
      <c r="F9" s="16">
        <v>6.4999999999999997E-3</v>
      </c>
      <c r="G9" s="17">
        <v>0.04</v>
      </c>
      <c r="H9" s="15"/>
    </row>
    <row r="10" spans="1:11" ht="18" x14ac:dyDescent="0.35">
      <c r="B10" s="18" t="s">
        <v>48</v>
      </c>
      <c r="C10" s="16"/>
      <c r="D10" s="16"/>
      <c r="E10" s="16"/>
      <c r="F10" s="17"/>
      <c r="G10" s="19"/>
      <c r="H10" s="15"/>
    </row>
    <row r="11" spans="1:11" x14ac:dyDescent="0.3">
      <c r="B11" s="2"/>
      <c r="C11" s="2"/>
      <c r="D11" s="2"/>
      <c r="F11" s="8"/>
      <c r="G11" s="3"/>
    </row>
    <row r="12" spans="1:11" x14ac:dyDescent="0.3">
      <c r="B12" s="2"/>
      <c r="C12" s="2"/>
      <c r="D12" s="2"/>
      <c r="E12" s="2"/>
      <c r="F12" s="8"/>
      <c r="G12" s="3"/>
    </row>
    <row r="13" spans="1:11" x14ac:dyDescent="0.3">
      <c r="B13" s="2"/>
      <c r="C13" s="2"/>
      <c r="D13" s="2"/>
      <c r="E13" s="2"/>
      <c r="F13" s="8"/>
      <c r="G13" s="3"/>
    </row>
    <row r="14" spans="1:11" x14ac:dyDescent="0.3">
      <c r="B14" s="2"/>
      <c r="C14" s="2"/>
      <c r="D14" s="2"/>
      <c r="E14" s="2"/>
      <c r="F14" s="8"/>
      <c r="G14" s="3"/>
    </row>
    <row r="15" spans="1:11" x14ac:dyDescent="0.3">
      <c r="B15" s="2"/>
      <c r="C15" s="2"/>
      <c r="D15" s="2"/>
      <c r="E15" s="2"/>
      <c r="F15" s="8"/>
      <c r="G15" s="3"/>
    </row>
    <row r="16" spans="1:11" x14ac:dyDescent="0.3">
      <c r="B16" s="2"/>
      <c r="C16" s="2"/>
      <c r="D16" s="2"/>
      <c r="E16" s="2"/>
      <c r="F16" s="8"/>
      <c r="G16" s="3"/>
    </row>
    <row r="17" spans="2:7" x14ac:dyDescent="0.3">
      <c r="B17" s="2"/>
      <c r="C17" s="2"/>
      <c r="D17" s="2"/>
      <c r="E17" s="2"/>
      <c r="F17" s="8"/>
      <c r="G17" s="3"/>
    </row>
    <row r="18" spans="2:7" x14ac:dyDescent="0.3">
      <c r="B18" s="2"/>
      <c r="C18" s="2"/>
      <c r="D18" s="2"/>
      <c r="E18" s="2"/>
      <c r="F18" s="8"/>
      <c r="G18" s="3"/>
    </row>
    <row r="19" spans="2:7" x14ac:dyDescent="0.3">
      <c r="B19" s="2"/>
      <c r="C19" s="2"/>
      <c r="D19" s="2"/>
      <c r="E19" s="2"/>
      <c r="F19" s="8"/>
      <c r="G19" s="3"/>
    </row>
    <row r="20" spans="2:7" x14ac:dyDescent="0.3">
      <c r="B20" s="2"/>
      <c r="C20" s="2"/>
      <c r="D20" s="2"/>
      <c r="E20" s="2"/>
      <c r="F20" s="8"/>
      <c r="G20" s="3"/>
    </row>
    <row r="21" spans="2:7" x14ac:dyDescent="0.3">
      <c r="B21" s="2"/>
      <c r="C21" s="2"/>
      <c r="D21" s="2"/>
      <c r="E21" s="2"/>
      <c r="F21" s="8"/>
    </row>
    <row r="22" spans="2:7" x14ac:dyDescent="0.3">
      <c r="B22" s="2"/>
      <c r="C22" s="2"/>
      <c r="D22" s="2"/>
      <c r="E22" s="2"/>
      <c r="F22" s="8"/>
      <c r="G22" s="3"/>
    </row>
  </sheetData>
  <mergeCells count="2">
    <mergeCell ref="B2:H2"/>
    <mergeCell ref="A1:K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0F6C5-CC0E-4A46-AD34-5F656540F144}">
  <sheetPr>
    <tabColor theme="4" tint="-0.499984740745262"/>
  </sheetPr>
  <dimension ref="A1:O27"/>
  <sheetViews>
    <sheetView showGridLines="0" zoomScale="70" zoomScaleNormal="70" workbookViewId="0">
      <selection activeCell="A6" sqref="A6:K6"/>
    </sheetView>
  </sheetViews>
  <sheetFormatPr defaultRowHeight="14.4" x14ac:dyDescent="0.3"/>
  <cols>
    <col min="1" max="1" width="20.109375" customWidth="1"/>
    <col min="2" max="2" width="20.5546875" customWidth="1"/>
    <col min="3" max="3" width="34.88671875" style="9" customWidth="1"/>
    <col min="4" max="4" width="15.6640625" customWidth="1"/>
    <col min="5" max="5" width="27.109375" style="9" customWidth="1"/>
    <col min="6" max="6" width="20.77734375" style="10" customWidth="1"/>
    <col min="7" max="7" width="26" style="7" customWidth="1"/>
    <col min="8" max="8" width="18.88671875" style="7" customWidth="1"/>
    <col min="9" max="9" width="24.5546875" customWidth="1"/>
    <col min="10" max="10" width="19.88671875" customWidth="1"/>
    <col min="11" max="11" width="32" customWidth="1"/>
  </cols>
  <sheetData>
    <row r="1" spans="1:15" ht="39" customHeight="1" x14ac:dyDescent="0.3">
      <c r="A1" s="92" t="s">
        <v>31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</row>
    <row r="2" spans="1:15" ht="21.6" customHeight="1" x14ac:dyDescent="0.3"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5" ht="28.8" x14ac:dyDescent="0.3">
      <c r="A3" s="28"/>
      <c r="B3" s="93" t="s">
        <v>46</v>
      </c>
      <c r="C3" s="94"/>
      <c r="E3" s="93" t="s">
        <v>47</v>
      </c>
      <c r="F3" s="94"/>
      <c r="H3" s="99" t="s">
        <v>51</v>
      </c>
      <c r="I3" s="100"/>
      <c r="K3" s="30" t="s">
        <v>52</v>
      </c>
    </row>
    <row r="4" spans="1:15" ht="28.8" x14ac:dyDescent="0.55000000000000004">
      <c r="B4" s="95">
        <f>COUNTA(tabEntrega_Fat[PROTOCOLO])</f>
        <v>21</v>
      </c>
      <c r="C4" s="96"/>
      <c r="E4" s="97">
        <f>SUM(tabEntrega_Fat[VALAOR APRESENTADO])</f>
        <v>6940261</v>
      </c>
      <c r="F4" s="98"/>
      <c r="H4" s="101">
        <f>SUM(tabEntrega_Fat[A EMITIR])</f>
        <v>63201</v>
      </c>
      <c r="I4" s="102"/>
      <c r="K4" s="31">
        <f>COUNTIF(tabEntrega_Fat[STATUS],"Pendente")</f>
        <v>1</v>
      </c>
    </row>
    <row r="5" spans="1:15" x14ac:dyDescent="0.3">
      <c r="B5" s="29"/>
      <c r="E5"/>
    </row>
    <row r="6" spans="1:15" ht="18" x14ac:dyDescent="0.3">
      <c r="A6" s="75" t="s">
        <v>33</v>
      </c>
      <c r="B6" s="75" t="s">
        <v>34</v>
      </c>
      <c r="C6" s="75" t="s">
        <v>6</v>
      </c>
      <c r="D6" s="75" t="s">
        <v>35</v>
      </c>
      <c r="E6" s="75" t="s">
        <v>36</v>
      </c>
      <c r="F6" s="75" t="s">
        <v>37</v>
      </c>
      <c r="G6" s="75" t="s">
        <v>38</v>
      </c>
      <c r="H6" s="76" t="s">
        <v>39</v>
      </c>
      <c r="I6" s="75" t="s">
        <v>40</v>
      </c>
      <c r="J6" s="75" t="s">
        <v>32</v>
      </c>
      <c r="K6" s="75" t="s">
        <v>30</v>
      </c>
    </row>
    <row r="7" spans="1:15" x14ac:dyDescent="0.3">
      <c r="A7" s="22">
        <v>46023</v>
      </c>
      <c r="B7" s="14" t="s">
        <v>17</v>
      </c>
      <c r="C7" s="27" t="s">
        <v>18</v>
      </c>
      <c r="D7" s="14" t="s">
        <v>25</v>
      </c>
      <c r="E7" s="55">
        <v>87974</v>
      </c>
      <c r="F7" s="23" t="s">
        <v>60</v>
      </c>
      <c r="G7" s="21">
        <v>5236</v>
      </c>
      <c r="H7" s="24"/>
      <c r="I7" s="25">
        <v>46056</v>
      </c>
      <c r="J7" s="26" t="s">
        <v>41</v>
      </c>
      <c r="K7" s="14"/>
    </row>
    <row r="8" spans="1:15" x14ac:dyDescent="0.3">
      <c r="A8" s="22">
        <v>46023</v>
      </c>
      <c r="B8" s="14" t="s">
        <v>17</v>
      </c>
      <c r="C8" s="27" t="s">
        <v>19</v>
      </c>
      <c r="D8" s="14" t="s">
        <v>26</v>
      </c>
      <c r="E8" s="55">
        <v>37574</v>
      </c>
      <c r="F8" s="23">
        <v>4848</v>
      </c>
      <c r="G8" s="21">
        <v>23479</v>
      </c>
      <c r="H8" s="24" t="str">
        <f>IF(tabControle_NF[[#This Row],[Valor NF]]="","",tabEntrega_Fat[[#This Row],[VALAOR APRESENTADO]]-tabControle_NF[[#This Row],[Valor NF]])</f>
        <v/>
      </c>
      <c r="I8" s="25">
        <v>46056</v>
      </c>
      <c r="J8" s="26" t="s">
        <v>42</v>
      </c>
      <c r="K8" s="14"/>
    </row>
    <row r="9" spans="1:15" x14ac:dyDescent="0.3">
      <c r="A9" s="22">
        <v>46023</v>
      </c>
      <c r="B9" s="14" t="s">
        <v>24</v>
      </c>
      <c r="C9" s="27" t="s">
        <v>20</v>
      </c>
      <c r="D9" s="14" t="s">
        <v>25</v>
      </c>
      <c r="E9" s="55">
        <v>75462</v>
      </c>
      <c r="F9" s="23">
        <v>58488</v>
      </c>
      <c r="G9" s="21">
        <v>5659</v>
      </c>
      <c r="H9" s="24" t="str">
        <f>IF(tabControle_NF[[#This Row],[Valor NF]]="","",tabEntrega_Fat[[#This Row],[VALAOR APRESENTADO]]-tabControle_NF[[#This Row],[Valor NF]])</f>
        <v/>
      </c>
      <c r="I9" s="25">
        <v>46056</v>
      </c>
      <c r="J9" s="25"/>
      <c r="K9" s="14"/>
    </row>
    <row r="10" spans="1:15" x14ac:dyDescent="0.3">
      <c r="A10" s="22">
        <v>46023</v>
      </c>
      <c r="B10" s="14" t="s">
        <v>17</v>
      </c>
      <c r="C10" s="27" t="s">
        <v>21</v>
      </c>
      <c r="D10" s="14" t="s">
        <v>25</v>
      </c>
      <c r="E10" s="55">
        <v>60980</v>
      </c>
      <c r="F10" s="23">
        <v>26595</v>
      </c>
      <c r="G10" s="21">
        <v>2657</v>
      </c>
      <c r="H10" s="24" t="str">
        <f>IF(tabControle_NF[[#This Row],[Valor NF]]="","",tabEntrega_Fat[[#This Row],[VALAOR APRESENTADO]]-tabControle_NF[[#This Row],[Valor NF]])</f>
        <v/>
      </c>
      <c r="I10" s="25">
        <v>46056</v>
      </c>
      <c r="J10" s="25"/>
      <c r="K10" s="14"/>
    </row>
    <row r="11" spans="1:15" x14ac:dyDescent="0.3">
      <c r="A11" s="22">
        <v>46023</v>
      </c>
      <c r="B11" s="14" t="s">
        <v>24</v>
      </c>
      <c r="C11" s="27" t="s">
        <v>23</v>
      </c>
      <c r="D11" s="14" t="s">
        <v>25</v>
      </c>
      <c r="E11" s="55">
        <v>78981</v>
      </c>
      <c r="F11" s="23">
        <v>2563</v>
      </c>
      <c r="G11" s="21">
        <v>5959</v>
      </c>
      <c r="H11" s="24">
        <f>IF(tabControle_NF[[#This Row],[Valor NF]]="","",tabEntrega_Fat[[#This Row],[VALAOR APRESENTADO]]-tabControle_NF[[#This Row],[Valor NF]])</f>
        <v>3959</v>
      </c>
      <c r="I11" s="25">
        <v>46056</v>
      </c>
      <c r="J11" s="25"/>
      <c r="K11" s="14"/>
    </row>
    <row r="12" spans="1:15" x14ac:dyDescent="0.3">
      <c r="A12" s="22">
        <v>46023</v>
      </c>
      <c r="B12" s="14" t="s">
        <v>17</v>
      </c>
      <c r="C12" s="27" t="s">
        <v>23</v>
      </c>
      <c r="D12" s="14" t="s">
        <v>26</v>
      </c>
      <c r="E12" s="55">
        <v>17320</v>
      </c>
      <c r="F12" s="23">
        <v>557</v>
      </c>
      <c r="G12" s="21">
        <v>1469</v>
      </c>
      <c r="H12" s="24">
        <f>IF(tabControle_NF[[#This Row],[Valor NF]]="","",tabEntrega_Fat[[#This Row],[VALAOR APRESENTADO]]-tabControle_NF[[#This Row],[Valor NF]])</f>
        <v>-531</v>
      </c>
      <c r="I12" s="25">
        <v>46056</v>
      </c>
      <c r="J12" s="25"/>
      <c r="K12" s="14"/>
    </row>
    <row r="13" spans="1:15" x14ac:dyDescent="0.3">
      <c r="A13" s="22">
        <v>46054</v>
      </c>
      <c r="B13" s="14" t="s">
        <v>24</v>
      </c>
      <c r="C13" s="27" t="s">
        <v>18</v>
      </c>
      <c r="D13" s="14" t="s">
        <v>26</v>
      </c>
      <c r="E13" s="55">
        <v>23529</v>
      </c>
      <c r="F13" s="23">
        <v>2828</v>
      </c>
      <c r="G13" s="21">
        <v>62626</v>
      </c>
      <c r="H13" s="24">
        <f>IF(tabControle_NF[[#This Row],[Valor NF]]="","",tabEntrega_Fat[[#This Row],[VALAOR APRESENTADO]]-tabControle_NF[[#This Row],[Valor NF]])</f>
        <v>60626</v>
      </c>
      <c r="I13" s="25">
        <v>46084</v>
      </c>
      <c r="J13" s="25"/>
      <c r="K13" s="14"/>
    </row>
    <row r="14" spans="1:15" x14ac:dyDescent="0.3">
      <c r="A14" s="22">
        <v>46054</v>
      </c>
      <c r="B14" s="14" t="s">
        <v>17</v>
      </c>
      <c r="C14" s="27" t="s">
        <v>19</v>
      </c>
      <c r="D14" s="14" t="s">
        <v>27</v>
      </c>
      <c r="E14" s="55">
        <v>47182</v>
      </c>
      <c r="F14" s="23">
        <v>56</v>
      </c>
      <c r="G14" s="21">
        <v>79</v>
      </c>
      <c r="H14" s="24" t="str">
        <f>IF(tabControle_NF[[#This Row],[Valor NF]]="","",tabEntrega_Fat[[#This Row],[VALAOR APRESENTADO]]-tabControle_NF[[#This Row],[Valor NF]])</f>
        <v/>
      </c>
      <c r="I14" s="25">
        <v>46084</v>
      </c>
      <c r="J14" s="25"/>
      <c r="K14" s="14"/>
    </row>
    <row r="15" spans="1:15" x14ac:dyDescent="0.3">
      <c r="A15" s="22">
        <v>46054</v>
      </c>
      <c r="B15" s="14" t="s">
        <v>24</v>
      </c>
      <c r="C15" s="27" t="s">
        <v>22</v>
      </c>
      <c r="D15" s="14" t="s">
        <v>27</v>
      </c>
      <c r="E15" s="55">
        <v>59521</v>
      </c>
      <c r="F15" s="23" t="s">
        <v>62</v>
      </c>
      <c r="G15" s="21">
        <v>1465262</v>
      </c>
      <c r="H15" s="24" t="str">
        <f>IF(tabControle_NF[[#This Row],[Valor NF]]="","",tabEntrega_Fat[[#This Row],[VALAOR APRESENTADO]]-tabControle_NF[[#This Row],[Valor NF]])</f>
        <v/>
      </c>
      <c r="I15" s="25">
        <v>46084</v>
      </c>
      <c r="J15" s="25"/>
      <c r="K15" s="14"/>
    </row>
    <row r="16" spans="1:15" x14ac:dyDescent="0.3">
      <c r="A16" s="22">
        <v>46082</v>
      </c>
      <c r="B16" s="14" t="s">
        <v>17</v>
      </c>
      <c r="C16" s="27" t="s">
        <v>18</v>
      </c>
      <c r="D16" s="14" t="s">
        <v>27</v>
      </c>
      <c r="E16" s="55">
        <v>10872</v>
      </c>
      <c r="F16" s="23">
        <v>2848</v>
      </c>
      <c r="G16" s="21">
        <v>2539</v>
      </c>
      <c r="H16" s="24" t="str">
        <f>IF(tabControle_NF[[#This Row],[Valor NF]]="","",tabEntrega_Fat[[#This Row],[VALAOR APRESENTADO]]-tabControle_NF[[#This Row],[Valor NF]])</f>
        <v/>
      </c>
      <c r="I16" s="25">
        <v>46084</v>
      </c>
      <c r="J16" s="25"/>
      <c r="K16" s="14"/>
    </row>
    <row r="17" spans="1:11" x14ac:dyDescent="0.3">
      <c r="A17" s="22">
        <v>46082</v>
      </c>
      <c r="B17" s="14" t="s">
        <v>24</v>
      </c>
      <c r="C17" s="27" t="s">
        <v>21</v>
      </c>
      <c r="D17" s="14" t="s">
        <v>26</v>
      </c>
      <c r="E17" s="55">
        <v>95281</v>
      </c>
      <c r="F17" s="23" t="s">
        <v>61</v>
      </c>
      <c r="G17" s="21">
        <v>2647</v>
      </c>
      <c r="H17" s="24">
        <f>IF(tabControle_NF[[#This Row],[Valor NF]]="","",tabEntrega_Fat[[#This Row],[VALAOR APRESENTADO]]-tabControle_NF[[#This Row],[Valor NF]])</f>
        <v>647</v>
      </c>
      <c r="I17" s="25">
        <v>46119</v>
      </c>
      <c r="J17" s="25"/>
      <c r="K17" s="14"/>
    </row>
    <row r="18" spans="1:11" x14ac:dyDescent="0.3">
      <c r="A18" s="22">
        <v>46082</v>
      </c>
      <c r="B18" s="14" t="s">
        <v>24</v>
      </c>
      <c r="C18" s="27" t="s">
        <v>22</v>
      </c>
      <c r="D18" s="14" t="s">
        <v>25</v>
      </c>
      <c r="E18" s="55">
        <v>15250</v>
      </c>
      <c r="F18" s="23" t="s">
        <v>64</v>
      </c>
      <c r="G18" s="21">
        <v>2469</v>
      </c>
      <c r="H18" s="24" t="str">
        <f>IF(tabControle_NF[[#This Row],[Valor NF]]="","",tabEntrega_Fat[[#This Row],[VALAOR APRESENTADO]]-tabControle_NF[[#This Row],[Valor NF]])</f>
        <v/>
      </c>
      <c r="I18" s="25">
        <v>46119</v>
      </c>
      <c r="J18" s="25"/>
      <c r="K18" s="14"/>
    </row>
    <row r="19" spans="1:11" x14ac:dyDescent="0.3">
      <c r="A19" s="22">
        <v>46113</v>
      </c>
      <c r="B19" s="14" t="s">
        <v>24</v>
      </c>
      <c r="C19" s="27" t="s">
        <v>18</v>
      </c>
      <c r="D19" s="14" t="s">
        <v>25</v>
      </c>
      <c r="E19" s="55">
        <v>12517</v>
      </c>
      <c r="F19" s="23" t="s">
        <v>61</v>
      </c>
      <c r="G19" s="21">
        <v>23647</v>
      </c>
      <c r="H19" s="24" t="str">
        <f>IF(tabControle_NF[[#This Row],[Valor NF]]="","",tabEntrega_Fat[[#This Row],[VALAOR APRESENTADO]]-tabControle_NF[[#This Row],[Valor NF]])</f>
        <v/>
      </c>
      <c r="I19" s="25">
        <v>46147</v>
      </c>
      <c r="J19" s="25"/>
      <c r="K19" s="14"/>
    </row>
    <row r="20" spans="1:11" x14ac:dyDescent="0.3">
      <c r="A20" s="22">
        <v>46113</v>
      </c>
      <c r="B20" s="14" t="s">
        <v>17</v>
      </c>
      <c r="C20" s="27" t="s">
        <v>20</v>
      </c>
      <c r="D20" s="14" t="s">
        <v>27</v>
      </c>
      <c r="E20" s="55">
        <v>87772</v>
      </c>
      <c r="F20" s="23">
        <v>26</v>
      </c>
      <c r="G20" s="21">
        <v>6565</v>
      </c>
      <c r="H20" s="24" t="str">
        <f>IF(tabControle_NF[[#This Row],[Valor NF]]="","",tabEntrega_Fat[[#This Row],[VALAOR APRESENTADO]]-tabControle_NF[[#This Row],[Valor NF]])</f>
        <v/>
      </c>
      <c r="I20" s="25">
        <v>46147</v>
      </c>
      <c r="J20" s="25"/>
      <c r="K20" s="14"/>
    </row>
    <row r="21" spans="1:11" x14ac:dyDescent="0.3">
      <c r="A21" s="22">
        <v>46113</v>
      </c>
      <c r="B21" s="14" t="s">
        <v>17</v>
      </c>
      <c r="C21" s="27" t="s">
        <v>22</v>
      </c>
      <c r="D21" s="14" t="s">
        <v>26</v>
      </c>
      <c r="E21" s="55">
        <v>64187</v>
      </c>
      <c r="F21" s="23">
        <v>2555</v>
      </c>
      <c r="G21" s="21">
        <v>2364</v>
      </c>
      <c r="H21" s="24" t="str">
        <f>IF(tabControle_NF[[#This Row],[Valor NF]]="","",tabEntrega_Fat[[#This Row],[VALAOR APRESENTADO]]-tabControle_NF[[#This Row],[Valor NF]])</f>
        <v/>
      </c>
      <c r="I21" s="25">
        <v>46147</v>
      </c>
      <c r="J21" s="25"/>
      <c r="K21" s="14"/>
    </row>
    <row r="22" spans="1:11" x14ac:dyDescent="0.3">
      <c r="A22" s="22">
        <v>46113</v>
      </c>
      <c r="B22" s="14" t="s">
        <v>17</v>
      </c>
      <c r="C22" s="27" t="s">
        <v>22</v>
      </c>
      <c r="D22" s="14" t="s">
        <v>27</v>
      </c>
      <c r="E22" s="55" t="s">
        <v>63</v>
      </c>
      <c r="F22" s="23" t="s">
        <v>62</v>
      </c>
      <c r="G22" s="21">
        <v>49849</v>
      </c>
      <c r="H22" s="24" t="str">
        <f>IF(tabControle_NF[[#This Row],[Valor NF]]="","",tabEntrega_Fat[[#This Row],[VALAOR APRESENTADO]]-tabControle_NF[[#This Row],[Valor NF]])</f>
        <v/>
      </c>
      <c r="I22" s="25">
        <v>46147</v>
      </c>
      <c r="J22" s="25"/>
      <c r="K22" s="14"/>
    </row>
    <row r="23" spans="1:11" x14ac:dyDescent="0.3">
      <c r="A23" s="22">
        <v>46143</v>
      </c>
      <c r="B23" s="14" t="s">
        <v>17</v>
      </c>
      <c r="C23" s="27" t="s">
        <v>20</v>
      </c>
      <c r="D23" s="14" t="s">
        <v>26</v>
      </c>
      <c r="E23" s="55">
        <v>12484</v>
      </c>
      <c r="F23" s="23" t="s">
        <v>61</v>
      </c>
      <c r="G23" s="21">
        <v>6595</v>
      </c>
      <c r="H23" s="24" t="str">
        <f>IF(tabControle_NF[[#This Row],[Valor NF]]="","",tabEntrega_Fat[[#This Row],[VALAOR APRESENTADO]]-tabControle_NF[[#This Row],[Valor NF]])</f>
        <v/>
      </c>
      <c r="I23" s="25">
        <v>46179</v>
      </c>
      <c r="J23" s="25"/>
      <c r="K23" s="14"/>
    </row>
    <row r="24" spans="1:11" x14ac:dyDescent="0.3">
      <c r="A24" s="22">
        <v>46143</v>
      </c>
      <c r="B24" s="14" t="s">
        <v>17</v>
      </c>
      <c r="C24" s="27" t="s">
        <v>21</v>
      </c>
      <c r="D24" s="14" t="s">
        <v>27</v>
      </c>
      <c r="E24" s="55">
        <v>90740</v>
      </c>
      <c r="F24" s="23" t="s">
        <v>64</v>
      </c>
      <c r="G24" s="21">
        <v>2695</v>
      </c>
      <c r="H24" s="24" t="str">
        <f>IF(tabControle_NF[[#This Row],[Valor NF]]="","",tabEntrega_Fat[[#This Row],[VALAOR APRESENTADO]]-tabControle_NF[[#This Row],[Valor NF]])</f>
        <v/>
      </c>
      <c r="I24" s="25">
        <v>46179</v>
      </c>
      <c r="J24" s="25"/>
      <c r="K24" s="14"/>
    </row>
    <row r="25" spans="1:11" x14ac:dyDescent="0.3">
      <c r="A25" s="22">
        <v>46174</v>
      </c>
      <c r="B25" s="14" t="s">
        <v>24</v>
      </c>
      <c r="C25" s="27" t="s">
        <v>23</v>
      </c>
      <c r="D25" s="14" t="s">
        <v>27</v>
      </c>
      <c r="E25" s="55">
        <v>49473</v>
      </c>
      <c r="F25" s="23">
        <v>26959</v>
      </c>
      <c r="G25" s="21">
        <v>500</v>
      </c>
      <c r="H25" s="24">
        <f>IF(tabControle_NF[[#This Row],[Valor NF]]="","",tabEntrega_Fat[[#This Row],[VALAOR APRESENTADO]]-tabControle_NF[[#This Row],[Valor NF]])</f>
        <v>-1500</v>
      </c>
      <c r="I25" s="25">
        <v>46210</v>
      </c>
      <c r="J25" s="25"/>
      <c r="K25" s="14"/>
    </row>
    <row r="26" spans="1:11" x14ac:dyDescent="0.3">
      <c r="A26" s="22">
        <v>46204</v>
      </c>
      <c r="B26" s="14" t="s">
        <v>17</v>
      </c>
      <c r="C26" s="27" t="s">
        <v>23</v>
      </c>
      <c r="D26" s="14" t="s">
        <v>25</v>
      </c>
      <c r="E26" s="55">
        <v>88408</v>
      </c>
      <c r="F26" s="23">
        <v>2626925</v>
      </c>
      <c r="G26" s="21">
        <v>5265965</v>
      </c>
      <c r="H26" s="24"/>
      <c r="I26" s="25">
        <v>46235</v>
      </c>
      <c r="J26" s="25"/>
      <c r="K26" s="14"/>
    </row>
    <row r="27" spans="1:11" x14ac:dyDescent="0.3">
      <c r="A27" s="48">
        <v>46054</v>
      </c>
      <c r="B27" s="49" t="s">
        <v>24</v>
      </c>
      <c r="C27" s="27" t="s">
        <v>19</v>
      </c>
      <c r="D27" s="14" t="s">
        <v>25</v>
      </c>
      <c r="E27" s="56">
        <v>97379</v>
      </c>
      <c r="F27" s="53">
        <v>4848</v>
      </c>
      <c r="G27" s="50">
        <v>2000</v>
      </c>
      <c r="H27" s="54"/>
      <c r="I27" s="51"/>
      <c r="J27" s="51"/>
      <c r="K27" s="52"/>
    </row>
  </sheetData>
  <mergeCells count="7">
    <mergeCell ref="A1:O1"/>
    <mergeCell ref="B3:C3"/>
    <mergeCell ref="B4:C4"/>
    <mergeCell ref="E3:F3"/>
    <mergeCell ref="E4:F4"/>
    <mergeCell ref="H3:I3"/>
    <mergeCell ref="H4:I4"/>
  </mergeCells>
  <phoneticPr fontId="3" type="noConversion"/>
  <conditionalFormatting sqref="J6:J27">
    <cfRule type="cellIs" dxfId="4" priority="1" operator="equal">
      <formula>"Pendente"</formula>
    </cfRule>
    <cfRule type="cellIs" dxfId="3" priority="2" operator="equal">
      <formula>"Entregue"</formula>
    </cfRule>
  </conditionalFormatting>
  <dataValidations count="2">
    <dataValidation type="list" allowBlank="1" showInputMessage="1" showErrorMessage="1" sqref="B7:B27" xr:uid="{981F6C3F-E3F9-450D-9BF5-5EA308E1620F}">
      <formula1>"Agudo, Crônico"</formula1>
    </dataValidation>
    <dataValidation type="list" allowBlank="1" showInputMessage="1" showErrorMessage="1" sqref="J7" xr:uid="{1212FA78-8F0D-4417-A57F-8E217D305CF2}">
      <formula1>"Entregue,Pendente"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4E2F7-4609-4697-8CEB-C14657EFB2C8}">
  <sheetPr>
    <tabColor theme="4" tint="-0.499984740745262"/>
  </sheetPr>
  <dimension ref="A1:O14"/>
  <sheetViews>
    <sheetView showGridLines="0" zoomScale="80" zoomScaleNormal="80" workbookViewId="0">
      <selection activeCell="L19" sqref="L19"/>
    </sheetView>
  </sheetViews>
  <sheetFormatPr defaultRowHeight="25.8" x14ac:dyDescent="0.5"/>
  <cols>
    <col min="2" max="2" width="51.21875" style="42" bestFit="1" customWidth="1"/>
    <col min="3" max="3" width="24.6640625" customWidth="1"/>
    <col min="4" max="4" width="13.44140625" bestFit="1" customWidth="1"/>
    <col min="5" max="5" width="26.33203125" bestFit="1" customWidth="1"/>
    <col min="6" max="6" width="26.77734375" customWidth="1"/>
    <col min="7" max="7" width="27.44140625" customWidth="1"/>
    <col min="8" max="8" width="15.44140625" bestFit="1" customWidth="1"/>
    <col min="9" max="9" width="23.33203125" bestFit="1" customWidth="1"/>
    <col min="10" max="10" width="30.6640625" customWidth="1"/>
  </cols>
  <sheetData>
    <row r="1" spans="1:15" ht="48" customHeight="1" x14ac:dyDescent="0.3">
      <c r="A1" s="90" t="s">
        <v>50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</row>
    <row r="2" spans="1:15" x14ac:dyDescent="0.5">
      <c r="A2" s="4"/>
      <c r="C2" s="4"/>
      <c r="D2" s="4"/>
      <c r="E2" s="4"/>
      <c r="F2" s="4"/>
      <c r="G2" s="4"/>
      <c r="H2" s="4"/>
      <c r="I2" s="4"/>
      <c r="J2" s="4"/>
    </row>
    <row r="3" spans="1:15" x14ac:dyDescent="0.5">
      <c r="A3" s="4"/>
      <c r="B3" s="43" t="s">
        <v>6</v>
      </c>
      <c r="E3" s="77" t="s">
        <v>53</v>
      </c>
      <c r="F3" s="77" t="s">
        <v>55</v>
      </c>
      <c r="G3" s="77" t="s">
        <v>56</v>
      </c>
      <c r="H3" s="32"/>
    </row>
    <row r="4" spans="1:15" ht="27.6" customHeight="1" x14ac:dyDescent="0.5">
      <c r="A4" s="4"/>
      <c r="B4" s="44" t="s">
        <v>19</v>
      </c>
      <c r="E4" s="36" t="s">
        <v>7</v>
      </c>
      <c r="F4" s="34">
        <f>_xlfn.XLOOKUP(B4,Tab_impostos[CONVÊNIO],Tab_impostos[COFINS])</f>
        <v>2.4E-2</v>
      </c>
      <c r="G4" s="37" cm="1">
        <f t="array" ref="G4">ROUND(B7*_xlfn.XLOOKUP(B4,Tab_impostos[[#All],[CONVÊNIO]],Tab_impostos[[#All],[COFINS]]),2)</f>
        <v>192</v>
      </c>
      <c r="H4" s="32"/>
    </row>
    <row r="5" spans="1:15" x14ac:dyDescent="0.5">
      <c r="A5" s="4"/>
      <c r="E5" s="38" t="s">
        <v>8</v>
      </c>
      <c r="F5" s="34">
        <f>_xlfn.XLOOKUP(B4,Tab_impostos[CONVÊNIO],Tab_impostos[CSLL])</f>
        <v>0.05</v>
      </c>
      <c r="G5" s="37" cm="1">
        <f t="array" ref="G5">ROUND(B7*_xlfn.XLOOKUP(B4,Tab_impostos[[#All],[CONVÊNIO]],Tab_impostos[[#All],[CSLL]]),2)</f>
        <v>400</v>
      </c>
      <c r="H5" s="32"/>
    </row>
    <row r="6" spans="1:15" x14ac:dyDescent="0.5">
      <c r="A6" s="4"/>
      <c r="B6" s="43" t="s">
        <v>49</v>
      </c>
      <c r="C6" s="4"/>
      <c r="D6" s="4"/>
      <c r="E6" s="38" t="s">
        <v>54</v>
      </c>
      <c r="F6" s="34">
        <f>_xlfn.XLOOKUP(B4,Tab_impostos[CONVÊNIO],Tab_impostos[COFINS])</f>
        <v>2.4E-2</v>
      </c>
      <c r="G6" s="37" cm="1">
        <f t="array" ref="G6">ROUND($B$7*_xlfn.XLOOKUP($B$4,Tab_impostos[[#All],[CONVÊNIO]],Tab_impostos[[#All],[IRPJ]]),2)</f>
        <v>80</v>
      </c>
      <c r="H6" s="32"/>
      <c r="I6" s="4"/>
      <c r="J6" s="4"/>
    </row>
    <row r="7" spans="1:15" x14ac:dyDescent="0.5">
      <c r="B7" s="45">
        <v>8000</v>
      </c>
      <c r="E7" s="38" t="s">
        <v>10</v>
      </c>
      <c r="F7" s="34">
        <f>_xlfn.XLOOKUP(B$4,Tab_impostos[CONVÊNIO],Tab_impostos[PIS])</f>
        <v>2.5000000000000001E-2</v>
      </c>
      <c r="G7" s="37" cm="1">
        <f t="array" ref="G7">ROUND($B$7*_xlfn.XLOOKUP($B$4,Tab_impostos[[#All],[CONVÊNIO]],Tab_impostos[[#All],[PIS]]),2)</f>
        <v>200</v>
      </c>
      <c r="H7" s="32"/>
    </row>
    <row r="8" spans="1:15" x14ac:dyDescent="0.5">
      <c r="E8" s="38" t="s">
        <v>11</v>
      </c>
      <c r="F8" s="34">
        <f>_xlfn.XLOOKUP(B$4,Tab_impostos[CONVÊNIO],Tab_impostos[ISS])</f>
        <v>0.04</v>
      </c>
      <c r="G8" s="37" cm="1">
        <f t="array" ref="G8">ROUND($B$7*_xlfn.XLOOKUP($B$4,Tab_impostos[[#All],[CONVÊNIO]],Tab_impostos[[#All],[ISS]]),2)</f>
        <v>320</v>
      </c>
      <c r="H8" s="32"/>
    </row>
    <row r="9" spans="1:15" x14ac:dyDescent="0.5">
      <c r="E9" s="39" t="s">
        <v>12</v>
      </c>
      <c r="F9" s="35">
        <f>IF(Tabela1[[#This Row],[VALOR]]="","",Tabela1[[#This Row],[VALOR]]/B7)</f>
        <v>7.2750000000000002E-3</v>
      </c>
      <c r="G9" s="40">
        <v>58.2</v>
      </c>
      <c r="H9" s="32"/>
    </row>
    <row r="10" spans="1:15" ht="42" customHeight="1" x14ac:dyDescent="0.5">
      <c r="E10" s="33" t="s">
        <v>59</v>
      </c>
      <c r="F10" s="88">
        <f>SUM(F4:F9)</f>
        <v>0.17027500000000001</v>
      </c>
      <c r="G10" s="89">
        <f>SUM(G4:G9)</f>
        <v>1250.2</v>
      </c>
      <c r="H10" s="32"/>
    </row>
    <row r="11" spans="1:15" ht="15.6" customHeight="1" x14ac:dyDescent="0.5">
      <c r="E11" s="32"/>
      <c r="F11" s="32"/>
      <c r="G11" s="32"/>
      <c r="H11" s="32"/>
    </row>
    <row r="12" spans="1:15" x14ac:dyDescent="0.5">
      <c r="E12" s="103" t="s">
        <v>57</v>
      </c>
      <c r="F12" s="104"/>
      <c r="G12" s="105"/>
      <c r="H12" s="32"/>
    </row>
    <row r="13" spans="1:15" x14ac:dyDescent="0.5">
      <c r="E13" s="106">
        <f>SUM(G4:G8)</f>
        <v>1192</v>
      </c>
      <c r="F13" s="107"/>
      <c r="G13" s="107"/>
      <c r="H13" s="47"/>
    </row>
    <row r="14" spans="1:15" x14ac:dyDescent="0.5">
      <c r="E14" s="46"/>
      <c r="F14" s="46"/>
      <c r="G14" s="46"/>
      <c r="H14" s="32"/>
    </row>
  </sheetData>
  <mergeCells count="3">
    <mergeCell ref="E12:G12"/>
    <mergeCell ref="E13:G13"/>
    <mergeCell ref="A1:O1"/>
  </mergeCells>
  <pageMargins left="0.511811024" right="0.511811024" top="0.78740157499999996" bottom="0.78740157499999996" header="0.31496062000000002" footer="0.31496062000000002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E3C453A-2573-45EF-B769-8384442518A8}">
          <x14:formula1>
            <xm:f>Cadastros!$B$4:$B$10</xm:f>
          </x14:formula1>
          <xm:sqref>B4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440F6-7C9B-46EF-868E-C0103168C7EC}">
  <sheetPr>
    <tabColor theme="4" tint="-0.499984740745262"/>
  </sheetPr>
  <dimension ref="A1:Q26"/>
  <sheetViews>
    <sheetView showGridLines="0" zoomScale="85" zoomScaleNormal="85" workbookViewId="0">
      <selection activeCell="H32" sqref="H32"/>
    </sheetView>
  </sheetViews>
  <sheetFormatPr defaultRowHeight="14.4" x14ac:dyDescent="0.3"/>
  <cols>
    <col min="1" max="1" width="13.88671875" style="6" customWidth="1"/>
    <col min="2" max="2" width="24.109375" style="6" customWidth="1"/>
    <col min="3" max="3" width="16.109375" style="6" customWidth="1"/>
    <col min="4" max="4" width="18.44140625" style="6" customWidth="1"/>
    <col min="5" max="5" width="17.44140625" style="6" customWidth="1"/>
    <col min="6" max="6" width="31" style="5" bestFit="1" customWidth="1"/>
    <col min="7" max="7" width="23.44140625" style="6" customWidth="1"/>
    <col min="8" max="8" width="24.44140625" style="6" customWidth="1"/>
    <col min="10" max="10" width="12.33203125" bestFit="1" customWidth="1"/>
  </cols>
  <sheetData>
    <row r="1" spans="1:17" ht="45" customHeight="1" x14ac:dyDescent="0.3">
      <c r="A1" s="90" t="s">
        <v>65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</row>
    <row r="3" spans="1:17" ht="18" x14ac:dyDescent="0.3">
      <c r="A3" s="75" t="s">
        <v>2</v>
      </c>
      <c r="B3" s="75" t="s">
        <v>1</v>
      </c>
      <c r="C3" s="75" t="s">
        <v>4</v>
      </c>
      <c r="D3" s="75" t="s">
        <v>13</v>
      </c>
      <c r="E3" s="75" t="s">
        <v>14</v>
      </c>
      <c r="F3" s="75" t="s">
        <v>5</v>
      </c>
      <c r="G3" s="75" t="s">
        <v>0</v>
      </c>
      <c r="H3" s="75" t="s">
        <v>3</v>
      </c>
    </row>
    <row r="4" spans="1:17" ht="15" customHeight="1" x14ac:dyDescent="0.3">
      <c r="A4" s="14">
        <v>8518848</v>
      </c>
      <c r="B4" s="14">
        <v>87974</v>
      </c>
      <c r="C4" s="14">
        <v>1254</v>
      </c>
      <c r="D4" s="24">
        <v>5000</v>
      </c>
      <c r="E4" s="24"/>
      <c r="F4" s="25">
        <v>46255</v>
      </c>
      <c r="G4" s="26" t="s">
        <v>43</v>
      </c>
      <c r="H4" s="14"/>
    </row>
    <row r="5" spans="1:17" x14ac:dyDescent="0.3">
      <c r="A5" s="14">
        <v>4848</v>
      </c>
      <c r="B5" s="14">
        <v>12345</v>
      </c>
      <c r="C5" s="14">
        <v>1254</v>
      </c>
      <c r="D5" s="24">
        <v>236</v>
      </c>
      <c r="E5" s="24"/>
      <c r="F5" s="25"/>
      <c r="G5" s="26" t="s">
        <v>44</v>
      </c>
      <c r="H5" s="14"/>
    </row>
    <row r="6" spans="1:17" x14ac:dyDescent="0.3">
      <c r="A6" s="14">
        <v>4848</v>
      </c>
      <c r="B6" s="14">
        <v>1254</v>
      </c>
      <c r="C6" s="14"/>
      <c r="D6" s="24">
        <v>3479</v>
      </c>
      <c r="E6" s="24">
        <v>20000</v>
      </c>
      <c r="F6" s="25">
        <v>46263</v>
      </c>
      <c r="G6" s="26" t="s">
        <v>45</v>
      </c>
      <c r="H6" s="14"/>
    </row>
    <row r="7" spans="1:17" x14ac:dyDescent="0.3">
      <c r="A7" s="14">
        <v>58488</v>
      </c>
      <c r="B7" s="14"/>
      <c r="C7" s="14">
        <v>9806</v>
      </c>
      <c r="D7" s="24"/>
      <c r="E7" s="24"/>
      <c r="F7" s="25"/>
      <c r="G7" s="25"/>
      <c r="H7" s="14"/>
    </row>
    <row r="8" spans="1:17" x14ac:dyDescent="0.3">
      <c r="A8" s="14">
        <v>26595</v>
      </c>
      <c r="B8" s="14"/>
      <c r="C8" s="14">
        <v>3761</v>
      </c>
      <c r="D8" s="24"/>
      <c r="E8" s="24"/>
      <c r="F8" s="25"/>
      <c r="G8" s="25"/>
      <c r="H8" s="14"/>
    </row>
    <row r="9" spans="1:17" x14ac:dyDescent="0.3">
      <c r="A9" s="14">
        <v>2563</v>
      </c>
      <c r="B9" s="14"/>
      <c r="C9" s="14">
        <v>2291</v>
      </c>
      <c r="D9" s="24"/>
      <c r="E9" s="24"/>
      <c r="F9" s="25"/>
      <c r="G9" s="25"/>
      <c r="H9" s="14"/>
    </row>
    <row r="10" spans="1:17" x14ac:dyDescent="0.3">
      <c r="A10" s="14">
        <v>557</v>
      </c>
      <c r="B10" s="14"/>
      <c r="C10" s="14">
        <v>2460</v>
      </c>
      <c r="D10" s="24"/>
      <c r="E10" s="24"/>
      <c r="F10" s="25"/>
      <c r="G10" s="25"/>
      <c r="H10" s="14"/>
    </row>
    <row r="11" spans="1:17" x14ac:dyDescent="0.3">
      <c r="A11" s="14">
        <v>2828</v>
      </c>
      <c r="B11" s="14"/>
      <c r="C11" s="14">
        <v>2563</v>
      </c>
      <c r="D11" s="24">
        <v>2000</v>
      </c>
      <c r="E11" s="24"/>
      <c r="F11" s="25"/>
      <c r="G11" s="25"/>
      <c r="H11" s="14"/>
    </row>
    <row r="12" spans="1:17" x14ac:dyDescent="0.3">
      <c r="A12" s="14">
        <v>56</v>
      </c>
      <c r="B12" s="14">
        <v>123</v>
      </c>
      <c r="C12" s="14">
        <v>4819</v>
      </c>
      <c r="D12" s="24">
        <v>2000</v>
      </c>
      <c r="E12" s="24"/>
      <c r="F12" s="25"/>
      <c r="G12" s="25"/>
      <c r="H12" s="14"/>
    </row>
    <row r="13" spans="1:17" x14ac:dyDescent="0.3">
      <c r="A13" s="14">
        <v>56</v>
      </c>
      <c r="B13" s="55" t="s">
        <v>63</v>
      </c>
      <c r="C13" s="14">
        <v>8420</v>
      </c>
      <c r="D13" s="24">
        <v>2000</v>
      </c>
      <c r="E13" s="24"/>
      <c r="F13" s="25"/>
      <c r="G13" s="25"/>
      <c r="H13" s="14"/>
    </row>
    <row r="14" spans="1:17" x14ac:dyDescent="0.3">
      <c r="A14" s="14">
        <v>2848</v>
      </c>
      <c r="B14" s="14"/>
      <c r="C14" s="14">
        <v>7504</v>
      </c>
      <c r="D14" s="24"/>
      <c r="E14" s="24"/>
      <c r="F14" s="25"/>
      <c r="G14" s="25"/>
      <c r="H14" s="14"/>
    </row>
    <row r="15" spans="1:17" x14ac:dyDescent="0.3">
      <c r="A15" s="14">
        <v>65555</v>
      </c>
      <c r="B15" s="14"/>
      <c r="C15" s="14">
        <v>4250</v>
      </c>
      <c r="D15" s="24"/>
      <c r="E15" s="24"/>
      <c r="F15" s="25"/>
      <c r="G15" s="25"/>
      <c r="H15" s="14"/>
    </row>
    <row r="16" spans="1:17" x14ac:dyDescent="0.3">
      <c r="A16" s="14">
        <v>59365</v>
      </c>
      <c r="B16" s="14"/>
      <c r="C16" s="14">
        <v>1294</v>
      </c>
      <c r="D16" s="24"/>
      <c r="E16" s="24"/>
      <c r="F16" s="25"/>
      <c r="G16" s="25"/>
      <c r="H16" s="14"/>
    </row>
    <row r="17" spans="1:8" x14ac:dyDescent="0.3">
      <c r="A17" s="14">
        <v>56</v>
      </c>
      <c r="B17" s="14"/>
      <c r="C17" s="14">
        <v>2530</v>
      </c>
      <c r="D17" s="24">
        <v>2000</v>
      </c>
      <c r="E17" s="24"/>
      <c r="F17" s="25"/>
      <c r="G17" s="25"/>
      <c r="H17" s="14"/>
    </row>
    <row r="18" spans="1:8" x14ac:dyDescent="0.3">
      <c r="A18" s="14">
        <v>26</v>
      </c>
      <c r="B18" s="14"/>
      <c r="C18" s="14">
        <v>3910</v>
      </c>
      <c r="D18" s="24"/>
      <c r="E18" s="24"/>
      <c r="F18" s="25"/>
      <c r="G18" s="25"/>
      <c r="H18" s="14"/>
    </row>
    <row r="19" spans="1:8" x14ac:dyDescent="0.3">
      <c r="A19" s="14">
        <v>2555</v>
      </c>
      <c r="B19" s="14"/>
      <c r="C19" s="14">
        <v>6777</v>
      </c>
      <c r="D19" s="24"/>
      <c r="E19" s="24"/>
      <c r="F19" s="25"/>
      <c r="G19" s="25"/>
      <c r="H19" s="14"/>
    </row>
    <row r="20" spans="1:8" x14ac:dyDescent="0.3">
      <c r="A20" s="14">
        <v>265989</v>
      </c>
      <c r="B20" s="14"/>
      <c r="C20" s="14">
        <v>5630</v>
      </c>
      <c r="D20" s="24"/>
      <c r="E20" s="24"/>
      <c r="F20" s="25"/>
      <c r="G20" s="25"/>
      <c r="H20" s="14"/>
    </row>
    <row r="21" spans="1:8" x14ac:dyDescent="0.3">
      <c r="A21" s="14">
        <v>59598595</v>
      </c>
      <c r="B21" s="14"/>
      <c r="C21" s="14">
        <v>4712</v>
      </c>
      <c r="D21" s="24"/>
      <c r="E21" s="24"/>
      <c r="F21" s="25"/>
      <c r="G21" s="25"/>
      <c r="H21" s="14"/>
    </row>
    <row r="22" spans="1:8" x14ac:dyDescent="0.3">
      <c r="A22" s="14">
        <v>45666</v>
      </c>
      <c r="B22" s="14"/>
      <c r="C22" s="14">
        <v>5539</v>
      </c>
      <c r="D22" s="24"/>
      <c r="E22" s="24"/>
      <c r="F22" s="25"/>
      <c r="G22" s="25"/>
      <c r="H22" s="14"/>
    </row>
    <row r="23" spans="1:8" x14ac:dyDescent="0.3">
      <c r="A23" s="14">
        <v>26959</v>
      </c>
      <c r="B23" s="14"/>
      <c r="C23" s="14">
        <v>6143</v>
      </c>
      <c r="D23" s="24"/>
      <c r="E23" s="24"/>
      <c r="F23" s="25"/>
      <c r="G23" s="25"/>
      <c r="H23" s="14"/>
    </row>
    <row r="24" spans="1:8" x14ac:dyDescent="0.3">
      <c r="A24" s="14">
        <v>2626925</v>
      </c>
      <c r="B24" s="14"/>
      <c r="C24" s="14">
        <v>6729</v>
      </c>
      <c r="D24" s="24"/>
      <c r="E24" s="24"/>
      <c r="F24" s="25"/>
      <c r="G24" s="25"/>
      <c r="H24" s="14"/>
    </row>
    <row r="25" spans="1:8" x14ac:dyDescent="0.3">
      <c r="A25" s="14">
        <v>1</v>
      </c>
      <c r="B25" s="55">
        <v>90740</v>
      </c>
      <c r="C25" s="14">
        <v>254</v>
      </c>
      <c r="D25" s="24">
        <v>2000</v>
      </c>
      <c r="E25" s="24"/>
      <c r="F25" s="25"/>
      <c r="G25" s="25"/>
      <c r="H25" s="14"/>
    </row>
    <row r="26" spans="1:8" x14ac:dyDescent="0.3">
      <c r="A26" s="14">
        <v>1</v>
      </c>
      <c r="B26" s="55">
        <v>15250</v>
      </c>
      <c r="C26" s="14">
        <v>2672</v>
      </c>
      <c r="D26" s="24">
        <v>200</v>
      </c>
      <c r="E26" s="24"/>
      <c r="F26" s="25"/>
      <c r="G26" s="25"/>
      <c r="H26" s="14"/>
    </row>
  </sheetData>
  <mergeCells count="1">
    <mergeCell ref="A1:Q1"/>
  </mergeCells>
  <conditionalFormatting sqref="G4:G26">
    <cfRule type="cellIs" dxfId="2" priority="1" operator="equal">
      <formula>"Aguardando emissão"</formula>
    </cfRule>
    <cfRule type="cellIs" dxfId="1" priority="2" operator="equal">
      <formula>"Cancelada"</formula>
    </cfRule>
    <cfRule type="cellIs" dxfId="0" priority="3" operator="equal">
      <formula>"Emitida"</formula>
    </cfRule>
  </conditionalFormatting>
  <dataValidations count="1">
    <dataValidation type="list" allowBlank="1" showInputMessage="1" showErrorMessage="1" sqref="G4:G26" xr:uid="{37A400FD-2AB6-4C92-8015-68F0744833C4}">
      <formula1>"Emitida,Aguardando emissão, Cancelada"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2593E-EC23-4A93-9C1E-2A45E727D792}">
  <sheetPr>
    <tabColor theme="4" tint="-0.499984740745262"/>
  </sheetPr>
  <dimension ref="A1:T23"/>
  <sheetViews>
    <sheetView showGridLines="0" tabSelected="1" zoomScale="50" zoomScaleNormal="50" workbookViewId="0">
      <selection activeCell="K30" sqref="K30"/>
    </sheetView>
  </sheetViews>
  <sheetFormatPr defaultRowHeight="14.4" x14ac:dyDescent="0.3"/>
  <cols>
    <col min="1" max="1" width="8.109375" customWidth="1"/>
    <col min="2" max="3" width="25.44140625" customWidth="1"/>
    <col min="4" max="4" width="12.88671875" customWidth="1"/>
    <col min="5" max="5" width="38.33203125" customWidth="1"/>
    <col min="6" max="6" width="29.88671875" bestFit="1" customWidth="1"/>
    <col min="7" max="7" width="59.5546875" customWidth="1"/>
    <col min="8" max="8" width="36.5546875" bestFit="1" customWidth="1"/>
    <col min="9" max="9" width="40.6640625" bestFit="1" customWidth="1"/>
    <col min="10" max="10" width="27.44140625" customWidth="1"/>
    <col min="11" max="11" width="34.109375" bestFit="1" customWidth="1"/>
    <col min="12" max="12" width="24.109375" customWidth="1"/>
    <col min="13" max="13" width="35" customWidth="1"/>
    <col min="15" max="15" width="8.88671875" customWidth="1"/>
  </cols>
  <sheetData>
    <row r="1" spans="1:20" ht="36.6" customHeight="1" x14ac:dyDescent="0.3">
      <c r="A1" s="110" t="s">
        <v>66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</row>
    <row r="2" spans="1:20" ht="14.4" customHeight="1" x14ac:dyDescent="0.3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</row>
    <row r="3" spans="1:20" ht="14.4" customHeight="1" x14ac:dyDescent="0.3">
      <c r="A3" s="110"/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</row>
    <row r="4" spans="1:20" ht="14.4" customHeight="1" x14ac:dyDescent="0.3">
      <c r="A4" s="110"/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</row>
    <row r="5" spans="1:20" ht="34.799999999999997" customHeight="1" x14ac:dyDescent="0.3">
      <c r="C5" s="83"/>
    </row>
    <row r="6" spans="1:20" ht="45.6" customHeight="1" x14ac:dyDescent="0.55000000000000004">
      <c r="B6" s="111" t="s">
        <v>58</v>
      </c>
      <c r="C6" s="112"/>
      <c r="D6" s="85"/>
      <c r="E6" s="109" t="s">
        <v>67</v>
      </c>
      <c r="F6" s="109"/>
      <c r="K6" s="12"/>
      <c r="L6" s="13"/>
      <c r="M6" s="1"/>
    </row>
    <row r="7" spans="1:20" ht="40.200000000000003" customHeight="1" x14ac:dyDescent="0.3">
      <c r="B7" s="113" t="s">
        <v>69</v>
      </c>
      <c r="C7" s="114"/>
      <c r="D7" s="81"/>
      <c r="E7" s="75" t="s">
        <v>33</v>
      </c>
      <c r="F7" s="75" t="s">
        <v>34</v>
      </c>
      <c r="G7" s="75" t="s">
        <v>6</v>
      </c>
      <c r="H7" s="75" t="s">
        <v>35</v>
      </c>
      <c r="I7" s="75" t="s">
        <v>36</v>
      </c>
      <c r="J7" s="75" t="s">
        <v>37</v>
      </c>
      <c r="K7" s="75" t="s">
        <v>38</v>
      </c>
      <c r="L7" s="76" t="s">
        <v>39</v>
      </c>
      <c r="M7" s="75" t="s">
        <v>40</v>
      </c>
    </row>
    <row r="8" spans="1:20" ht="33.6" x14ac:dyDescent="0.55000000000000004">
      <c r="B8" s="115">
        <v>56</v>
      </c>
      <c r="C8" s="116"/>
      <c r="D8" s="81"/>
      <c r="E8" s="64" cm="1">
        <f t="array" ref="E8:M10">IF(B8="","",_xlfn._xlws.FILTER(tabEntrega_Fat[[COMPETÊNCIA]:[DATA DE ENTRAGA]],tabEntrega_Fat[TÍTULO]&amp;""=B8&amp;"","Não encontrado"))</f>
        <v>46054</v>
      </c>
      <c r="F8" s="61" t="str">
        <v>Agudo</v>
      </c>
      <c r="G8" s="70" t="str">
        <v>Alliança Corporativa Benefícios</v>
      </c>
      <c r="H8" s="70" t="str">
        <v>Sadt</v>
      </c>
      <c r="I8" s="70">
        <v>47182</v>
      </c>
      <c r="J8" s="71">
        <v>56</v>
      </c>
      <c r="K8" s="73">
        <v>79</v>
      </c>
      <c r="L8" s="72" t="str">
        <v/>
      </c>
      <c r="M8" s="64">
        <v>46084</v>
      </c>
    </row>
    <row r="9" spans="1:20" ht="28.8" x14ac:dyDescent="0.55000000000000004">
      <c r="A9" s="86"/>
      <c r="B9" s="80"/>
      <c r="C9" s="80"/>
      <c r="D9" s="81"/>
      <c r="E9" s="64">
        <v>46054</v>
      </c>
      <c r="F9" s="61" t="str">
        <v>Crônico</v>
      </c>
      <c r="G9" s="61" t="str">
        <v>Unimedica Cooperativa Regional</v>
      </c>
      <c r="H9" s="61" t="str">
        <v>Sadt</v>
      </c>
      <c r="I9" s="71">
        <v>59521</v>
      </c>
      <c r="J9" s="71" t="str">
        <v>56</v>
      </c>
      <c r="K9" s="73">
        <v>1465262</v>
      </c>
      <c r="L9" s="72" t="str">
        <v/>
      </c>
      <c r="M9" s="64">
        <v>46084</v>
      </c>
    </row>
    <row r="10" spans="1:20" ht="28.8" x14ac:dyDescent="0.55000000000000004">
      <c r="A10" s="11"/>
      <c r="B10" s="87"/>
      <c r="C10" s="84"/>
      <c r="E10" s="64">
        <v>46113</v>
      </c>
      <c r="F10" s="61" t="str">
        <v>Agudo</v>
      </c>
      <c r="G10" s="61" t="str">
        <v>Unimedica Cooperativa Regional</v>
      </c>
      <c r="H10" s="61" t="str">
        <v>Sadt</v>
      </c>
      <c r="I10" s="71" t="str">
        <v>37517</v>
      </c>
      <c r="J10" s="71" t="str">
        <v>56</v>
      </c>
      <c r="K10" s="73">
        <v>49849</v>
      </c>
      <c r="L10" s="72" t="str">
        <v/>
      </c>
      <c r="M10" s="64">
        <v>46147</v>
      </c>
    </row>
    <row r="11" spans="1:20" ht="28.8" x14ac:dyDescent="0.55000000000000004">
      <c r="A11" s="11"/>
      <c r="B11" s="82"/>
      <c r="E11" s="64"/>
      <c r="F11" s="61"/>
      <c r="G11" s="61"/>
      <c r="H11" s="61"/>
      <c r="I11" s="71"/>
      <c r="J11" s="71"/>
      <c r="K11" s="73"/>
      <c r="L11" s="72"/>
      <c r="M11" s="64"/>
    </row>
    <row r="12" spans="1:20" ht="28.8" x14ac:dyDescent="0.55000000000000004">
      <c r="A12" s="11"/>
      <c r="E12" s="64"/>
      <c r="F12" s="61"/>
      <c r="G12" s="61"/>
      <c r="H12" s="61"/>
      <c r="I12" s="71"/>
      <c r="J12" s="71"/>
      <c r="K12" s="73"/>
      <c r="L12" s="72"/>
      <c r="M12" s="64"/>
      <c r="O12" s="11"/>
    </row>
    <row r="13" spans="1:20" ht="28.8" x14ac:dyDescent="0.55000000000000004">
      <c r="A13" s="11"/>
      <c r="E13" s="59"/>
      <c r="F13" s="59"/>
      <c r="G13" s="59"/>
      <c r="H13" s="59"/>
      <c r="I13" s="68"/>
      <c r="J13" s="68"/>
      <c r="K13" s="69"/>
      <c r="L13" s="69"/>
      <c r="M13" s="60"/>
      <c r="O13" s="11"/>
    </row>
    <row r="14" spans="1:20" ht="28.8" x14ac:dyDescent="0.55000000000000004">
      <c r="A14" s="11"/>
      <c r="E14" s="11"/>
      <c r="F14" s="11"/>
      <c r="G14" s="11"/>
      <c r="H14" s="11"/>
      <c r="I14" s="58"/>
      <c r="J14" s="58"/>
      <c r="K14" s="67"/>
      <c r="L14" s="67"/>
      <c r="M14" s="13"/>
      <c r="O14" s="11"/>
    </row>
    <row r="15" spans="1:20" ht="51.6" customHeight="1" x14ac:dyDescent="0.55000000000000004">
      <c r="A15" s="11"/>
      <c r="E15" s="108" t="s">
        <v>68</v>
      </c>
      <c r="F15" s="108"/>
      <c r="G15" s="11"/>
      <c r="H15" s="11"/>
      <c r="I15" s="11"/>
      <c r="J15" s="11"/>
      <c r="K15" s="11"/>
      <c r="L15" s="11"/>
      <c r="M15" s="11"/>
      <c r="N15" s="41"/>
      <c r="O15" s="41"/>
      <c r="P15" s="13"/>
    </row>
    <row r="16" spans="1:20" ht="36.6" x14ac:dyDescent="0.7">
      <c r="A16" s="11"/>
      <c r="E16" s="78" t="s">
        <v>1</v>
      </c>
      <c r="F16" s="78" t="s">
        <v>4</v>
      </c>
      <c r="G16" s="78" t="s">
        <v>13</v>
      </c>
      <c r="H16" s="78" t="s">
        <v>15</v>
      </c>
      <c r="I16" s="79" t="s">
        <v>16</v>
      </c>
      <c r="J16" s="78" t="s">
        <v>0</v>
      </c>
      <c r="K16" s="58"/>
      <c r="L16" s="11"/>
    </row>
    <row r="17" spans="1:12" ht="28.8" x14ac:dyDescent="0.55000000000000004">
      <c r="A17" s="11"/>
      <c r="E17" s="61" cm="1">
        <f t="array" ref="E17:J19">IF(B8="","",_xlfn._xlws.FILTER(tabControle_NF[[Protocolo]:[Status]],tabControle_NF[Título]=B8,"Não encontrado"))</f>
        <v>123</v>
      </c>
      <c r="F17" s="61">
        <v>4819</v>
      </c>
      <c r="G17" s="66">
        <v>2000</v>
      </c>
      <c r="H17" s="74">
        <v>0</v>
      </c>
      <c r="I17" s="63">
        <v>0</v>
      </c>
      <c r="J17" s="61">
        <v>0</v>
      </c>
      <c r="K17" s="58"/>
      <c r="L17" s="11"/>
    </row>
    <row r="18" spans="1:12" ht="28.8" x14ac:dyDescent="0.55000000000000004">
      <c r="A18" s="57"/>
      <c r="E18" s="61" t="str">
        <v>37517</v>
      </c>
      <c r="F18" s="61">
        <v>8420</v>
      </c>
      <c r="G18" s="66">
        <v>2000</v>
      </c>
      <c r="H18" s="74">
        <v>0</v>
      </c>
      <c r="I18" s="63">
        <v>0</v>
      </c>
      <c r="J18" s="61">
        <v>0</v>
      </c>
      <c r="K18" s="11"/>
      <c r="L18" s="11"/>
    </row>
    <row r="19" spans="1:12" ht="28.8" x14ac:dyDescent="0.55000000000000004">
      <c r="A19" s="11"/>
      <c r="E19" s="61">
        <v>0</v>
      </c>
      <c r="F19" s="61">
        <v>2530</v>
      </c>
      <c r="G19" s="66">
        <v>2000</v>
      </c>
      <c r="H19" s="74">
        <v>0</v>
      </c>
      <c r="I19" s="63">
        <v>0</v>
      </c>
      <c r="J19" s="61">
        <v>0</v>
      </c>
      <c r="K19" s="11"/>
      <c r="L19" s="11"/>
    </row>
    <row r="20" spans="1:12" ht="28.8" x14ac:dyDescent="0.55000000000000004">
      <c r="E20" s="61"/>
      <c r="F20" s="61"/>
      <c r="G20" s="62"/>
      <c r="H20" s="65"/>
      <c r="I20" s="63"/>
      <c r="J20" s="61"/>
    </row>
    <row r="21" spans="1:12" ht="28.8" x14ac:dyDescent="0.55000000000000004">
      <c r="E21" s="61"/>
      <c r="F21" s="61"/>
      <c r="G21" s="62"/>
      <c r="H21" s="65"/>
      <c r="I21" s="63"/>
      <c r="J21" s="61"/>
    </row>
    <row r="22" spans="1:12" ht="28.8" x14ac:dyDescent="0.55000000000000004">
      <c r="E22" s="61"/>
      <c r="F22" s="61"/>
      <c r="G22" s="62"/>
      <c r="H22" s="65"/>
      <c r="I22" s="63"/>
      <c r="J22" s="61"/>
    </row>
    <row r="23" spans="1:12" ht="28.8" x14ac:dyDescent="0.55000000000000004">
      <c r="E23" s="61"/>
      <c r="F23" s="61"/>
      <c r="G23" s="62"/>
      <c r="H23" s="65"/>
      <c r="I23" s="63"/>
      <c r="J23" s="61"/>
    </row>
  </sheetData>
  <mergeCells count="6">
    <mergeCell ref="E15:F15"/>
    <mergeCell ref="E6:F6"/>
    <mergeCell ref="A1:T4"/>
    <mergeCell ref="B6:C6"/>
    <mergeCell ref="B7:C7"/>
    <mergeCell ref="B8:C8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aaa432d-2256-4303-b7f1-ac4f4d26f3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97871CA7A75648AB4C892C66A6BF42" ma:contentTypeVersion="11" ma:contentTypeDescription="Create a new document." ma:contentTypeScope="" ma:versionID="87ea175065f823d802d64a19ceb226f6">
  <xsd:schema xmlns:xsd="http://www.w3.org/2001/XMLSchema" xmlns:xs="http://www.w3.org/2001/XMLSchema" xmlns:p="http://schemas.microsoft.com/office/2006/metadata/properties" xmlns:ns3="3aaa432d-2256-4303-b7f1-ac4f4d26f3e7" targetNamespace="http://schemas.microsoft.com/office/2006/metadata/properties" ma:root="true" ma:fieldsID="584deeff15f6c0995bb7bc27ab687062" ns3:_="">
    <xsd:import namespace="3aaa432d-2256-4303-b7f1-ac4f4d26f3e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aa432d-2256-4303-b7f1-ac4f4d26f3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95BDF9-FA25-422D-8614-8BA82046AFEF}">
  <ds:schemaRefs>
    <ds:schemaRef ds:uri="http://purl.org/dc/dcmitype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3aaa432d-2256-4303-b7f1-ac4f4d26f3e7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CDE6EFF3-A3EB-4F66-A6DB-F2AE1C2D64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907AF0-35B9-4A32-8866-A420E81C00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aa432d-2256-4303-b7f1-ac4f4d26f3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Cadastros</vt:lpstr>
      <vt:lpstr>Entrega_Fat</vt:lpstr>
      <vt:lpstr>Caulculo_Impostos</vt:lpstr>
      <vt:lpstr>Controle_NF</vt:lpstr>
      <vt:lpstr>Consulta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INARA PEREIRA DE CALDAS</dc:creator>
  <cp:lastModifiedBy>INARA PEREIRA DE CALDAS</cp:lastModifiedBy>
  <dcterms:created xsi:type="dcterms:W3CDTF">2026-06-12T22:54:47Z</dcterms:created>
  <dcterms:modified xsi:type="dcterms:W3CDTF">2026-09-09T13:05:41Z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2026-06-13T00:38:02Z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38ae2f02-5710-4e12-80bb-83600c3fdf1e</vt:lpwstr>
  </property>
  <property fmtid="{D5CDD505-2E9C-101B-9397-08002B2CF9AE}" pid="7" name="MSIP_Label_defa4170-0d19-0005-0004-bc88714345d2_ActionId">
    <vt:lpwstr>d5989f65-6536-4e6d-a7d2-2bdd74934232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0x010100E097871CA7A75648AB4C892C66A6BF42</vt:lpwstr>
  </property>
</Properties>
</file>