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vsd" ContentType="application/vnd.visio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mbedded\Projects\Barduva\AutomaticDoorOpener\Hardware\AngleSensor_ANSIN\LDC1101_config\"/>
    </mc:Choice>
  </mc:AlternateContent>
  <bookViews>
    <workbookView xWindow="0" yWindow="0" windowWidth="21570" windowHeight="7965" tabRatio="936" activeTab="3"/>
  </bookViews>
  <sheets>
    <sheet name="Contents" sheetId="11" r:id="rId1"/>
    <sheet name="Spiral_Inductor_Designer" sheetId="7" r:id="rId2"/>
    <sheet name="LDC1101_RP_Config" sheetId="21" r:id="rId3"/>
    <sheet name="Output Code Calculator" sheetId="13" r:id="rId4"/>
    <sheet name="SkinDepth" sheetId="14" r:id="rId5"/>
    <sheet name="LDC0851_calc" sheetId="26" r:id="rId6"/>
    <sheet name="LDC13-16_SensorSetup" sheetId="24" r:id="rId7"/>
    <sheet name="SampleRateCalc" sheetId="18" r:id="rId8"/>
    <sheet name="LDC131x_Current" sheetId="16" r:id="rId9"/>
    <sheet name="Spring Sensor" sheetId="9" r:id="rId10"/>
    <sheet name="Remote Coil Length" sheetId="1" r:id="rId11"/>
    <sheet name="LDC Operating Region" sheetId="12" r:id="rId12"/>
    <sheet name="Racetrack_Inductor_Designer" sheetId="25" r:id="rId13"/>
  </sheets>
  <externalReferences>
    <externalReference r:id="rId14"/>
  </externalReferences>
  <definedNames>
    <definedName name="CMAX" localSheetId="11">'LDC Operating Region'!#REF!</definedName>
    <definedName name="CMAX" localSheetId="2">#REF!</definedName>
    <definedName name="CMAX" localSheetId="6">#REF!</definedName>
    <definedName name="CMAX" localSheetId="8">#REF!</definedName>
    <definedName name="CMAX" localSheetId="12">#REF!</definedName>
    <definedName name="CMAX">#REF!</definedName>
    <definedName name="CMIN" localSheetId="11">'LDC Operating Region'!#REF!</definedName>
    <definedName name="CMIN" localSheetId="2">#REF!</definedName>
    <definedName name="CMIN" localSheetId="6">#REF!</definedName>
    <definedName name="CMIN" localSheetId="8">#REF!</definedName>
    <definedName name="CMIN" localSheetId="12">#REF!</definedName>
    <definedName name="CMIN">#REF!</definedName>
    <definedName name="code">[1]unit6!$L$9:$L$11</definedName>
    <definedName name="Mega" localSheetId="2">LDC1101_RP_Config!$C$46</definedName>
    <definedName name="Mega" localSheetId="6">#REF!</definedName>
    <definedName name="Mega" localSheetId="12">#REF!</definedName>
    <definedName name="Mega">#REF!</definedName>
    <definedName name="micro" localSheetId="2">LDC1101_RP_Config!$C$45</definedName>
    <definedName name="micro" localSheetId="6">#REF!</definedName>
    <definedName name="micro" localSheetId="12">#REF!</definedName>
    <definedName name="micro">#REF!</definedName>
    <definedName name="N" localSheetId="6">#REF!</definedName>
    <definedName name="N" localSheetId="12">Racetrack_Inductor_Designer!$D$23</definedName>
    <definedName name="N">Spiral_Inductor_Designer!$D$23</definedName>
    <definedName name="pico" localSheetId="2">LDC1101_RP_Config!$C$44</definedName>
    <definedName name="pico" localSheetId="6">#REF!</definedName>
    <definedName name="pico" localSheetId="12">#REF!</definedName>
    <definedName name="pico">#REF!</definedName>
    <definedName name="Rp">[1]unit6!$B$3</definedName>
    <definedName name="Rref">[1]unit6!$B$2</definedName>
    <definedName name="solver_adj" localSheetId="5" hidden="1">LDC0851_calc!$C$22</definedName>
    <definedName name="solver_adj" localSheetId="12" hidden="1">Racetrack_Inductor_Designer!$D$23</definedName>
    <definedName name="solver_adj" localSheetId="1" hidden="1">Spiral_Inductor_Designer!$D$23</definedName>
    <definedName name="solver_cvg" localSheetId="5" hidden="1">0.0001</definedName>
    <definedName name="solver_cvg" localSheetId="12" hidden="1">0.0001</definedName>
    <definedName name="solver_cvg" localSheetId="1" hidden="1">0.0001</definedName>
    <definedName name="solver_drv" localSheetId="5" hidden="1">1</definedName>
    <definedName name="solver_drv" localSheetId="12" hidden="1">1</definedName>
    <definedName name="solver_drv" localSheetId="1" hidden="1">1</definedName>
    <definedName name="solver_eng" localSheetId="5" hidden="1">1</definedName>
    <definedName name="solver_eng" localSheetId="12" hidden="1">1</definedName>
    <definedName name="solver_eng" localSheetId="1" hidden="1">1</definedName>
    <definedName name="solver_est" localSheetId="5" hidden="1">1</definedName>
    <definedName name="solver_est" localSheetId="12" hidden="1">1</definedName>
    <definedName name="solver_est" localSheetId="1" hidden="1">1</definedName>
    <definedName name="solver_itr" localSheetId="5" hidden="1">2147483647</definedName>
    <definedName name="solver_itr" localSheetId="12" hidden="1">2147483647</definedName>
    <definedName name="solver_itr" localSheetId="1" hidden="1">2147483647</definedName>
    <definedName name="solver_mip" localSheetId="5" hidden="1">2147483647</definedName>
    <definedName name="solver_mip" localSheetId="12" hidden="1">2147483647</definedName>
    <definedName name="solver_mip" localSheetId="1" hidden="1">2147483647</definedName>
    <definedName name="solver_mni" localSheetId="5" hidden="1">30</definedName>
    <definedName name="solver_mni" localSheetId="12" hidden="1">30</definedName>
    <definedName name="solver_mni" localSheetId="1" hidden="1">30</definedName>
    <definedName name="solver_mrt" localSheetId="5" hidden="1">0.075</definedName>
    <definedName name="solver_mrt" localSheetId="12" hidden="1">0.075</definedName>
    <definedName name="solver_mrt" localSheetId="1" hidden="1">0.075</definedName>
    <definedName name="solver_msl" localSheetId="5" hidden="1">2</definedName>
    <definedName name="solver_msl" localSheetId="12" hidden="1">2</definedName>
    <definedName name="solver_msl" localSheetId="1" hidden="1">2</definedName>
    <definedName name="solver_neg" localSheetId="5" hidden="1">1</definedName>
    <definedName name="solver_neg" localSheetId="12" hidden="1">1</definedName>
    <definedName name="solver_neg" localSheetId="1" hidden="1">1</definedName>
    <definedName name="solver_nod" localSheetId="5" hidden="1">2147483647</definedName>
    <definedName name="solver_nod" localSheetId="12" hidden="1">2147483647</definedName>
    <definedName name="solver_nod" localSheetId="1" hidden="1">2147483647</definedName>
    <definedName name="solver_num" localSheetId="5" hidden="1">0</definedName>
    <definedName name="solver_num" localSheetId="12" hidden="1">0</definedName>
    <definedName name="solver_num" localSheetId="1" hidden="1">0</definedName>
    <definedName name="solver_nwt" localSheetId="5" hidden="1">1</definedName>
    <definedName name="solver_nwt" localSheetId="12" hidden="1">1</definedName>
    <definedName name="solver_nwt" localSheetId="1" hidden="1">1</definedName>
    <definedName name="solver_opt" localSheetId="5" hidden="1">LDC0851_calc!$C$27</definedName>
    <definedName name="solver_opt" localSheetId="12" hidden="1">Racetrack_Inductor_Designer!$D$57</definedName>
    <definedName name="solver_opt" localSheetId="1" hidden="1">Spiral_Inductor_Designer!$D$54</definedName>
    <definedName name="solver_pre" localSheetId="5" hidden="1">0.000001</definedName>
    <definedName name="solver_pre" localSheetId="12" hidden="1">0.000001</definedName>
    <definedName name="solver_pre" localSheetId="1" hidden="1">0.000001</definedName>
    <definedName name="solver_rbv" localSheetId="5" hidden="1">1</definedName>
    <definedName name="solver_rbv" localSheetId="12" hidden="1">1</definedName>
    <definedName name="solver_rbv" localSheetId="1" hidden="1">1</definedName>
    <definedName name="solver_rlx" localSheetId="5" hidden="1">2</definedName>
    <definedName name="solver_rlx" localSheetId="12" hidden="1">2</definedName>
    <definedName name="solver_rlx" localSheetId="1" hidden="1">2</definedName>
    <definedName name="solver_rsd" localSheetId="5" hidden="1">0</definedName>
    <definedName name="solver_rsd" localSheetId="12" hidden="1">0</definedName>
    <definedName name="solver_rsd" localSheetId="1" hidden="1">0</definedName>
    <definedName name="solver_scl" localSheetId="5" hidden="1">1</definedName>
    <definedName name="solver_scl" localSheetId="12" hidden="1">1</definedName>
    <definedName name="solver_scl" localSheetId="1" hidden="1">1</definedName>
    <definedName name="solver_sho" localSheetId="5" hidden="1">2</definedName>
    <definedName name="solver_sho" localSheetId="12" hidden="1">2</definedName>
    <definedName name="solver_sho" localSheetId="1" hidden="1">2</definedName>
    <definedName name="solver_ssz" localSheetId="5" hidden="1">100</definedName>
    <definedName name="solver_ssz" localSheetId="12" hidden="1">100</definedName>
    <definedName name="solver_ssz" localSheetId="1" hidden="1">100</definedName>
    <definedName name="solver_tim" localSheetId="5" hidden="1">2147483647</definedName>
    <definedName name="solver_tim" localSheetId="12" hidden="1">2147483647</definedName>
    <definedName name="solver_tim" localSheetId="1" hidden="1">2147483647</definedName>
    <definedName name="solver_tol" localSheetId="5" hidden="1">0.01</definedName>
    <definedName name="solver_tol" localSheetId="12" hidden="1">0.01</definedName>
    <definedName name="solver_tol" localSheetId="1" hidden="1">0.01</definedName>
    <definedName name="solver_typ" localSheetId="5" hidden="1">3</definedName>
    <definedName name="solver_typ" localSheetId="12" hidden="1">1</definedName>
    <definedName name="solver_typ" localSheetId="1" hidden="1">1</definedName>
    <definedName name="solver_val" localSheetId="5" hidden="1">2.09</definedName>
    <definedName name="solver_val" localSheetId="12" hidden="1">0</definedName>
    <definedName name="solver_val" localSheetId="1" hidden="1">0</definedName>
    <definedName name="solver_ver" localSheetId="5" hidden="1">3</definedName>
    <definedName name="solver_ver" localSheetId="12" hidden="1">3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D40" i="26" l="1"/>
  <c r="D38" i="26"/>
  <c r="D29" i="26"/>
  <c r="D22" i="26"/>
  <c r="P92" i="26" l="1"/>
  <c r="O107" i="26"/>
  <c r="N107" i="26"/>
  <c r="M107" i="26"/>
  <c r="L107" i="26"/>
  <c r="O106" i="26"/>
  <c r="N106" i="26"/>
  <c r="M106" i="26"/>
  <c r="L106" i="26"/>
  <c r="O105" i="26"/>
  <c r="N105" i="26"/>
  <c r="M105" i="26"/>
  <c r="L105" i="26"/>
  <c r="O104" i="26"/>
  <c r="N104" i="26"/>
  <c r="M104" i="26"/>
  <c r="L104" i="26"/>
  <c r="O103" i="26"/>
  <c r="N103" i="26"/>
  <c r="M103" i="26"/>
  <c r="L103" i="26"/>
  <c r="O102" i="26"/>
  <c r="N102" i="26"/>
  <c r="M102" i="26"/>
  <c r="L102" i="26"/>
  <c r="O101" i="26"/>
  <c r="N101" i="26"/>
  <c r="M101" i="26"/>
  <c r="L101" i="26"/>
  <c r="O100" i="26"/>
  <c r="N100" i="26"/>
  <c r="M100" i="26"/>
  <c r="L100" i="26"/>
  <c r="O99" i="26"/>
  <c r="N99" i="26"/>
  <c r="M99" i="26"/>
  <c r="L99" i="26"/>
  <c r="O98" i="26"/>
  <c r="N98" i="26"/>
  <c r="M98" i="26"/>
  <c r="L98" i="26"/>
  <c r="O97" i="26"/>
  <c r="N97" i="26"/>
  <c r="M97" i="26"/>
  <c r="L97" i="26"/>
  <c r="O96" i="26"/>
  <c r="N96" i="26"/>
  <c r="M96" i="26"/>
  <c r="L96" i="26"/>
  <c r="O95" i="26"/>
  <c r="N95" i="26"/>
  <c r="M95" i="26"/>
  <c r="L95" i="26"/>
  <c r="O94" i="26"/>
  <c r="N94" i="26"/>
  <c r="M94" i="26"/>
  <c r="L94" i="26"/>
  <c r="O93" i="26"/>
  <c r="N93" i="26"/>
  <c r="M93" i="26"/>
  <c r="L93" i="26"/>
  <c r="I91" i="26"/>
  <c r="F93" i="26" l="1"/>
  <c r="C30" i="26" l="1"/>
  <c r="B95" i="26" l="1"/>
  <c r="D95" i="26" s="1"/>
  <c r="D94" i="26"/>
  <c r="D93" i="26"/>
  <c r="B96" i="26" l="1"/>
  <c r="B97" i="26" s="1"/>
  <c r="B98" i="26" s="1"/>
  <c r="B99" i="26" s="1"/>
  <c r="B100" i="26" s="1"/>
  <c r="B101" i="26" s="1"/>
  <c r="B102" i="26" s="1"/>
  <c r="B103" i="26" s="1"/>
  <c r="B104" i="26" s="1"/>
  <c r="B105" i="26" s="1"/>
  <c r="B106" i="26" s="1"/>
  <c r="B107" i="26" s="1"/>
  <c r="B108" i="26" s="1"/>
  <c r="B109" i="26" s="1"/>
  <c r="B110" i="26" s="1"/>
  <c r="B111" i="26" s="1"/>
  <c r="B112" i="26" s="1"/>
  <c r="B113" i="26" s="1"/>
  <c r="B114" i="26" s="1"/>
  <c r="B115" i="26" s="1"/>
  <c r="B116" i="26" s="1"/>
  <c r="B117" i="26" s="1"/>
  <c r="B118" i="26" s="1"/>
  <c r="B119" i="26" s="1"/>
  <c r="B120" i="26" s="1"/>
  <c r="B121" i="26" s="1"/>
  <c r="B122" i="26" s="1"/>
  <c r="B123" i="26" s="1"/>
  <c r="B124" i="26" s="1"/>
  <c r="B125" i="26" s="1"/>
  <c r="B126" i="26" s="1"/>
  <c r="B127" i="26" s="1"/>
  <c r="B128" i="26" s="1"/>
  <c r="B129" i="26" s="1"/>
  <c r="B130" i="26" s="1"/>
  <c r="B131" i="26" s="1"/>
  <c r="B132" i="26" s="1"/>
  <c r="B133" i="26" s="1"/>
  <c r="B134" i="26" s="1"/>
  <c r="B135" i="26" s="1"/>
  <c r="B136" i="26" s="1"/>
  <c r="B137" i="26" s="1"/>
  <c r="B138" i="26" s="1"/>
  <c r="B139" i="26" s="1"/>
  <c r="B140" i="26" s="1"/>
  <c r="B141" i="26" s="1"/>
  <c r="B142" i="26" s="1"/>
  <c r="B143" i="26" s="1"/>
  <c r="B144" i="26" s="1"/>
  <c r="B145" i="26" s="1"/>
  <c r="B146" i="26" s="1"/>
  <c r="B147" i="26" s="1"/>
  <c r="B148" i="26" s="1"/>
  <c r="B149" i="26" s="1"/>
  <c r="B150" i="26" s="1"/>
  <c r="B151" i="26" s="1"/>
  <c r="B152" i="26" s="1"/>
  <c r="B153" i="26" s="1"/>
  <c r="B154" i="26" s="1"/>
  <c r="B155" i="26" s="1"/>
  <c r="B156" i="26" s="1"/>
  <c r="B157" i="26" s="1"/>
  <c r="B158" i="26" s="1"/>
  <c r="B159" i="26" s="1"/>
  <c r="B160" i="26" s="1"/>
  <c r="B161" i="26" s="1"/>
  <c r="B162" i="26" s="1"/>
  <c r="B163" i="26" s="1"/>
  <c r="B164" i="26" s="1"/>
  <c r="B165" i="26" s="1"/>
  <c r="B166" i="26" s="1"/>
  <c r="B167" i="26" s="1"/>
  <c r="B168" i="26" s="1"/>
  <c r="B169" i="26" s="1"/>
  <c r="B170" i="26" s="1"/>
  <c r="B171" i="26" s="1"/>
  <c r="E9" i="26"/>
  <c r="C7" i="26"/>
  <c r="C15" i="26"/>
  <c r="C59" i="26"/>
  <c r="C57" i="26"/>
  <c r="C94" i="26" l="1"/>
  <c r="C95" i="26"/>
  <c r="C93" i="26"/>
  <c r="C96" i="26"/>
  <c r="D96" i="26"/>
  <c r="C23" i="26"/>
  <c r="E38" i="26" s="1"/>
  <c r="C21" i="26"/>
  <c r="C11" i="26"/>
  <c r="C12" i="26" s="1"/>
  <c r="E93" i="26" s="1"/>
  <c r="E29" i="26" l="1"/>
  <c r="C34" i="26"/>
  <c r="C35" i="26" s="1"/>
  <c r="C31" i="26"/>
  <c r="C32" i="26" s="1"/>
  <c r="C33" i="26" s="1"/>
  <c r="F100" i="26" s="1"/>
  <c r="E100" i="26" s="1"/>
  <c r="C97" i="26"/>
  <c r="D97" i="26"/>
  <c r="C24" i="26"/>
  <c r="C25" i="26" s="1"/>
  <c r="C26" i="26" s="1"/>
  <c r="C17" i="26"/>
  <c r="C16" i="26"/>
  <c r="C60" i="26"/>
  <c r="C64" i="26" s="1"/>
  <c r="E11" i="26"/>
  <c r="C13" i="26"/>
  <c r="C14" i="26" s="1"/>
  <c r="E12" i="26"/>
  <c r="T46" i="25"/>
  <c r="S46" i="25"/>
  <c r="R46" i="25"/>
  <c r="Q46" i="25"/>
  <c r="P46" i="25"/>
  <c r="O46" i="25"/>
  <c r="N46" i="25"/>
  <c r="M46" i="25"/>
  <c r="T45" i="25"/>
  <c r="S45" i="25"/>
  <c r="R45" i="25"/>
  <c r="Q45" i="25"/>
  <c r="P45" i="25"/>
  <c r="O45" i="25"/>
  <c r="N45" i="25"/>
  <c r="M45" i="25"/>
  <c r="T44" i="25"/>
  <c r="S44" i="25"/>
  <c r="R44" i="25"/>
  <c r="Q44" i="25"/>
  <c r="P44" i="25"/>
  <c r="O44" i="25"/>
  <c r="N44" i="25"/>
  <c r="M44" i="25"/>
  <c r="T43" i="25"/>
  <c r="S43" i="25"/>
  <c r="R43" i="25"/>
  <c r="Q43" i="25"/>
  <c r="P43" i="25"/>
  <c r="O43" i="25"/>
  <c r="N43" i="25"/>
  <c r="M43" i="25"/>
  <c r="D43" i="25"/>
  <c r="T42" i="25"/>
  <c r="S42" i="25"/>
  <c r="R42" i="25"/>
  <c r="Q42" i="25"/>
  <c r="P42" i="25"/>
  <c r="T41" i="25"/>
  <c r="S41" i="25"/>
  <c r="R41" i="25"/>
  <c r="Q41" i="25"/>
  <c r="O41" i="25"/>
  <c r="T40" i="25"/>
  <c r="S40" i="25"/>
  <c r="R40" i="25"/>
  <c r="Q40" i="25"/>
  <c r="N40" i="25"/>
  <c r="T39" i="25"/>
  <c r="S39" i="25"/>
  <c r="R39" i="25"/>
  <c r="Q39" i="25"/>
  <c r="M39" i="25"/>
  <c r="L39" i="25"/>
  <c r="F38" i="25"/>
  <c r="D37" i="25"/>
  <c r="F37" i="25" s="1"/>
  <c r="D36" i="25"/>
  <c r="F36" i="25" s="1"/>
  <c r="F35" i="25"/>
  <c r="F34" i="25"/>
  <c r="F33" i="25"/>
  <c r="F32" i="25"/>
  <c r="F31" i="25"/>
  <c r="N38" i="25" s="1"/>
  <c r="F30" i="25"/>
  <c r="F29" i="25"/>
  <c r="D28" i="25"/>
  <c r="D27" i="25"/>
  <c r="D25" i="25"/>
  <c r="C45" i="26" l="1"/>
  <c r="C28" i="26"/>
  <c r="C27" i="26"/>
  <c r="C98" i="26"/>
  <c r="D98" i="26"/>
  <c r="C46" i="26"/>
  <c r="E97" i="26" s="1"/>
  <c r="C18" i="26"/>
  <c r="C56" i="26" s="1"/>
  <c r="L40" i="25"/>
  <c r="M40" i="25" s="1"/>
  <c r="O38" i="25"/>
  <c r="N39" i="25"/>
  <c r="F47" i="25"/>
  <c r="D52" i="25" s="1"/>
  <c r="D53" i="25" s="1"/>
  <c r="D60" i="25"/>
  <c r="F97" i="26" l="1"/>
  <c r="F94" i="26" s="1"/>
  <c r="F95" i="26" s="1"/>
  <c r="F96" i="26" s="1"/>
  <c r="E46" i="26"/>
  <c r="C99" i="26"/>
  <c r="D99" i="26"/>
  <c r="C47" i="26"/>
  <c r="E22" i="26" s="1"/>
  <c r="C62" i="26"/>
  <c r="C63" i="26"/>
  <c r="D46" i="25"/>
  <c r="D61" i="25"/>
  <c r="D62" i="25" s="1"/>
  <c r="D64" i="25"/>
  <c r="D65" i="25" s="1"/>
  <c r="O39" i="25"/>
  <c r="P38" i="25"/>
  <c r="O40" i="25"/>
  <c r="L41" i="25"/>
  <c r="D44" i="25"/>
  <c r="D45" i="25"/>
  <c r="D48" i="25" s="1"/>
  <c r="D47" i="25"/>
  <c r="E94" i="26" l="1"/>
  <c r="C100" i="26"/>
  <c r="D100" i="26"/>
  <c r="E8" i="26"/>
  <c r="C66" i="26"/>
  <c r="C51" i="26" s="1"/>
  <c r="M41" i="25"/>
  <c r="N41" i="25"/>
  <c r="U46" i="25"/>
  <c r="U43" i="25"/>
  <c r="U44" i="25"/>
  <c r="U45" i="25"/>
  <c r="L42" i="25"/>
  <c r="P41" i="25"/>
  <c r="P39" i="25"/>
  <c r="U39" i="25" s="1"/>
  <c r="Q38" i="25"/>
  <c r="P40" i="25"/>
  <c r="U40" i="25" s="1"/>
  <c r="E96" i="26" l="1"/>
  <c r="E95" i="26"/>
  <c r="C101" i="26"/>
  <c r="D101" i="26"/>
  <c r="C52" i="26"/>
  <c r="U41" i="25"/>
  <c r="L43" i="25"/>
  <c r="R38" i="25"/>
  <c r="M42" i="25"/>
  <c r="N42" i="25"/>
  <c r="O42" i="25"/>
  <c r="C102" i="26" l="1"/>
  <c r="D102" i="26"/>
  <c r="U42" i="25"/>
  <c r="U48" i="25" s="1"/>
  <c r="D49" i="25" s="1"/>
  <c r="S38" i="25"/>
  <c r="L44" i="25"/>
  <c r="D103" i="26" l="1"/>
  <c r="C103" i="26"/>
  <c r="L45" i="25"/>
  <c r="T38" i="25"/>
  <c r="L46" i="25" s="1"/>
  <c r="D50" i="25"/>
  <c r="G49" i="25"/>
  <c r="D58" i="25"/>
  <c r="D66" i="25"/>
  <c r="D67" i="25" s="1"/>
  <c r="C104" i="26" l="1"/>
  <c r="D104" i="26"/>
  <c r="D51" i="25"/>
  <c r="G51" i="25" s="1"/>
  <c r="D54" i="25"/>
  <c r="D55" i="25" s="1"/>
  <c r="E51" i="25"/>
  <c r="C105" i="26" l="1"/>
  <c r="D105" i="26"/>
  <c r="D57" i="25"/>
  <c r="D56" i="25"/>
  <c r="D68" i="25" s="1"/>
  <c r="D69" i="25" s="1"/>
  <c r="C106" i="26" l="1"/>
  <c r="D106" i="26"/>
  <c r="C107" i="26" l="1"/>
  <c r="D107" i="26"/>
  <c r="D27" i="16"/>
  <c r="D28" i="16"/>
  <c r="C108" i="26" l="1"/>
  <c r="D108" i="26"/>
  <c r="C109" i="26" l="1"/>
  <c r="D109" i="26"/>
  <c r="D8" i="16"/>
  <c r="C7" i="16"/>
  <c r="D22" i="16"/>
  <c r="C40" i="18"/>
  <c r="B33" i="18"/>
  <c r="B37" i="18"/>
  <c r="C38" i="18"/>
  <c r="D110" i="26" l="1"/>
  <c r="C110" i="26"/>
  <c r="F7" i="16"/>
  <c r="C34" i="18"/>
  <c r="C35" i="18" s="1"/>
  <c r="C15" i="18"/>
  <c r="D111" i="26" l="1"/>
  <c r="C111" i="26"/>
  <c r="C36" i="18"/>
  <c r="C44" i="18" s="1"/>
  <c r="C18" i="24"/>
  <c r="E17" i="24"/>
  <c r="C9" i="24"/>
  <c r="D10" i="24"/>
  <c r="D16" i="24"/>
  <c r="C16" i="24" s="1"/>
  <c r="D30" i="24"/>
  <c r="C41" i="18" l="1"/>
  <c r="C112" i="26"/>
  <c r="D112" i="26"/>
  <c r="E18" i="24"/>
  <c r="D18" i="24"/>
  <c r="D22" i="24" s="1"/>
  <c r="C113" i="26" l="1"/>
  <c r="D113" i="26"/>
  <c r="D23" i="24"/>
  <c r="D21" i="24"/>
  <c r="D31" i="24" s="1"/>
  <c r="D24" i="24" l="1"/>
  <c r="D26" i="24" s="1"/>
  <c r="C114" i="26"/>
  <c r="D114" i="26"/>
  <c r="D29" i="24"/>
  <c r="D12" i="24" s="1"/>
  <c r="D25" i="24" l="1"/>
  <c r="D11" i="24"/>
  <c r="C115" i="26"/>
  <c r="D115" i="26"/>
  <c r="C32" i="18"/>
  <c r="C116" i="26" l="1"/>
  <c r="D116" i="26"/>
  <c r="C117" i="26" l="1"/>
  <c r="D117" i="26"/>
  <c r="C30" i="18"/>
  <c r="C118" i="26" l="1"/>
  <c r="D118" i="26"/>
  <c r="D42" i="18"/>
  <c r="C42" i="18"/>
  <c r="C43" i="18" s="1"/>
  <c r="C33" i="13"/>
  <c r="D119" i="26" l="1"/>
  <c r="C119" i="26"/>
  <c r="D16" i="13"/>
  <c r="D14" i="13"/>
  <c r="C15" i="13"/>
  <c r="C13" i="13"/>
  <c r="C120" i="26" l="1"/>
  <c r="D120" i="26"/>
  <c r="D23" i="21"/>
  <c r="D24" i="21" s="1"/>
  <c r="C121" i="26" l="1"/>
  <c r="D121" i="26"/>
  <c r="D34" i="13"/>
  <c r="D51" i="13"/>
  <c r="D53" i="13" s="1"/>
  <c r="D54" i="13" s="1"/>
  <c r="C50" i="13"/>
  <c r="C122" i="26" l="1"/>
  <c r="D122" i="26"/>
  <c r="D38" i="13"/>
  <c r="D43" i="13" s="1"/>
  <c r="C17" i="21"/>
  <c r="D18" i="21"/>
  <c r="C123" i="26" l="1"/>
  <c r="D123" i="26"/>
  <c r="E60" i="13"/>
  <c r="D60" i="13"/>
  <c r="C59" i="13"/>
  <c r="E59" i="13" s="1"/>
  <c r="C58" i="13"/>
  <c r="E58" i="13" s="1"/>
  <c r="D28" i="11"/>
  <c r="E26" i="11"/>
  <c r="C124" i="26" l="1"/>
  <c r="D124" i="26"/>
  <c r="D25" i="21"/>
  <c r="C58" i="21"/>
  <c r="D57" i="21"/>
  <c r="C57" i="21" s="1"/>
  <c r="C53" i="21"/>
  <c r="D13" i="21" s="1"/>
  <c r="F17" i="21" s="1"/>
  <c r="D39" i="21"/>
  <c r="F39" i="21" s="1"/>
  <c r="D35" i="21"/>
  <c r="D34" i="21"/>
  <c r="D29" i="21"/>
  <c r="F23" i="21"/>
  <c r="D11" i="21"/>
  <c r="F10" i="21"/>
  <c r="F9" i="21"/>
  <c r="C125" i="26" l="1"/>
  <c r="D125" i="26"/>
  <c r="D53" i="21"/>
  <c r="D32" i="21" s="1"/>
  <c r="F35" i="21" s="1"/>
  <c r="F24" i="21"/>
  <c r="C12" i="21"/>
  <c r="C59" i="21"/>
  <c r="F16" i="21" s="1"/>
  <c r="D19" i="21"/>
  <c r="F11" i="21"/>
  <c r="D52" i="21"/>
  <c r="F29" i="21"/>
  <c r="D36" i="21"/>
  <c r="D30" i="21"/>
  <c r="C52" i="21"/>
  <c r="D126" i="26" l="1"/>
  <c r="C126" i="26"/>
  <c r="D20" i="21"/>
  <c r="D21" i="21" s="1"/>
  <c r="F36" i="21"/>
  <c r="D59" i="21"/>
  <c r="F34" i="21" s="1"/>
  <c r="F19" i="21"/>
  <c r="F30" i="21"/>
  <c r="D40" i="21"/>
  <c r="F40" i="21" s="1"/>
  <c r="D127" i="26" l="1"/>
  <c r="C127" i="26"/>
  <c r="F20" i="21"/>
  <c r="D37" i="21"/>
  <c r="F37" i="21" s="1"/>
  <c r="D22" i="21"/>
  <c r="C25" i="18"/>
  <c r="D18" i="18"/>
  <c r="D19" i="18" s="1"/>
  <c r="C18" i="18"/>
  <c r="C19" i="18" s="1"/>
  <c r="C128" i="26" l="1"/>
  <c r="D128" i="26"/>
  <c r="D38" i="21"/>
  <c r="F38" i="21" s="1"/>
  <c r="F21" i="21"/>
  <c r="C129" i="26" l="1"/>
  <c r="D129" i="26"/>
  <c r="C16" i="1"/>
  <c r="C17" i="1" s="1"/>
  <c r="C15" i="1"/>
  <c r="C11" i="1"/>
  <c r="C10" i="1"/>
  <c r="C130" i="26" l="1"/>
  <c r="D130" i="26"/>
  <c r="C18" i="1"/>
  <c r="C19" i="1" s="1"/>
  <c r="D50" i="9"/>
  <c r="F48" i="13"/>
  <c r="F12" i="13"/>
  <c r="D17" i="13"/>
  <c r="F18" i="13" s="1"/>
  <c r="F47" i="13"/>
  <c r="D49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80" i="13"/>
  <c r="F13" i="13"/>
  <c r="D11" i="13"/>
  <c r="D21" i="13" s="1"/>
  <c r="D37" i="13"/>
  <c r="D35" i="13"/>
  <c r="C131" i="26" l="1"/>
  <c r="D131" i="26"/>
  <c r="F50" i="13"/>
  <c r="D52" i="13"/>
  <c r="C132" i="26" l="1"/>
  <c r="D132" i="26"/>
  <c r="D25" i="7"/>
  <c r="C133" i="26" l="1"/>
  <c r="D133" i="26"/>
  <c r="C29" i="18"/>
  <c r="D43" i="18"/>
  <c r="C20" i="18"/>
  <c r="C14" i="18"/>
  <c r="C11" i="18"/>
  <c r="C134" i="26" l="1"/>
  <c r="D134" i="26"/>
  <c r="D27" i="11"/>
  <c r="D29" i="11" s="1"/>
  <c r="C26" i="11"/>
  <c r="E27" i="11"/>
  <c r="D135" i="26" l="1"/>
  <c r="C135" i="26"/>
  <c r="E28" i="14"/>
  <c r="D28" i="14"/>
  <c r="C27" i="14"/>
  <c r="E27" i="14" s="1"/>
  <c r="C26" i="14"/>
  <c r="E26" i="14" s="1"/>
  <c r="C136" i="26" l="1"/>
  <c r="D136" i="26"/>
  <c r="D22" i="13"/>
  <c r="F21" i="13"/>
  <c r="D13" i="14"/>
  <c r="C137" i="26" l="1"/>
  <c r="D137" i="26"/>
  <c r="D23" i="13"/>
  <c r="D24" i="13" s="1"/>
  <c r="B104" i="12"/>
  <c r="D104" i="12" s="1"/>
  <c r="C104" i="12" s="1"/>
  <c r="A104" i="12"/>
  <c r="F103" i="12"/>
  <c r="D103" i="12"/>
  <c r="C103" i="12" s="1"/>
  <c r="B100" i="12"/>
  <c r="D100" i="12" s="1"/>
  <c r="C100" i="12" s="1"/>
  <c r="A100" i="12"/>
  <c r="F99" i="12"/>
  <c r="D99" i="12"/>
  <c r="C99" i="12" s="1"/>
  <c r="D94" i="12"/>
  <c r="C94" i="12"/>
  <c r="C93" i="12"/>
  <c r="D93" i="12" s="1"/>
  <c r="D91" i="12"/>
  <c r="C91" i="12"/>
  <c r="C92" i="12" s="1"/>
  <c r="D92" i="12" s="1"/>
  <c r="C85" i="12"/>
  <c r="D85" i="12" s="1"/>
  <c r="D84" i="12"/>
  <c r="C82" i="12"/>
  <c r="D82" i="12" s="1"/>
  <c r="D81" i="12"/>
  <c r="H78" i="12"/>
  <c r="G78" i="12"/>
  <c r="F78" i="12"/>
  <c r="E78" i="12"/>
  <c r="D78" i="12"/>
  <c r="C77" i="12"/>
  <c r="E77" i="12" s="1"/>
  <c r="C76" i="12"/>
  <c r="G76" i="12" s="1"/>
  <c r="H75" i="12"/>
  <c r="G75" i="12"/>
  <c r="F75" i="12"/>
  <c r="E75" i="12"/>
  <c r="D75" i="12"/>
  <c r="H74" i="12"/>
  <c r="E103" i="12" s="1"/>
  <c r="G74" i="12"/>
  <c r="F74" i="12"/>
  <c r="E74" i="12"/>
  <c r="D74" i="12"/>
  <c r="E104" i="12" s="1"/>
  <c r="C138" i="26" l="1"/>
  <c r="D138" i="26"/>
  <c r="D76" i="12"/>
  <c r="E76" i="12"/>
  <c r="F76" i="12"/>
  <c r="H76" i="12"/>
  <c r="D77" i="12"/>
  <c r="H77" i="12"/>
  <c r="F77" i="12"/>
  <c r="E99" i="12"/>
  <c r="G77" i="12"/>
  <c r="E100" i="12"/>
  <c r="C139" i="26" l="1"/>
  <c r="D139" i="26"/>
  <c r="D17" i="16"/>
  <c r="D33" i="16"/>
  <c r="C140" i="26" l="1"/>
  <c r="D140" i="26"/>
  <c r="D18" i="16"/>
  <c r="D34" i="16"/>
  <c r="D23" i="16"/>
  <c r="D19" i="16" l="1"/>
  <c r="D29" i="16"/>
  <c r="C141" i="26"/>
  <c r="D141" i="26"/>
  <c r="D20" i="16"/>
  <c r="D24" i="16"/>
  <c r="D26" i="16" s="1"/>
  <c r="D32" i="16" s="1"/>
  <c r="D25" i="16"/>
  <c r="D30" i="16" s="1"/>
  <c r="D31" i="16" s="1"/>
  <c r="D35" i="16"/>
  <c r="D53" i="9"/>
  <c r="D52" i="9"/>
  <c r="D142" i="26" l="1"/>
  <c r="C142" i="26"/>
  <c r="D41" i="16"/>
  <c r="D143" i="26" l="1"/>
  <c r="C143" i="26"/>
  <c r="D38" i="16"/>
  <c r="E9" i="16" s="1"/>
  <c r="C23" i="1"/>
  <c r="C144" i="26" l="1"/>
  <c r="D144" i="26"/>
  <c r="D39" i="16"/>
  <c r="D40" i="16"/>
  <c r="I36" i="9"/>
  <c r="H36" i="9"/>
  <c r="D29" i="9"/>
  <c r="D28" i="9"/>
  <c r="D25" i="9"/>
  <c r="D20" i="9"/>
  <c r="D17" i="9"/>
  <c r="C145" i="26" l="1"/>
  <c r="D145" i="26"/>
  <c r="D42" i="16"/>
  <c r="D43" i="16"/>
  <c r="F37" i="9"/>
  <c r="F36" i="9"/>
  <c r="D21" i="11"/>
  <c r="E21" i="11"/>
  <c r="C20" i="11"/>
  <c r="E20" i="11" s="1"/>
  <c r="C19" i="11"/>
  <c r="E19" i="11" s="1"/>
  <c r="C146" i="26" l="1"/>
  <c r="D146" i="26"/>
  <c r="D16" i="14"/>
  <c r="D15" i="14"/>
  <c r="D11" i="14"/>
  <c r="D12" i="14" s="1"/>
  <c r="D40" i="13"/>
  <c r="F38" i="13"/>
  <c r="C147" i="26" l="1"/>
  <c r="D147" i="26"/>
  <c r="D17" i="14"/>
  <c r="D18" i="14" s="1"/>
  <c r="D20" i="14" s="1"/>
  <c r="D41" i="13"/>
  <c r="D42" i="13" s="1"/>
  <c r="C148" i="26" l="1"/>
  <c r="D148" i="26"/>
  <c r="D21" i="14"/>
  <c r="D22" i="14" s="1"/>
  <c r="B40" i="12"/>
  <c r="A40" i="12"/>
  <c r="F39" i="12"/>
  <c r="D39" i="12"/>
  <c r="C39" i="12" s="1"/>
  <c r="B36" i="12"/>
  <c r="A36" i="12"/>
  <c r="F35" i="12"/>
  <c r="D35" i="12"/>
  <c r="C35" i="12" s="1"/>
  <c r="D30" i="12"/>
  <c r="C30" i="12"/>
  <c r="C29" i="12"/>
  <c r="D29" i="12" s="1"/>
  <c r="D27" i="12"/>
  <c r="C27" i="12"/>
  <c r="C28" i="12" s="1"/>
  <c r="D28" i="12" s="1"/>
  <c r="C21" i="12"/>
  <c r="D21" i="12" s="1"/>
  <c r="D20" i="12"/>
  <c r="C18" i="12"/>
  <c r="D18" i="12" s="1"/>
  <c r="D17" i="12"/>
  <c r="H14" i="12"/>
  <c r="G14" i="12"/>
  <c r="F14" i="12"/>
  <c r="E14" i="12"/>
  <c r="D14" i="12"/>
  <c r="C13" i="12"/>
  <c r="E13" i="12" s="1"/>
  <c r="C12" i="12"/>
  <c r="G12" i="12" s="1"/>
  <c r="H11" i="12"/>
  <c r="G11" i="12"/>
  <c r="F11" i="12"/>
  <c r="E11" i="12"/>
  <c r="D11" i="12"/>
  <c r="H10" i="12"/>
  <c r="E39" i="12" s="1"/>
  <c r="G10" i="12"/>
  <c r="F10" i="12"/>
  <c r="E10" i="12"/>
  <c r="D10" i="12"/>
  <c r="E40" i="12" s="1"/>
  <c r="D149" i="26" l="1"/>
  <c r="C149" i="26"/>
  <c r="H13" i="12"/>
  <c r="D13" i="12"/>
  <c r="D40" i="12"/>
  <c r="C40" i="12" s="1"/>
  <c r="F13" i="12"/>
  <c r="D12" i="12"/>
  <c r="H12" i="12"/>
  <c r="E12" i="12"/>
  <c r="F12" i="12"/>
  <c r="D36" i="12"/>
  <c r="C36" i="12" s="1"/>
  <c r="E35" i="12"/>
  <c r="G13" i="12"/>
  <c r="E36" i="12"/>
  <c r="C150" i="26" l="1"/>
  <c r="D150" i="26"/>
  <c r="D21" i="9"/>
  <c r="D151" i="26" l="1"/>
  <c r="C151" i="26"/>
  <c r="D34" i="9"/>
  <c r="D37" i="9" s="1"/>
  <c r="D33" i="9"/>
  <c r="D36" i="9" s="1"/>
  <c r="C152" i="26" l="1"/>
  <c r="D152" i="26"/>
  <c r="D44" i="9"/>
  <c r="D45" i="9"/>
  <c r="D38" i="9"/>
  <c r="D51" i="9" s="1"/>
  <c r="C153" i="26" l="1"/>
  <c r="D153" i="26"/>
  <c r="T43" i="7"/>
  <c r="S43" i="7"/>
  <c r="R43" i="7"/>
  <c r="Q43" i="7"/>
  <c r="P43" i="7"/>
  <c r="O43" i="7"/>
  <c r="N43" i="7"/>
  <c r="M43" i="7"/>
  <c r="T42" i="7"/>
  <c r="S42" i="7"/>
  <c r="R42" i="7"/>
  <c r="Q42" i="7"/>
  <c r="P42" i="7"/>
  <c r="O42" i="7"/>
  <c r="N42" i="7"/>
  <c r="M42" i="7"/>
  <c r="T41" i="7"/>
  <c r="S41" i="7"/>
  <c r="R41" i="7"/>
  <c r="T40" i="7"/>
  <c r="S40" i="7"/>
  <c r="Q40" i="7"/>
  <c r="D40" i="7"/>
  <c r="T39" i="7"/>
  <c r="S39" i="7"/>
  <c r="P39" i="7"/>
  <c r="T38" i="7"/>
  <c r="S38" i="7"/>
  <c r="O38" i="7"/>
  <c r="T37" i="7"/>
  <c r="S37" i="7"/>
  <c r="N37" i="7"/>
  <c r="T36" i="7"/>
  <c r="S36" i="7"/>
  <c r="M36" i="7"/>
  <c r="L36" i="7"/>
  <c r="F35" i="7"/>
  <c r="D34" i="7"/>
  <c r="F34" i="7" s="1"/>
  <c r="D33" i="7"/>
  <c r="F33" i="7" s="1"/>
  <c r="F32" i="7"/>
  <c r="F31" i="7"/>
  <c r="F30" i="7"/>
  <c r="F29" i="7"/>
  <c r="F28" i="7"/>
  <c r="N35" i="7" s="1"/>
  <c r="F27" i="7"/>
  <c r="F26" i="7"/>
  <c r="C154" i="26" l="1"/>
  <c r="D154" i="26"/>
  <c r="F44" i="7"/>
  <c r="D42" i="7" s="1"/>
  <c r="L37" i="7"/>
  <c r="M37" i="7" s="1"/>
  <c r="N36" i="7"/>
  <c r="O35" i="7"/>
  <c r="C155" i="26" l="1"/>
  <c r="D155" i="26"/>
  <c r="D41" i="7"/>
  <c r="D44" i="7"/>
  <c r="D49" i="7"/>
  <c r="D50" i="7" s="1"/>
  <c r="D43" i="7"/>
  <c r="D45" i="7" s="1"/>
  <c r="L38" i="7"/>
  <c r="O36" i="7"/>
  <c r="O37" i="7"/>
  <c r="P35" i="7"/>
  <c r="C156" i="26" l="1"/>
  <c r="D156" i="26"/>
  <c r="U42" i="7"/>
  <c r="M38" i="7"/>
  <c r="N38" i="7"/>
  <c r="L39" i="7"/>
  <c r="P37" i="7"/>
  <c r="P36" i="7"/>
  <c r="Q35" i="7"/>
  <c r="P38" i="7"/>
  <c r="C157" i="26" l="1"/>
  <c r="D157" i="26"/>
  <c r="U43" i="7"/>
  <c r="M39" i="7"/>
  <c r="N39" i="7"/>
  <c r="O39" i="7"/>
  <c r="Q37" i="7"/>
  <c r="L40" i="7"/>
  <c r="Q38" i="7"/>
  <c r="Q36" i="7"/>
  <c r="R35" i="7"/>
  <c r="Q39" i="7"/>
  <c r="C158" i="26" l="1"/>
  <c r="D158" i="26"/>
  <c r="M40" i="7"/>
  <c r="N40" i="7"/>
  <c r="O40" i="7"/>
  <c r="P40" i="7"/>
  <c r="R38" i="7"/>
  <c r="U38" i="7" s="1"/>
  <c r="R36" i="7"/>
  <c r="U36" i="7" s="1"/>
  <c r="S35" i="7"/>
  <c r="L41" i="7"/>
  <c r="R39" i="7"/>
  <c r="U39" i="7" s="1"/>
  <c r="R37" i="7"/>
  <c r="U37" i="7" s="1"/>
  <c r="R40" i="7"/>
  <c r="D159" i="26" l="1"/>
  <c r="C159" i="26"/>
  <c r="M41" i="7"/>
  <c r="N41" i="7"/>
  <c r="O41" i="7"/>
  <c r="P41" i="7"/>
  <c r="Q41" i="7"/>
  <c r="L42" i="7"/>
  <c r="T35" i="7"/>
  <c r="L43" i="7" s="1"/>
  <c r="U40" i="7"/>
  <c r="C160" i="26" l="1"/>
  <c r="D160" i="26"/>
  <c r="U41" i="7"/>
  <c r="U45" i="7" s="1"/>
  <c r="D46" i="7" s="1"/>
  <c r="D47" i="7" s="1"/>
  <c r="D51" i="7" s="1"/>
  <c r="C161" i="26" l="1"/>
  <c r="D161" i="26"/>
  <c r="D48" i="7"/>
  <c r="E48" i="7"/>
  <c r="G46" i="7"/>
  <c r="D55" i="7"/>
  <c r="C162" i="26" l="1"/>
  <c r="D162" i="26"/>
  <c r="D52" i="7"/>
  <c r="G48" i="7"/>
  <c r="C163" i="26" l="1"/>
  <c r="D163" i="26"/>
  <c r="D54" i="7"/>
  <c r="D53" i="7"/>
  <c r="C164" i="26" l="1"/>
  <c r="D164" i="26"/>
  <c r="C165" i="26" l="1"/>
  <c r="D165" i="26"/>
  <c r="C166" i="26" l="1"/>
  <c r="D166" i="26"/>
  <c r="D167" i="26" l="1"/>
  <c r="C167" i="26"/>
  <c r="C168" i="26" l="1"/>
  <c r="D168" i="26"/>
  <c r="C169" i="26" l="1"/>
  <c r="D169" i="26"/>
  <c r="C24" i="1"/>
  <c r="C25" i="1" s="1"/>
  <c r="C170" i="26" l="1"/>
  <c r="D170" i="26"/>
  <c r="C26" i="1"/>
  <c r="C27" i="1" s="1"/>
  <c r="C171" i="26" l="1"/>
  <c r="D171" i="26"/>
  <c r="C36" i="26" l="1"/>
  <c r="C37" i="26" s="1"/>
  <c r="C38" i="26" s="1"/>
  <c r="C39" i="26" l="1"/>
  <c r="C41" i="26" s="1"/>
  <c r="C42" i="26" s="1"/>
  <c r="C43" i="26" s="1"/>
  <c r="F101" i="26" s="1"/>
  <c r="E101" i="26" s="1"/>
  <c r="C40" i="26" l="1"/>
</calcChain>
</file>

<file path=xl/comments1.xml><?xml version="1.0" encoding="utf-8"?>
<comments xmlns="http://schemas.openxmlformats.org/spreadsheetml/2006/main">
  <authors>
    <author>SVA Employee</author>
  </authors>
  <commentList>
    <comment ref="C19" authorId="0" shapeId="0">
      <text>
        <r>
          <rPr>
            <b/>
            <sz val="9"/>
            <color indexed="81"/>
            <rFont val="Tahoma"/>
            <family val="2"/>
          </rPr>
          <t>Qmax = Rp_parasitic*</t>
        </r>
        <r>
          <rPr>
            <b/>
            <sz val="12"/>
            <color indexed="81"/>
            <rFont val="Symbol"/>
            <family val="1"/>
            <charset val="2"/>
          </rPr>
          <t>Ö</t>
        </r>
        <r>
          <rPr>
            <b/>
            <sz val="9"/>
            <color indexed="81"/>
            <rFont val="Tahoma"/>
            <family val="2"/>
          </rPr>
          <t>Csens/Lsens[initial]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Maximum Inductance
variation due to
target movement as a ratio compared to initial Lsen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9" authorId="0" shapeId="0">
      <text>
        <r>
          <rPr>
            <b/>
            <sz val="9"/>
            <color indexed="81"/>
            <rFont val="Tahoma"/>
            <family val="2"/>
          </rPr>
          <t>Sensor Inductance
(dist=0 to target)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Lfinal = Lvariation*Linitial</t>
        </r>
      </text>
    </comment>
    <comment ref="C30" authorId="0" shapeId="0">
      <text>
        <r>
          <rPr>
            <b/>
            <sz val="9"/>
            <color indexed="81"/>
            <rFont val="Tahoma"/>
            <family val="2"/>
          </rPr>
          <t>Oscillation Frequency:
Fosc =1/(2</t>
        </r>
        <r>
          <rPr>
            <b/>
            <sz val="9"/>
            <color indexed="81"/>
            <rFont val="Calibri"/>
            <family val="2"/>
          </rPr>
          <t>π</t>
        </r>
        <r>
          <rPr>
            <b/>
            <sz val="9"/>
            <color indexed="81"/>
            <rFont val="Symbol"/>
            <family val="1"/>
            <charset val="2"/>
          </rPr>
          <t>Ö</t>
        </r>
        <r>
          <rPr>
            <b/>
            <sz val="9"/>
            <color indexed="81"/>
            <rFont val="Tahoma"/>
            <family val="2"/>
          </rPr>
          <t>Lsens.Csens)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Equivalent Parallel 
Parasitic Resistance (d=0):
Rp = Lsens[final] / ( Csens.Rs 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6" authorId="0" shapeId="0">
      <text>
        <r>
          <rPr>
            <b/>
            <sz val="9"/>
            <color indexed="81"/>
            <rFont val="Tahoma"/>
            <family val="2"/>
          </rPr>
          <t>Qmin = RpMIN*</t>
        </r>
        <r>
          <rPr>
            <b/>
            <sz val="9"/>
            <color indexed="81"/>
            <rFont val="Symbol"/>
            <family val="1"/>
            <charset val="2"/>
          </rPr>
          <t>Ö</t>
        </r>
        <r>
          <rPr>
            <b/>
            <sz val="9"/>
            <color indexed="81"/>
            <rFont val="Tahoma"/>
            <family val="2"/>
          </rPr>
          <t>Csens/Lsens[final]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Detector Resistance (d=0):
Rff = 1.66/( Fosc*</t>
        </r>
        <r>
          <rPr>
            <b/>
            <sz val="12"/>
            <color indexed="81"/>
            <rFont val="Symbol"/>
            <family val="1"/>
            <charset val="2"/>
          </rPr>
          <t>p</t>
        </r>
        <r>
          <rPr>
            <b/>
            <sz val="9"/>
            <color indexed="81"/>
            <rFont val="Tahoma"/>
            <family val="2"/>
          </rPr>
          <t>*Cff 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Chris Oberhauser</author>
  </authors>
  <commentList>
    <comment ref="C18" authorId="0" shapeId="0">
      <text>
        <r>
          <rPr>
            <b/>
            <sz val="9"/>
            <color indexed="81"/>
            <rFont val="Tahoma"/>
            <family val="2"/>
          </rPr>
          <t>Applied to CLKIN input</t>
        </r>
        <r>
          <rPr>
            <sz val="9"/>
            <color indexed="81"/>
            <rFont val="Tahoma"/>
            <family val="2"/>
          </rPr>
          <t xml:space="preserve">
Use 42MHz for Internal divider value.</t>
        </r>
      </text>
    </comment>
    <comment ref="C36" authorId="0" shapeId="0">
      <text>
        <r>
          <rPr>
            <b/>
            <sz val="9"/>
            <color indexed="81"/>
            <rFont val="Tahoma"/>
            <family val="2"/>
          </rPr>
          <t>Applied to TBCLK input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Chris Oberhauser</author>
  </authors>
  <commentList>
    <comment ref="C19" authorId="0" shapeId="0">
      <text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 xml:space="preserve">1oz copper is 35.6µm
</t>
        </r>
      </text>
    </comment>
  </commentList>
</comments>
</file>

<file path=xl/comments4.xml><?xml version="1.0" encoding="utf-8"?>
<comments xmlns="http://schemas.openxmlformats.org/spreadsheetml/2006/main">
  <authors>
    <author>Chris Oberhauser</author>
  </authors>
  <commentList>
    <comment ref="C20" authorId="0" shapeId="0">
      <text>
        <r>
          <rPr>
            <b/>
            <sz val="9"/>
            <color indexed="81"/>
            <rFont val="Tahoma"/>
            <family val="2"/>
          </rPr>
          <t>Larger Coils have improved sensing range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2" authorId="0" shapeId="0">
      <text>
        <r>
          <rPr>
            <sz val="9"/>
            <color indexed="81"/>
            <rFont val="Tahoma"/>
            <family val="2"/>
          </rPr>
          <t xml:space="preserve">This must be closer than Switch-On distance
</t>
        </r>
      </text>
    </comment>
  </commentList>
</comments>
</file>

<file path=xl/comments5.xml><?xml version="1.0" encoding="utf-8"?>
<comments xmlns="http://schemas.openxmlformats.org/spreadsheetml/2006/main">
  <authors>
    <author>Chris Oberhauser</author>
  </authors>
  <commentList>
    <comment ref="C12" authorId="0" shapeId="0">
      <text>
        <r>
          <rPr>
            <sz val="9"/>
            <color indexed="81"/>
            <rFont val="Tahoma"/>
            <family val="2"/>
          </rPr>
          <t>This is typically between 0.5 and 0.85</t>
        </r>
      </text>
    </comment>
  </commentList>
</comments>
</file>

<file path=xl/sharedStrings.xml><?xml version="1.0" encoding="utf-8"?>
<sst xmlns="http://schemas.openxmlformats.org/spreadsheetml/2006/main" count="1090" uniqueCount="619">
  <si>
    <t>MHz</t>
  </si>
  <si>
    <t>Hz</t>
  </si>
  <si>
    <t>Sensor Frequency</t>
  </si>
  <si>
    <t>cm</t>
  </si>
  <si>
    <t>Remote Sensor Distance Calculator</t>
  </si>
  <si>
    <t>Maximum Distance:</t>
  </si>
  <si>
    <t>Solve for maximum distance with a given sensor frequency</t>
  </si>
  <si>
    <t>Device:</t>
  </si>
  <si>
    <t>Solve for sensor frequency for a given distance</t>
  </si>
  <si>
    <t>Maximum Sensor Frequency</t>
  </si>
  <si>
    <t>LDC1000</t>
  </si>
  <si>
    <t>This tool does not include effects from environmental noise, which could also reduce the maximum effective sensor distance.</t>
  </si>
  <si>
    <t>Use of twisted pair is recommended for remote sensor placement.</t>
  </si>
  <si>
    <t>Fmax (MHz)</t>
  </si>
  <si>
    <t>Fmin(MHz)</t>
  </si>
  <si>
    <t>Device</t>
  </si>
  <si>
    <r>
      <rPr>
        <sz val="11"/>
        <color theme="1"/>
        <rFont val="Calibri"/>
        <family val="2"/>
      </rPr>
      <t>×</t>
    </r>
    <r>
      <rPr>
        <sz val="11"/>
        <color theme="1"/>
        <rFont val="Calibri"/>
        <family val="2"/>
        <scheme val="minor"/>
      </rPr>
      <t xml:space="preserve"> speed of light</t>
    </r>
  </si>
  <si>
    <t xml:space="preserve">Reference Frequency </t>
  </si>
  <si>
    <t>LDC Response Setting</t>
  </si>
  <si>
    <t>Reference Frequency</t>
  </si>
  <si>
    <t>Estimator tool for circular coils. This tool is provided without warranty or support. User assumes all liability.</t>
  </si>
  <si>
    <t>Layer Stackup</t>
  </si>
  <si>
    <t>Enter only in Yellow Fields (pull-down for mm or mil)</t>
  </si>
  <si>
    <t>Results in Orange Fields</t>
  </si>
  <si>
    <t>LC tank calculations</t>
  </si>
  <si>
    <t>Operating temperature</t>
  </si>
  <si>
    <t>T</t>
  </si>
  <si>
    <r>
      <rPr>
        <sz val="12"/>
        <color theme="1"/>
        <rFont val="Calibri"/>
        <family val="2"/>
      </rPr>
      <t>°</t>
    </r>
    <r>
      <rPr>
        <sz val="12"/>
        <color theme="1"/>
        <rFont val="Calibri"/>
        <family val="2"/>
        <scheme val="minor"/>
      </rPr>
      <t>C</t>
    </r>
  </si>
  <si>
    <t>Enter operating temperature</t>
  </si>
  <si>
    <t>C</t>
  </si>
  <si>
    <t>pF</t>
  </si>
  <si>
    <t>Select LC tank capacitance</t>
  </si>
  <si>
    <t>Layers</t>
  </si>
  <si>
    <t>M</t>
  </si>
  <si>
    <r>
      <t>Number of layers on PCB board (1≤M</t>
    </r>
    <r>
      <rPr>
        <sz val="12"/>
        <color theme="1"/>
        <rFont val="Calibri"/>
        <family val="2"/>
      </rPr>
      <t>≤</t>
    </r>
    <r>
      <rPr>
        <sz val="12"/>
        <color theme="1"/>
        <rFont val="Calibri"/>
        <family val="2"/>
        <scheme val="minor"/>
      </rPr>
      <t>8)</t>
    </r>
  </si>
  <si>
    <t>Turns</t>
  </si>
  <si>
    <t>N</t>
  </si>
  <si>
    <t>Number of turns per layer</t>
  </si>
  <si>
    <t>Outer diameter of the inductor</t>
  </si>
  <si>
    <t>dout</t>
  </si>
  <si>
    <t>mm</t>
  </si>
  <si>
    <t>Outer Diameter of the spiral inductor</t>
  </si>
  <si>
    <t>din</t>
  </si>
  <si>
    <t>Inner diameter of the spiral inductor (mm or mil)</t>
  </si>
  <si>
    <t>spacing between traces</t>
  </si>
  <si>
    <t>S</t>
  </si>
  <si>
    <t>mil</t>
  </si>
  <si>
    <t>Space between traces (mm or mil)</t>
  </si>
  <si>
    <t>width of trace</t>
  </si>
  <si>
    <t>w</t>
  </si>
  <si>
    <t>Width of the trace  (mm or mil)</t>
  </si>
  <si>
    <t>Space between layer 1 and 2  (mm or mil)</t>
  </si>
  <si>
    <t>Space between layer 2 and 3  (mm or mil)</t>
  </si>
  <si>
    <t>Space between layer 3 and 4 (mm or mil)</t>
  </si>
  <si>
    <t>Space between layer 4 and 5  (mm or mil)</t>
  </si>
  <si>
    <t>Space between layer 5 and 6  (mm or mil)</t>
  </si>
  <si>
    <t>Self and Mutual Inductance Matrix (computed - do not modify directly)</t>
  </si>
  <si>
    <t>Space between layer 6 and 7  (mm or mil)</t>
  </si>
  <si>
    <t>Coupling Coef</t>
  </si>
  <si>
    <t>Distance between Layers (mm)</t>
  </si>
  <si>
    <r>
      <t>Inductance Sum (</t>
    </r>
    <r>
      <rPr>
        <b/>
        <sz val="11"/>
        <color rgb="FFFA7D00"/>
        <rFont val="Calibri"/>
        <family val="2"/>
      </rPr>
      <t>µ</t>
    </r>
    <r>
      <rPr>
        <b/>
        <sz val="11"/>
        <color rgb="FFFA7D00"/>
        <rFont val="Calibri"/>
        <family val="2"/>
        <scheme val="minor"/>
      </rPr>
      <t>H)</t>
    </r>
  </si>
  <si>
    <t>Space between layer 7 and 8  (mm or mil)</t>
  </si>
  <si>
    <t>x1</t>
  </si>
  <si>
    <t>x2</t>
  </si>
  <si>
    <t>x3</t>
  </si>
  <si>
    <t>x4</t>
  </si>
  <si>
    <t>x5</t>
  </si>
  <si>
    <t>x6</t>
  </si>
  <si>
    <t>x7</t>
  </si>
  <si>
    <t>x8</t>
  </si>
  <si>
    <t>Copper thickness</t>
  </si>
  <si>
    <t>t</t>
  </si>
  <si>
    <t>oz-Cu</t>
  </si>
  <si>
    <t>Copper layer thickness  (mm,Oz-Cu, or mil)</t>
  </si>
  <si>
    <r>
      <t>Conductor Resistivity (at 20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</si>
  <si>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t>pr</t>
  </si>
  <si>
    <r>
      <rPr>
        <sz val="10"/>
        <color theme="1"/>
        <rFont val="Calibri"/>
        <family val="2"/>
      </rPr>
      <t>Ω</t>
    </r>
    <r>
      <rPr>
        <sz val="10"/>
        <color theme="1"/>
        <rFont val="Calibri"/>
        <family val="2"/>
        <scheme val="minor"/>
      </rPr>
      <t>m</t>
    </r>
  </si>
  <si>
    <t>Distance between layers</t>
  </si>
  <si>
    <t>pr_tc</t>
  </si>
  <si>
    <r>
      <t>%/</t>
    </r>
    <r>
      <rPr>
        <sz val="10"/>
        <color theme="1"/>
        <rFont val="Calibri"/>
        <family val="2"/>
      </rPr>
      <t>°</t>
    </r>
    <r>
      <rPr>
        <sz val="10"/>
        <color theme="1"/>
        <rFont val="Calibri"/>
        <family val="2"/>
        <scheme val="minor"/>
      </rPr>
      <t>C</t>
    </r>
  </si>
  <si>
    <t>Conductor relative permeability</t>
  </si>
  <si>
    <t>ur</t>
  </si>
  <si>
    <t>Parasitic capacitance</t>
  </si>
  <si>
    <t>Cpar</t>
  </si>
  <si>
    <t>Estimate - generally in the rage of 1 to 5 pf</t>
  </si>
  <si>
    <t>Copper resistivity at operating temperature</t>
  </si>
  <si>
    <t xml:space="preserve">pr_t </t>
  </si>
  <si>
    <r>
      <rPr>
        <sz val="9"/>
        <color theme="1"/>
        <rFont val="Calibri"/>
        <family val="2"/>
      </rPr>
      <t>Ω</t>
    </r>
    <r>
      <rPr>
        <sz val="9"/>
        <color theme="1"/>
        <rFont val="Calibri"/>
        <family val="2"/>
        <scheme val="minor"/>
      </rPr>
      <t>m</t>
    </r>
  </si>
  <si>
    <t>Average diameter</t>
  </si>
  <si>
    <t>davg</t>
  </si>
  <si>
    <t>Geometric mean diameter</t>
  </si>
  <si>
    <t>p</t>
  </si>
  <si>
    <t>Inductor inner diameter</t>
  </si>
  <si>
    <t>Self inductance per layer</t>
  </si>
  <si>
    <t>L</t>
  </si>
  <si>
    <r>
      <rPr>
        <sz val="10"/>
        <color theme="1"/>
        <rFont val="Calibri"/>
        <family val="2"/>
      </rPr>
      <t>µ</t>
    </r>
    <r>
      <rPr>
        <sz val="10"/>
        <color theme="1"/>
        <rFont val="Calibri"/>
        <family val="2"/>
        <scheme val="minor"/>
      </rPr>
      <t>H</t>
    </r>
  </si>
  <si>
    <r>
      <t>Total Inductance (</t>
    </r>
    <r>
      <rPr>
        <b/>
        <sz val="12"/>
        <color theme="6" tint="-0.499984740745262"/>
        <rFont val="Calibri"/>
        <family val="2"/>
      </rPr>
      <t>µ</t>
    </r>
    <r>
      <rPr>
        <b/>
        <sz val="12"/>
        <color theme="6" tint="-0.499984740745262"/>
        <rFont val="Calibri"/>
        <family val="2"/>
        <scheme val="minor"/>
      </rPr>
      <t>H)</t>
    </r>
  </si>
  <si>
    <t>Total Inductance</t>
  </si>
  <si>
    <t>Ltotal</t>
  </si>
  <si>
    <r>
      <rPr>
        <b/>
        <sz val="10"/>
        <color theme="1"/>
        <rFont val="Calibri"/>
        <family val="2"/>
      </rPr>
      <t>µ</t>
    </r>
    <r>
      <rPr>
        <b/>
        <sz val="10"/>
        <color theme="1"/>
        <rFont val="Calibri"/>
        <family val="2"/>
        <scheme val="minor"/>
      </rPr>
      <t>H</t>
    </r>
  </si>
  <si>
    <t>Sensor Operating Frequency</t>
  </si>
  <si>
    <t>Fres</t>
  </si>
  <si>
    <t>kHz</t>
  </si>
  <si>
    <t>coil length per layer</t>
  </si>
  <si>
    <t>l</t>
  </si>
  <si>
    <t>DC resistance</t>
  </si>
  <si>
    <t>Rdc</t>
  </si>
  <si>
    <t>Ω</t>
  </si>
  <si>
    <t>Skin depth</t>
  </si>
  <si>
    <t>sd</t>
  </si>
  <si>
    <t>AC resistance (skin effect only)</t>
  </si>
  <si>
    <t>Rac</t>
  </si>
  <si>
    <t>Rp</t>
  </si>
  <si>
    <t>Q factor</t>
  </si>
  <si>
    <t>Q</t>
  </si>
  <si>
    <t>Self resonant frequency</t>
  </si>
  <si>
    <t>SRF</t>
  </si>
  <si>
    <t>Ver N</t>
  </si>
  <si>
    <t>Spring inductance estimate according to Wheeler's formula</t>
  </si>
  <si>
    <t>L_series</t>
  </si>
  <si>
    <t>f_compressed</t>
  </si>
  <si>
    <t>f_extended</t>
  </si>
  <si>
    <t>d</t>
  </si>
  <si>
    <t>coil diameter</t>
  </si>
  <si>
    <t>number of turns</t>
  </si>
  <si>
    <t>length</t>
  </si>
  <si>
    <t>codewords difference</t>
  </si>
  <si>
    <t>LDC Calculations Tool</t>
  </si>
  <si>
    <t>Remote Coil Maximum Distance Calculator</t>
  </si>
  <si>
    <t>Placing a capacitor of 10-50pF from the INA/INB pins to ground can mitigate noise issues.</t>
  </si>
  <si>
    <t>Rotation Speed Calculator</t>
  </si>
  <si>
    <t>Frequency =</t>
  </si>
  <si>
    <t>Cap (nf)</t>
  </si>
  <si>
    <t>c(nF)</t>
  </si>
  <si>
    <t>L(uH)</t>
  </si>
  <si>
    <t>Para Cap</t>
  </si>
  <si>
    <t>c(nf)</t>
  </si>
  <si>
    <t>l(uh)</t>
  </si>
  <si>
    <t>Max Avail Cap</t>
  </si>
  <si>
    <t>Parasitic Region</t>
  </si>
  <si>
    <t>pt1</t>
  </si>
  <si>
    <t>pt2</t>
  </si>
  <si>
    <t>pt3</t>
  </si>
  <si>
    <t>pt4</t>
  </si>
  <si>
    <r>
      <t>Q=RP/</t>
    </r>
    <r>
      <rPr>
        <sz val="11"/>
        <color rgb="FF00B0F0"/>
        <rFont val="Calibri"/>
        <family val="2"/>
      </rPr>
      <t>ω</t>
    </r>
    <r>
      <rPr>
        <sz val="12.65"/>
        <color rgb="FF00B0F0"/>
        <rFont val="Calibri"/>
        <family val="2"/>
      </rPr>
      <t>L</t>
    </r>
  </si>
  <si>
    <r>
      <t xml:space="preserve">L = </t>
    </r>
    <r>
      <rPr>
        <sz val="12.65"/>
        <color rgb="FF00B0F0"/>
        <rFont val="Calibri"/>
        <family val="2"/>
      </rPr>
      <t>Rp/2πfQ</t>
    </r>
  </si>
  <si>
    <t>µH</t>
  </si>
  <si>
    <t>f</t>
  </si>
  <si>
    <t>Response Time</t>
  </si>
  <si>
    <t>pf</t>
  </si>
  <si>
    <t>Inductance</t>
  </si>
  <si>
    <t>Melting point</t>
  </si>
  <si>
    <t>°F</t>
  </si>
  <si>
    <t>Skin Depth Calculator</t>
  </si>
  <si>
    <t>Material</t>
  </si>
  <si>
    <t>Copper</t>
  </si>
  <si>
    <t>Conductivity</t>
  </si>
  <si>
    <t>µΩ-cm</t>
  </si>
  <si>
    <t>Ωm</t>
  </si>
  <si>
    <t>Relative Permeability</t>
  </si>
  <si>
    <t>u</t>
  </si>
  <si>
    <t>H/m</t>
  </si>
  <si>
    <t>Skin Depth</t>
  </si>
  <si>
    <t>m</t>
  </si>
  <si>
    <t>µm</t>
  </si>
  <si>
    <t>Material Thickness</t>
  </si>
  <si>
    <t xml:space="preserve">m </t>
  </si>
  <si>
    <t>Percentage of Current:</t>
  </si>
  <si>
    <t>skin depths</t>
  </si>
  <si>
    <t>Data Courtesy of Microwaves101.com</t>
  </si>
  <si>
    <t>Bulk resistivity</t>
  </si>
  <si>
    <t>°C</t>
  </si>
  <si>
    <t>Aluminum</t>
  </si>
  <si>
    <t>Al</t>
  </si>
  <si>
    <t>Carbon</t>
  </si>
  <si>
    <t>Chromium</t>
  </si>
  <si>
    <t>Cr</t>
  </si>
  <si>
    <t>Cu</t>
  </si>
  <si>
    <t>Gold</t>
  </si>
  <si>
    <t>Au</t>
  </si>
  <si>
    <t>Iron</t>
  </si>
  <si>
    <t>Fe</t>
  </si>
  <si>
    <t>Lead</t>
  </si>
  <si>
    <t>Pb</t>
  </si>
  <si>
    <t>Magnesium</t>
  </si>
  <si>
    <t>Mg</t>
  </si>
  <si>
    <t>Nickel</t>
  </si>
  <si>
    <t>Ni</t>
  </si>
  <si>
    <t>Nichrome</t>
  </si>
  <si>
    <t>Ni80/Cr20</t>
  </si>
  <si>
    <t>0 to 50</t>
  </si>
  <si>
    <t>Silver</t>
  </si>
  <si>
    <t>Ag</t>
  </si>
  <si>
    <t>Tantalum</t>
  </si>
  <si>
    <t>Ta</t>
  </si>
  <si>
    <t>Tantalum nitride</t>
  </si>
  <si>
    <t>TaN</t>
  </si>
  <si>
    <t>Tin (white)</t>
  </si>
  <si>
    <t>Sn</t>
  </si>
  <si>
    <t>Titanium</t>
  </si>
  <si>
    <t>Ti</t>
  </si>
  <si>
    <t>Tungsten</t>
  </si>
  <si>
    <t>W</t>
  </si>
  <si>
    <t>Zinc</t>
  </si>
  <si>
    <t>Zn</t>
  </si>
  <si>
    <t>Zirconium</t>
  </si>
  <si>
    <t>Zr</t>
  </si>
  <si>
    <t>Skin Depth Calculation</t>
  </si>
  <si>
    <t>Number of Skin Depths:</t>
  </si>
  <si>
    <t>Csensor</t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</si>
  <si>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H</t>
    </r>
  </si>
  <si>
    <t>Fdelta</t>
  </si>
  <si>
    <t>may be needed to satisfy boundary conditions</t>
  </si>
  <si>
    <t>%</t>
  </si>
  <si>
    <t>Target Material</t>
  </si>
  <si>
    <t>Courtesy of Microwaves101.com</t>
  </si>
  <si>
    <t>Set in Register 0x04</t>
  </si>
  <si>
    <t>LDC output from Registers [0x23:0x25]</t>
  </si>
  <si>
    <t>AC currents remain on the surface of conductor, decaying in an exponential manner. The</t>
  </si>
  <si>
    <t>depth of ~63% of the current is called the skin depth. A higher frequency will have a shallower skin</t>
  </si>
  <si>
    <t>An LDC can use a spring as a sensor, and measure contraction or expansion of the spring.</t>
  </si>
  <si>
    <t>Compressed Spring Settings</t>
  </si>
  <si>
    <t>Spring inductance</t>
  </si>
  <si>
    <t>First, enter the spring mechanical parameters at compressed and extended settings</t>
  </si>
  <si>
    <t xml:space="preserve">then then configure the LDC to calculate the codeword difference; the larger the </t>
  </si>
  <si>
    <t>code word difference between compressed and extended conditions, the more physical</t>
  </si>
  <si>
    <t xml:space="preserve">measurement resolution available. </t>
  </si>
  <si>
    <t>Extended Spring Settings</t>
  </si>
  <si>
    <t>Lmin</t>
  </si>
  <si>
    <t>Lmax</t>
  </si>
  <si>
    <t>Includes the L_series value</t>
  </si>
  <si>
    <t>Note that for some springs, a series inductor may be necessary for a compliant sensor frequency.</t>
  </si>
  <si>
    <t>LDC1000/LDC1041 Inductance Measurement</t>
  </si>
  <si>
    <t>LDC1041</t>
  </si>
  <si>
    <t>LDC1000/LDC1041/LDC1051 Sensor Region</t>
  </si>
  <si>
    <t>PCB thickness between 1st layer and 2nd layer</t>
  </si>
  <si>
    <t>PCB thickness between 2nd layer and 3rd layer</t>
  </si>
  <si>
    <t>PCB thickness between 3rd layer and 4th layer</t>
  </si>
  <si>
    <t>PCB thickness between 4th layer and 5th layer</t>
  </si>
  <si>
    <t>PCB thickness between 5th layer and 6th layer</t>
  </si>
  <si>
    <t>PCB thickness between 6th layer and 7th layer</t>
  </si>
  <si>
    <t>PCB thickness between 7th layer and 8th layer</t>
  </si>
  <si>
    <t>h12</t>
  </si>
  <si>
    <t>h23</t>
  </si>
  <si>
    <t>h34</t>
  </si>
  <si>
    <t>h45</t>
  </si>
  <si>
    <t>h56</t>
  </si>
  <si>
    <t>h67</t>
  </si>
  <si>
    <t>h78</t>
  </si>
  <si>
    <t>This tool graphs the operating region of the LDC1000- by setting a specific RP and Q, you can determine what L &amp; C is useable for a sensor.</t>
  </si>
  <si>
    <r>
      <t>L(</t>
    </r>
    <r>
      <rPr>
        <i/>
        <sz val="11"/>
        <color theme="1"/>
        <rFont val="Calibri"/>
        <family val="2"/>
      </rPr>
      <t>µ</t>
    </r>
    <r>
      <rPr>
        <i/>
        <sz val="11"/>
        <color theme="1"/>
        <rFont val="Calibri"/>
        <family val="2"/>
        <scheme val="minor"/>
      </rPr>
      <t>H) for given Fresonance</t>
    </r>
  </si>
  <si>
    <t>Return to Main Page</t>
  </si>
  <si>
    <t>Return to Main page</t>
  </si>
  <si>
    <t>Set the desired frequency lines in cells D9:H9.</t>
  </si>
  <si>
    <t>Set the min and Max capacitances to graph in C11 and C14.</t>
  </si>
  <si>
    <t>Set the Q and RP of two different sensors in A35/B35 andA39/B39</t>
  </si>
  <si>
    <t>Quick Sensor L/C/f Calculator</t>
  </si>
  <si>
    <t>Sample Rate</t>
  </si>
  <si>
    <t>ksps</t>
  </si>
  <si>
    <t xml:space="preserve">A lower Q sensor (&lt;15) will not be able to work at as a large a distance. </t>
  </si>
  <si>
    <t>IC Max Sensor Frequency:</t>
  </si>
  <si>
    <t>IC Min Sensor Frequency:</t>
  </si>
  <si>
    <t>Cable Velocity Factor:</t>
  </si>
  <si>
    <t>Sensor Frequency:</t>
  </si>
  <si>
    <t>Desired Distance:</t>
  </si>
  <si>
    <t>number of registers to set</t>
  </si>
  <si>
    <t>Number of channels of measurement</t>
  </si>
  <si>
    <t>Normalized Shutdown current</t>
  </si>
  <si>
    <t>Normalized Sleep current</t>
  </si>
  <si>
    <t>Normalized Active current</t>
  </si>
  <si>
    <t>LDC1612/4</t>
  </si>
  <si>
    <t>LDC1312/4</t>
  </si>
  <si>
    <t>LDCs can utilize a remote sensor. This tool calculates the absolute maximum</t>
  </si>
  <si>
    <t>other system characteristics can reduce this range significantly.</t>
  </si>
  <si>
    <t>distance the sensor can be located from the LDC. Note that environmental effects and</t>
  </si>
  <si>
    <t>Response time</t>
  </si>
  <si>
    <t>Reference Count</t>
  </si>
  <si>
    <t>Conversion Time</t>
  </si>
  <si>
    <t>µs</t>
  </si>
  <si>
    <t>Approx Sample Rate</t>
  </si>
  <si>
    <t>Select LDC Device:</t>
  </si>
  <si>
    <t>LDC131x/LDC161x</t>
  </si>
  <si>
    <t>Note: for LDC131x, values greater than 65535 do not provide improved resolution</t>
  </si>
  <si>
    <t>Effective Code Difference</t>
  </si>
  <si>
    <t>fsensor</t>
  </si>
  <si>
    <t>ms</t>
  </si>
  <si>
    <t>I2C Datarate</t>
  </si>
  <si>
    <t>kbit/s</t>
  </si>
  <si>
    <t>Desired Sample Rate</t>
  </si>
  <si>
    <t>Sensor Q (max)</t>
  </si>
  <si>
    <t>POR time</t>
  </si>
  <si>
    <t>I2C config time</t>
  </si>
  <si>
    <t>i2C clocks to configure one register</t>
  </si>
  <si>
    <t>Active mode start time</t>
  </si>
  <si>
    <t>channel switching overhead time</t>
  </si>
  <si>
    <t>total active time per second</t>
  </si>
  <si>
    <t>LDC Device</t>
  </si>
  <si>
    <t>Total I2C IO time (in sleep mode)</t>
  </si>
  <si>
    <t xml:space="preserve">single conversion time  </t>
  </si>
  <si>
    <t>Sensor RP</t>
  </si>
  <si>
    <t>kΩ</t>
  </si>
  <si>
    <t>mA</t>
  </si>
  <si>
    <t>sensor current</t>
  </si>
  <si>
    <t>Shutdown current</t>
  </si>
  <si>
    <t>Sleep current</t>
  </si>
  <si>
    <t>Total Shutdown time</t>
  </si>
  <si>
    <t>This assumes the sensor divider and reference dividers are set to 1.</t>
  </si>
  <si>
    <t>settling time per channel</t>
  </si>
  <si>
    <t>Total Sleep time per second</t>
  </si>
  <si>
    <t>total time per all channels measurement</t>
  </si>
  <si>
    <t>Ideal Settle count</t>
  </si>
  <si>
    <t>LDC161x/LDC131x Current Consumption Estimator</t>
  </si>
  <si>
    <r>
      <rPr>
        <sz val="10"/>
        <color theme="1"/>
        <rFont val="Calibri"/>
        <family val="2"/>
      </rPr>
      <t>µ</t>
    </r>
    <r>
      <rPr>
        <sz val="10"/>
        <color theme="1"/>
        <rFont val="Calibri"/>
        <family val="2"/>
        <scheme val="minor"/>
      </rPr>
      <t>A</t>
    </r>
  </si>
  <si>
    <t>LDC1312/LDC1314/LDC1612/LDC1614 Sensor Region</t>
  </si>
  <si>
    <t>Set the desired frequency lines in cells D73:H73.</t>
  </si>
  <si>
    <t>Set the min and Max capacitances to graph in C75 and C78.</t>
  </si>
  <si>
    <t>Set the Q and RP of two different sensors in A99/B99 andA103/B103</t>
  </si>
  <si>
    <t>LDC161x Inductive Measurement</t>
  </si>
  <si>
    <t>Conductor Resistivity temperature coef</t>
  </si>
  <si>
    <t>relative Permiablity</t>
  </si>
  <si>
    <t>LDC1000 Sample Rate</t>
  </si>
  <si>
    <t>This tool calculates the sensor frequency and inductance for the Multichannel LDCs</t>
  </si>
  <si>
    <t>ppm/°C</t>
  </si>
  <si>
    <t>Resistivity Tempco (TCR)</t>
  </si>
  <si>
    <t>Composition</t>
  </si>
  <si>
    <t>fullscale resolution</t>
  </si>
  <si>
    <t>LDC131x Gain</t>
  </si>
  <si>
    <t>Value programmed into OFFSET_CHx Register</t>
  </si>
  <si>
    <t>Sensor Capacitance</t>
  </si>
  <si>
    <t>Values below 100pf may exhibit parasitic interactions</t>
  </si>
  <si>
    <t>Reference Divider</t>
  </si>
  <si>
    <t>Fin Divider</t>
  </si>
  <si>
    <t>Select LDC</t>
  </si>
  <si>
    <t>CLKIN Frequency</t>
  </si>
  <si>
    <t>LDC Output Code Calculator</t>
  </si>
  <si>
    <t>TI LDC InductanceCalculator</t>
  </si>
  <si>
    <t>Inductance&amp;Frequency from Output Code</t>
  </si>
  <si>
    <t>LDC Current consumption using Sleep Mode</t>
  </si>
  <si>
    <t>Note on usage of these worksheets:</t>
  </si>
  <si>
    <t>Programed settle count</t>
  </si>
  <si>
    <t>Click on a tool from the list below:</t>
  </si>
  <si>
    <t>Quick Sensor L/C/f Calculator:</t>
  </si>
  <si>
    <t>If you want to minimize the effect of a conductor, use a target thickness of less than 0.5 skin depths</t>
  </si>
  <si>
    <t xml:space="preserve">For more information: read the blog post at: </t>
  </si>
  <si>
    <t>http://e2e.ti.com/blogs_/b/analogwire/archive/2014/11/21/inductive-sensing-sensor-frequency-constraints</t>
  </si>
  <si>
    <t xml:space="preserve">depth. It is recommended to use a target thickness of at least 3 skin depths for a good LDC measurement. </t>
  </si>
  <si>
    <t>Resonance impedance estimate</t>
  </si>
  <si>
    <t>Note that this does not include target effects</t>
  </si>
  <si>
    <t>Quick Sensor Rp/Rs/Q Calculator:</t>
  </si>
  <si>
    <t>Sample Rate Calculator</t>
  </si>
  <si>
    <t>Sensor Inductance</t>
  </si>
  <si>
    <t>Calculated Sensor Frequency</t>
  </si>
  <si>
    <t>Sensor Frequency 
(copy from C11 if desired)</t>
  </si>
  <si>
    <t>Number of Channels</t>
  </si>
  <si>
    <t>bits</t>
  </si>
  <si>
    <t>Conversion Interval</t>
  </si>
  <si>
    <t>Spiral Inductor Designer</t>
  </si>
  <si>
    <t>Note: these calculation tools are provided without any warranty. User should independently verify any calculation results.</t>
  </si>
  <si>
    <t>Sensor Region Graph</t>
  </si>
  <si>
    <t xml:space="preserve">Device </t>
  </si>
  <si>
    <t>LDC131x Output Gain</t>
  </si>
  <si>
    <t>Only applies to LDC131x</t>
  </si>
  <si>
    <t>Approx. L Measurement Resolution</t>
  </si>
  <si>
    <t xml:space="preserve">Note that the resolution calculations are optimum device limitations may not be realized by the system </t>
  </si>
  <si>
    <t>The L and C values can be used to determine the sensor frequency if needed.</t>
  </si>
  <si>
    <t>This tool calculates sample rate and resolution for the LDC.</t>
  </si>
  <si>
    <t>Coil Fill Ratio</t>
  </si>
  <si>
    <t>Outer diameter of inductor in mm</t>
  </si>
  <si>
    <t>din/dout</t>
  </si>
  <si>
    <r>
      <t>Reminder: 1oz copper is ~35</t>
    </r>
    <r>
      <rPr>
        <sz val="11"/>
        <color theme="1"/>
        <rFont val="Calibri"/>
        <family val="2"/>
      </rPr>
      <t>µm thick.</t>
    </r>
  </si>
  <si>
    <t>um</t>
  </si>
  <si>
    <t>Enter values or select settings in yellow cells only.</t>
  </si>
  <si>
    <t>Results provided in Orange cells. Do not edit these fields.</t>
  </si>
  <si>
    <t>Intermediate Calculation cells. Do not edit.</t>
  </si>
  <si>
    <t>LDC1101 Parameter Configuration for Rp Measurements</t>
  </si>
  <si>
    <t xml:space="preserve">time constants for the LDC1101. </t>
  </si>
  <si>
    <t>Sensor Parameters:</t>
  </si>
  <si>
    <t>Lsensor (No Target)</t>
  </si>
  <si>
    <t>Lsensor (Closest target)</t>
  </si>
  <si>
    <t xml:space="preserve">fsensor(No Target)  </t>
  </si>
  <si>
    <t>Fsensor(Closest target)</t>
  </si>
  <si>
    <t>Loop Parameters:</t>
  </si>
  <si>
    <t xml:space="preserve">Qmax = </t>
  </si>
  <si>
    <t>C1 (initial) =</t>
  </si>
  <si>
    <t>C1 (final) =</t>
  </si>
  <si>
    <t>R1 (initial)=</t>
  </si>
  <si>
    <t>R1 (final) =</t>
  </si>
  <si>
    <t>C2 (initial) =</t>
  </si>
  <si>
    <t>C2 (final) =</t>
  </si>
  <si>
    <t>R2 (initial) =</t>
  </si>
  <si>
    <t>R2 (final) =</t>
  </si>
  <si>
    <t>Limits and Parameters</t>
  </si>
  <si>
    <t>pico</t>
  </si>
  <si>
    <t>micro</t>
  </si>
  <si>
    <t>Mega</t>
  </si>
  <si>
    <t>Limits</t>
  </si>
  <si>
    <t>Min</t>
  </si>
  <si>
    <t>Max</t>
  </si>
  <si>
    <t>Lsensor</t>
  </si>
  <si>
    <t>Fosc</t>
  </si>
  <si>
    <t>Qsensor</t>
  </si>
  <si>
    <t>Rpparasitic</t>
  </si>
  <si>
    <t>Vamp</t>
  </si>
  <si>
    <t>Vswing</t>
  </si>
  <si>
    <t>K1 limits</t>
  </si>
  <si>
    <t>F1</t>
  </si>
  <si>
    <t>K1=F1/Fosc</t>
  </si>
  <si>
    <t>RP Listing</t>
  </si>
  <si>
    <t>C1 List</t>
  </si>
  <si>
    <t>C2 List</t>
  </si>
  <si>
    <t>LDC1101 RP Configuration</t>
  </si>
  <si>
    <r>
      <t>k</t>
    </r>
    <r>
      <rPr>
        <sz val="10"/>
        <color theme="1"/>
        <rFont val="Calibri"/>
        <family val="2"/>
      </rPr>
      <t>Ω</t>
    </r>
  </si>
  <si>
    <t>RpMIN Setting</t>
  </si>
  <si>
    <t>RpMAX Setting</t>
  </si>
  <si>
    <t>Spring Sensor Calculation Tool</t>
  </si>
  <si>
    <t>Spring Sensor Calculator Tool</t>
  </si>
  <si>
    <t>0.3&gt;  &gt;0.8 is recommended</t>
  </si>
  <si>
    <t>For the LDC131x/LDC161x, set the input deglitch filter appropriately (Register 0x1B[2:0]).</t>
  </si>
  <si>
    <t>Target Movement Change:</t>
  </si>
  <si>
    <t>LDC1101</t>
  </si>
  <si>
    <t>(registers 0x10:0x13)</t>
  </si>
  <si>
    <t>Minimum Settle Count Register Setting</t>
  </si>
  <si>
    <t>LDC Current consumption using Shutdown Mode</t>
  </si>
  <si>
    <t xml:space="preserve">This tool calculates the sensor frequency and inductance for the LDC1000/1041/1051. </t>
  </si>
  <si>
    <t>It can calculate the RP+L results for the LDC1101.</t>
  </si>
  <si>
    <t>Max Ref Frequency</t>
  </si>
  <si>
    <t>Max Sensor Frequency</t>
  </si>
  <si>
    <t>LDC131x/LDC161x/LDC1101LHR Inductance Calculator</t>
  </si>
  <si>
    <t>LDC1000/1041/LDC1101(RP+L) Inductance Calculator</t>
  </si>
  <si>
    <t>Calculate the L or RP measurement based on device output code and device settings.</t>
  </si>
  <si>
    <t>RP Max setting</t>
  </si>
  <si>
    <t>RP Min Setting</t>
  </si>
  <si>
    <t>LDC1000RP_SETTING(kΩ)</t>
  </si>
  <si>
    <t>LDC1101 RP Setting</t>
  </si>
  <si>
    <t>Active RP List</t>
  </si>
  <si>
    <t>kΩ</t>
  </si>
  <si>
    <t>LDC1101 RP Calculation</t>
  </si>
  <si>
    <t>Max output code</t>
  </si>
  <si>
    <t>LDC1000/10x1 RP Calc</t>
  </si>
  <si>
    <t>RP Decimal Output Code</t>
  </si>
  <si>
    <t>Max fCLKIN</t>
  </si>
  <si>
    <t>It also calculates the output for the LDC1101 LHR conversion result.</t>
  </si>
  <si>
    <t>(value in registers 0x08:0x0B)</t>
  </si>
  <si>
    <t>Hex</t>
  </si>
  <si>
    <t>LDC1000/1041/1051/1101 Sample Rate from Device Settings</t>
  </si>
  <si>
    <t>Programmed Rcount      0x</t>
  </si>
  <si>
    <t>Sensor capacitance</t>
  </si>
  <si>
    <t>Number of channels</t>
  </si>
  <si>
    <t>LDC161x/LDC131x/LDC1101(LHR) Sample Rate</t>
  </si>
  <si>
    <t>For reference only; enter value into cell below</t>
  </si>
  <si>
    <t xml:space="preserve">Use this tool to calculate the RPMIN/RPMAX and the internal </t>
  </si>
  <si>
    <t>Register TC1 setting</t>
  </si>
  <si>
    <t>Address 0x02</t>
  </si>
  <si>
    <t>Address 0x03</t>
  </si>
  <si>
    <t>Register TC2 setting</t>
  </si>
  <si>
    <t>Register RP_SET setting</t>
  </si>
  <si>
    <t>Address 0x01</t>
  </si>
  <si>
    <t>Lvariation</t>
  </si>
  <si>
    <r>
      <t>this is typically 80%</t>
    </r>
    <r>
      <rPr>
        <sz val="10"/>
        <color theme="1"/>
        <rFont val="Calibri"/>
        <family val="2"/>
      </rPr>
      <t>≤ x</t>
    </r>
    <r>
      <rPr>
        <sz val="10"/>
        <color theme="1"/>
        <rFont val="Calibri"/>
        <family val="2"/>
        <scheme val="minor"/>
      </rPr>
      <t xml:space="preserve"> ≤100%</t>
    </r>
  </si>
  <si>
    <t>After entering the sensor parameters with the target at farthest distance</t>
  </si>
  <si>
    <t>Then fill in the maximum shift in L and RP due to the target movement.</t>
  </si>
  <si>
    <r>
      <t>k</t>
    </r>
    <r>
      <rPr>
        <sz val="9"/>
        <color theme="1"/>
        <rFont val="Calibri"/>
        <family val="2"/>
      </rPr>
      <t>Ω</t>
    </r>
  </si>
  <si>
    <t>R1 Range</t>
  </si>
  <si>
    <t>R2 Range</t>
  </si>
  <si>
    <t>Decimal</t>
  </si>
  <si>
    <t xml:space="preserve">Set this value in Register 0x04 </t>
  </si>
  <si>
    <r>
      <t>this is typically 98%</t>
    </r>
    <r>
      <rPr>
        <sz val="10"/>
        <color theme="1"/>
        <rFont val="Calibri"/>
        <family val="2"/>
      </rPr>
      <t>≤ x</t>
    </r>
    <r>
      <rPr>
        <sz val="10"/>
        <color theme="1"/>
        <rFont val="Calibri"/>
        <family val="2"/>
        <scheme val="minor"/>
      </rPr>
      <t xml:space="preserve"> ≤100%: This is the Resistive shift only, ignoring any L shift</t>
    </r>
  </si>
  <si>
    <t>Rev 5</t>
  </si>
  <si>
    <t>decimal</t>
  </si>
  <si>
    <r>
      <t>LDC1000/1041/1051/LDC1101(RP+L) R</t>
    </r>
    <r>
      <rPr>
        <b/>
        <vertAlign val="subscript"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 xml:space="preserve"> Calculator</t>
    </r>
  </si>
  <si>
    <r>
      <t>R</t>
    </r>
    <r>
      <rPr>
        <b/>
        <i/>
        <vertAlign val="subscript"/>
        <sz val="11"/>
        <rFont val="Calibri"/>
        <family val="2"/>
        <scheme val="minor"/>
      </rPr>
      <t>P</t>
    </r>
    <r>
      <rPr>
        <b/>
        <i/>
        <sz val="11"/>
        <rFont val="Calibri"/>
        <family val="2"/>
        <scheme val="minor"/>
      </rPr>
      <t xml:space="preserve"> Measurement</t>
    </r>
  </si>
  <si>
    <r>
      <rPr>
        <i/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REFERENCE</t>
    </r>
    <r>
      <rPr>
        <sz val="11"/>
        <color theme="1"/>
        <rFont val="Calibri"/>
        <family val="2"/>
        <scheme val="minor"/>
      </rPr>
      <t xml:space="preserve"> input to CLKIN</t>
    </r>
  </si>
  <si>
    <t>Stainless Steel 316</t>
  </si>
  <si>
    <r>
      <t>µ</t>
    </r>
    <r>
      <rPr>
        <b/>
        <i/>
        <vertAlign val="subscript"/>
        <sz val="11"/>
        <color theme="1"/>
        <rFont val="Calibri"/>
        <family val="2"/>
        <scheme val="minor"/>
      </rPr>
      <t>r</t>
    </r>
  </si>
  <si>
    <t>FeCNiCrMo</t>
  </si>
  <si>
    <t>hex</t>
  </si>
  <si>
    <t>Effective settle count</t>
  </si>
  <si>
    <t>0AB123</t>
  </si>
  <si>
    <t>LDC161x</t>
  </si>
  <si>
    <t>Values below 100pf more likely to encounter parasitic interactions</t>
  </si>
  <si>
    <t>Stainless Steel 430</t>
  </si>
  <si>
    <t>Low carbon Steel 1006</t>
  </si>
  <si>
    <t>https://e2e.ti.com/blogs_/b/analogwire/archive/2014/06/10/inductive-sensing-how-to-use-a-tiny-2mm-pcb-inductor-as-a-sensor</t>
  </si>
  <si>
    <t>Programmed RCOUNT Register Value</t>
  </si>
  <si>
    <t>Note: LDC1000EVM uses 6MHz; LDC1101EVM uses 12MHz</t>
  </si>
  <si>
    <t>Change to MHz instead of Hz!</t>
  </si>
  <si>
    <t>Vpk</t>
  </si>
  <si>
    <t>Sensor IDRIVEx setting</t>
  </si>
  <si>
    <t>Note: lower settings will reduce the SNR of the sensor</t>
  </si>
  <si>
    <t>V</t>
  </si>
  <si>
    <t>Sensor Amplitude Calculator</t>
  </si>
  <si>
    <t>decimal RCOUNT</t>
  </si>
  <si>
    <t>Device Sample Rate</t>
  </si>
  <si>
    <t>kSPS</t>
  </si>
  <si>
    <t>Desired Sensor Amplitude</t>
  </si>
  <si>
    <t>Sensor Q</t>
  </si>
  <si>
    <t>Single Conversion time</t>
  </si>
  <si>
    <t>Estimated Sensor Signal Amplitude</t>
  </si>
  <si>
    <t>Recommended setting 1.8V</t>
  </si>
  <si>
    <t>LDC131x/LDC161x Sensor Configuration Tool</t>
  </si>
  <si>
    <r>
      <rPr>
        <i/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REFERENCE</t>
    </r>
    <r>
      <rPr>
        <sz val="11"/>
        <color theme="1"/>
        <rFont val="Calibri"/>
        <family val="2"/>
        <scheme val="minor"/>
      </rPr>
      <t xml:space="preserve"> </t>
    </r>
  </si>
  <si>
    <t>Maximum Reference Frequency</t>
  </si>
  <si>
    <t>Max fSENSOR</t>
  </si>
  <si>
    <t>decimal settle count</t>
  </si>
  <si>
    <t>000A</t>
  </si>
  <si>
    <t>Maximum Device Reference frequency</t>
  </si>
  <si>
    <t>LDC131x/LDC161x Sensor Configuration</t>
  </si>
  <si>
    <t>This tool can be used to estimate the appropriate current drive setting</t>
  </si>
  <si>
    <t>Recommended Settle Count Register Setting</t>
  </si>
  <si>
    <t>Conversion readback time (in active mode; includes sleep command)</t>
  </si>
  <si>
    <t>33f1</t>
  </si>
  <si>
    <r>
      <t>Assumes 25</t>
    </r>
    <r>
      <rPr>
        <b/>
        <sz val="11"/>
        <color theme="1"/>
        <rFont val="Calibri"/>
        <family val="2"/>
      </rPr>
      <t>°</t>
    </r>
    <r>
      <rPr>
        <b/>
        <sz val="11"/>
        <color theme="1"/>
        <rFont val="Calibri"/>
        <family val="2"/>
        <scheme val="minor"/>
      </rPr>
      <t>C environment</t>
    </r>
  </si>
  <si>
    <t>Device Active current (mA)</t>
  </si>
  <si>
    <t>Total Active current - with sensor (mA)</t>
  </si>
  <si>
    <t>Outer diameter of the inductor (short side)</t>
  </si>
  <si>
    <t>ratio of long edge to short edge (&gt;=1)</t>
  </si>
  <si>
    <t>racetrack design if &gt;1</t>
  </si>
  <si>
    <t>ratio of area to unit circle</t>
  </si>
  <si>
    <t>0.2&gt;  &gt;0.8 is recommended</t>
  </si>
  <si>
    <t>Rs</t>
  </si>
  <si>
    <t>Target Distance</t>
  </si>
  <si>
    <t>D</t>
  </si>
  <si>
    <t>Target Distance/Sensor Diameter Ratio</t>
  </si>
  <si>
    <t>RP Adjust Factor</t>
  </si>
  <si>
    <t>RP Adjust Factor (clipped)</t>
  </si>
  <si>
    <t>Target Conductivity (composition &amp; thickness)</t>
  </si>
  <si>
    <t>L shift</t>
  </si>
  <si>
    <t>Bounds limited L shift</t>
  </si>
  <si>
    <t>Sensor Inductance from Target Interaction</t>
  </si>
  <si>
    <t>L'</t>
  </si>
  <si>
    <t>Sensor Frequency with Target Interaction</t>
  </si>
  <si>
    <t>Fres'</t>
  </si>
  <si>
    <t>Rp with Target Interation</t>
  </si>
  <si>
    <t>Rp'</t>
  </si>
  <si>
    <t>Q Factor with target</t>
  </si>
  <si>
    <t>Q'</t>
  </si>
  <si>
    <r>
      <rPr>
        <sz val="10"/>
        <color theme="1"/>
        <rFont val="Calibri"/>
        <family val="2"/>
      </rPr>
      <t>µ</t>
    </r>
    <r>
      <rPr>
        <sz val="10"/>
        <color theme="1"/>
        <rFont val="Calibri"/>
        <family val="2"/>
        <scheme val="minor"/>
      </rPr>
      <t>r</t>
    </r>
  </si>
  <si>
    <r>
      <t>Conductor Resistivity (at 20</t>
    </r>
    <r>
      <rPr>
        <sz val="10"/>
        <color theme="1"/>
        <rFont val="Calibri"/>
        <family val="2"/>
      </rPr>
      <t>°</t>
    </r>
    <r>
      <rPr>
        <sz val="10"/>
        <color theme="1"/>
        <rFont val="Calibri"/>
        <family val="2"/>
        <scheme val="minor"/>
      </rPr>
      <t>C)</t>
    </r>
  </si>
  <si>
    <t>For aluminum target of at least 5 skin depths</t>
  </si>
  <si>
    <t>LC Sensor calculations</t>
  </si>
  <si>
    <t>Sensor Diameter</t>
  </si>
  <si>
    <t>sec</t>
  </si>
  <si>
    <t>sps</t>
  </si>
  <si>
    <t>Supply Voltage</t>
  </si>
  <si>
    <t>Sensor Diameter in mm</t>
  </si>
  <si>
    <t>Target distance in mm</t>
  </si>
  <si>
    <t>lifetime</t>
  </si>
  <si>
    <t>years</t>
  </si>
  <si>
    <t>iaverage</t>
  </si>
  <si>
    <t>uA</t>
  </si>
  <si>
    <r>
      <t>I</t>
    </r>
    <r>
      <rPr>
        <vertAlign val="subscript"/>
        <sz val="11"/>
        <color theme="1"/>
        <rFont val="Calibri"/>
        <family val="2"/>
        <scheme val="minor"/>
      </rPr>
      <t>static</t>
    </r>
  </si>
  <si>
    <t>A</t>
  </si>
  <si>
    <r>
      <t>I</t>
    </r>
    <r>
      <rPr>
        <vertAlign val="subscript"/>
        <sz val="11"/>
        <color theme="1"/>
        <rFont val="Calibri"/>
        <family val="2"/>
        <scheme val="minor"/>
      </rPr>
      <t>dyn</t>
    </r>
  </si>
  <si>
    <r>
      <t>I</t>
    </r>
    <r>
      <rPr>
        <vertAlign val="subscript"/>
        <sz val="11"/>
        <color theme="1"/>
        <rFont val="Calibri"/>
        <family val="2"/>
        <scheme val="minor"/>
      </rPr>
      <t>sensor</t>
    </r>
  </si>
  <si>
    <r>
      <t>I</t>
    </r>
    <r>
      <rPr>
        <vertAlign val="subscript"/>
        <sz val="11"/>
        <color theme="1"/>
        <rFont val="Calibri"/>
        <family val="2"/>
        <scheme val="minor"/>
      </rPr>
      <t>DD</t>
    </r>
  </si>
  <si>
    <r>
      <t>I</t>
    </r>
    <r>
      <rPr>
        <vertAlign val="subscript"/>
        <sz val="11"/>
        <color theme="1"/>
        <rFont val="Calibri"/>
        <family val="2"/>
        <scheme val="minor"/>
      </rPr>
      <t>SD</t>
    </r>
  </si>
  <si>
    <t>Given in electrical table as typ 0.140µA</t>
  </si>
  <si>
    <r>
      <t>t</t>
    </r>
    <r>
      <rPr>
        <vertAlign val="subscript"/>
        <sz val="11"/>
        <color theme="1"/>
        <rFont val="Calibri"/>
        <family val="2"/>
        <scheme val="minor"/>
      </rPr>
      <t>AMT</t>
    </r>
  </si>
  <si>
    <t>Given in datasheet as 450µs</t>
  </si>
  <si>
    <r>
      <t>t</t>
    </r>
    <r>
      <rPr>
        <vertAlign val="subscript"/>
        <sz val="11"/>
        <color theme="1"/>
        <rFont val="Calibri"/>
        <family val="2"/>
        <scheme val="minor"/>
      </rPr>
      <t>CONV</t>
    </r>
  </si>
  <si>
    <r>
      <t>I</t>
    </r>
    <r>
      <rPr>
        <vertAlign val="subscript"/>
        <sz val="11"/>
        <color theme="1"/>
        <rFont val="Calibri"/>
        <family val="2"/>
        <scheme val="minor"/>
      </rPr>
      <t>ON</t>
    </r>
  </si>
  <si>
    <r>
      <t>I</t>
    </r>
    <r>
      <rPr>
        <vertAlign val="subscript"/>
        <sz val="11"/>
        <color theme="1"/>
        <rFont val="Calibri"/>
        <family val="2"/>
        <scheme val="minor"/>
      </rPr>
      <t>RAMP</t>
    </r>
  </si>
  <si>
    <r>
      <t>I</t>
    </r>
    <r>
      <rPr>
        <vertAlign val="subscript"/>
        <sz val="11"/>
        <color theme="1"/>
        <rFont val="Calibri"/>
        <family val="2"/>
        <scheme val="minor"/>
      </rPr>
      <t>OFF</t>
    </r>
  </si>
  <si>
    <r>
      <t>I</t>
    </r>
    <r>
      <rPr>
        <vertAlign val="subscript"/>
        <sz val="11"/>
        <color theme="1"/>
        <rFont val="Calibri"/>
        <family val="2"/>
        <scheme val="minor"/>
      </rPr>
      <t>AVG</t>
    </r>
  </si>
  <si>
    <t>Total Active Current draw</t>
  </si>
  <si>
    <t>Acceptable minimum L</t>
  </si>
  <si>
    <t>target distance/sensor diam</t>
  </si>
  <si>
    <t>Inductance scaling factor</t>
  </si>
  <si>
    <t>Bounds limited scaling factor</t>
  </si>
  <si>
    <t>Continuous Sample Rate</t>
  </si>
  <si>
    <t>Conversion Latency</t>
  </si>
  <si>
    <t>Inductance with Target Interaction</t>
  </si>
  <si>
    <t>LDC0851 Calculator Tool</t>
  </si>
  <si>
    <t>Csensor &lt; 33pF</t>
  </si>
  <si>
    <t>Min L drive</t>
  </si>
  <si>
    <t>Fsensor</t>
  </si>
  <si>
    <t>Operating Point frequency</t>
  </si>
  <si>
    <t>Operating point L</t>
  </si>
  <si>
    <t>New!</t>
  </si>
  <si>
    <t>rev1.21</t>
  </si>
  <si>
    <t>Closest Target Distance</t>
  </si>
  <si>
    <t>Desired On Switching distance mm</t>
  </si>
  <si>
    <t>Desired Switch On distance</t>
  </si>
  <si>
    <t>Max Sensor Frequency with target</t>
  </si>
  <si>
    <t>Switch Off Distance in mm</t>
  </si>
  <si>
    <t>On</t>
  </si>
  <si>
    <t>Off</t>
  </si>
  <si>
    <t>Approx Switch On Distance</t>
  </si>
  <si>
    <t>Approx Switch Off Distance</t>
  </si>
  <si>
    <t>Max Sensor Current Drive</t>
  </si>
  <si>
    <t>Recommended ADJ Code</t>
  </si>
  <si>
    <r>
      <t>External Sensor Capacitance (C</t>
    </r>
    <r>
      <rPr>
        <vertAlign val="subscript"/>
        <sz val="11"/>
        <rFont val="Calibri"/>
        <family val="2"/>
        <scheme val="minor"/>
      </rPr>
      <t>SENSOR</t>
    </r>
    <r>
      <rPr>
        <sz val="11"/>
        <rFont val="Calibri"/>
        <family val="2"/>
        <scheme val="minor"/>
      </rPr>
      <t>)</t>
    </r>
  </si>
  <si>
    <r>
      <t>Parasitic PCB capacitance (C</t>
    </r>
    <r>
      <rPr>
        <vertAlign val="subscript"/>
        <sz val="11"/>
        <rFont val="Calibri"/>
        <family val="2"/>
        <scheme val="minor"/>
      </rPr>
      <t>BOARD</t>
    </r>
    <r>
      <rPr>
        <sz val="11"/>
        <rFont val="Calibri"/>
        <family val="2"/>
        <scheme val="minor"/>
      </rPr>
      <t>)</t>
    </r>
  </si>
  <si>
    <t>LDC0851 Design Space Calculator</t>
  </si>
  <si>
    <t>This tool determines appropriate device settings and sensor settings</t>
  </si>
  <si>
    <t xml:space="preserve">for optimum LDC0851 usage. </t>
  </si>
  <si>
    <r>
      <t>d</t>
    </r>
    <r>
      <rPr>
        <vertAlign val="subscript"/>
        <sz val="11"/>
        <color theme="1"/>
        <rFont val="Calibri"/>
        <family val="2"/>
        <scheme val="minor"/>
      </rPr>
      <t>OUT</t>
    </r>
  </si>
  <si>
    <t xml:space="preserve">Long side of inductor </t>
  </si>
  <si>
    <r>
      <t>d</t>
    </r>
    <r>
      <rPr>
        <vertAlign val="subscript"/>
        <sz val="11"/>
        <color theme="1"/>
        <rFont val="Calibri"/>
        <family val="2"/>
        <scheme val="minor"/>
      </rPr>
      <t>L</t>
    </r>
  </si>
  <si>
    <r>
      <t>L</t>
    </r>
    <r>
      <rPr>
        <vertAlign val="subscript"/>
        <sz val="11"/>
        <color theme="1"/>
        <rFont val="Calibri"/>
        <family val="2"/>
        <scheme val="minor"/>
      </rPr>
      <t>TOTAL</t>
    </r>
  </si>
  <si>
    <t>Est. Inductance with Target Interaction</t>
  </si>
  <si>
    <t>Approx.Full Scale Resolution</t>
  </si>
  <si>
    <t>Max Reference Count</t>
  </si>
  <si>
    <r>
      <t>Total Capacitance (C</t>
    </r>
    <r>
      <rPr>
        <vertAlign val="subscript"/>
        <sz val="11"/>
        <rFont val="Calibri"/>
        <family val="2"/>
        <scheme val="minor"/>
      </rPr>
      <t>TOTAL</t>
    </r>
    <r>
      <rPr>
        <sz val="11"/>
        <rFont val="Calibri"/>
        <family val="2"/>
        <scheme val="minor"/>
      </rPr>
      <t>)</t>
    </r>
  </si>
  <si>
    <t>ADJ Code</t>
  </si>
  <si>
    <t>Switch OFF Normalized</t>
  </si>
  <si>
    <t>Switch ON Normalized</t>
  </si>
  <si>
    <t>Approx Switch OFF</t>
  </si>
  <si>
    <t>Approx Switch ON</t>
  </si>
  <si>
    <t>Desired Switching</t>
  </si>
  <si>
    <t>Closest Target Disance</t>
  </si>
  <si>
    <t>Optimum ADC code from switch distance</t>
  </si>
  <si>
    <t>Approx Switch on distance in mm</t>
  </si>
  <si>
    <t>Verify switching distance in travel range</t>
  </si>
  <si>
    <r>
      <t>R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variation</t>
    </r>
  </si>
  <si>
    <r>
      <t>R</t>
    </r>
    <r>
      <rPr>
        <vertAlign val="subscript"/>
        <sz val="11"/>
        <color theme="1"/>
        <rFont val="Calibri"/>
        <family val="2"/>
        <scheme val="minor"/>
      </rPr>
      <t>P-PARASITIC</t>
    </r>
  </si>
  <si>
    <r>
      <t>Q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=</t>
    </r>
  </si>
  <si>
    <t>Estimator tool for racetrack spiral coils. This tool is provided without warranty or support. User assumes all liability.</t>
  </si>
  <si>
    <t>1f0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</si>
</sst>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"/>
    <numFmt numFmtId="165" formatCode="0.000"/>
    <numFmt numFmtId="166" formatCode="0.0000"/>
    <numFmt numFmtId="167" formatCode="0.000000"/>
    <numFmt numFmtId="168" formatCode="0.000E+00"/>
    <numFmt numFmtId="169" formatCode="##0.00E+0"/>
    <numFmt numFmtId="170" formatCode="0.0%"/>
  </numFmts>
  <fonts count="9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</font>
    <font>
      <sz val="10"/>
      <color rgb="FF005426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A7D00"/>
      <name val="Calibri"/>
      <family val="2"/>
    </font>
    <font>
      <sz val="9"/>
      <color theme="1"/>
      <name val="Calibri"/>
      <family val="2"/>
    </font>
    <font>
      <b/>
      <sz val="12"/>
      <color theme="6" tint="-0.499984740745262"/>
      <name val="Calibri"/>
      <family val="2"/>
      <scheme val="minor"/>
    </font>
    <font>
      <b/>
      <sz val="12"/>
      <color theme="6" tint="-0.499984740745262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F0"/>
      <name val="Calibri"/>
      <family val="2"/>
    </font>
    <font>
      <sz val="12.65"/>
      <color rgb="FF00B0F0"/>
      <name val="Calibri"/>
      <family val="2"/>
    </font>
    <font>
      <b/>
      <sz val="11"/>
      <color theme="6" tint="-0.499984740745262"/>
      <name val="Calibri"/>
      <family val="2"/>
      <scheme val="minor"/>
    </font>
    <font>
      <sz val="11"/>
      <color theme="0" tint="-0.14999847407452621"/>
      <name val="Calibri"/>
      <family val="2"/>
    </font>
    <font>
      <u/>
      <sz val="11"/>
      <color theme="10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i/>
      <sz val="12"/>
      <color theme="5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6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2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1"/>
      <name val="Calibri"/>
      <family val="2"/>
    </font>
    <font>
      <sz val="9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0"/>
      <color theme="1" tint="0.34998626667073579"/>
      <name val="Calibri"/>
      <family val="2"/>
    </font>
    <font>
      <sz val="10"/>
      <color theme="1" tint="0.34998626667073579"/>
      <name val="Calibri"/>
      <family val="2"/>
      <scheme val="minor"/>
    </font>
    <font>
      <i/>
      <sz val="11"/>
      <color theme="1"/>
      <name val="Calibri"/>
      <family val="2"/>
    </font>
    <font>
      <sz val="12"/>
      <color rgb="FFFF000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6"/>
      <name val="Calibri"/>
      <family val="2"/>
      <scheme val="minor"/>
    </font>
    <font>
      <b/>
      <sz val="14"/>
      <name val="Calibri"/>
      <family val="2"/>
      <scheme val="minor"/>
    </font>
    <font>
      <sz val="7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sz val="8"/>
      <name val="Calibri"/>
      <family val="2"/>
      <scheme val="minor"/>
    </font>
    <font>
      <i/>
      <sz val="8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sz val="11"/>
      <color rgb="FFFF00FF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9"/>
      <name val="Calibri"/>
      <family val="2"/>
    </font>
    <font>
      <b/>
      <sz val="11"/>
      <color rgb="FFC00000"/>
      <name val="Calibri"/>
      <family val="2"/>
      <scheme val="minor"/>
    </font>
    <font>
      <b/>
      <sz val="9"/>
      <color indexed="81"/>
      <name val="Calibri"/>
      <family val="2"/>
    </font>
    <font>
      <b/>
      <sz val="9"/>
      <color indexed="81"/>
      <name val="Symbol"/>
      <family val="1"/>
      <charset val="2"/>
    </font>
    <font>
      <b/>
      <sz val="12"/>
      <color indexed="81"/>
      <name val="Symbol"/>
      <family val="1"/>
      <charset val="2"/>
    </font>
    <font>
      <sz val="10"/>
      <color theme="1"/>
      <name val="Symbol"/>
      <family val="1"/>
      <charset val="2"/>
    </font>
    <font>
      <b/>
      <sz val="14"/>
      <color rgb="FFFF00FF"/>
      <name val="Calibri"/>
      <family val="2"/>
      <scheme val="minor"/>
    </font>
    <font>
      <sz val="8"/>
      <color rgb="FFFF00FF"/>
      <name val="Calibri"/>
      <family val="2"/>
      <scheme val="minor"/>
    </font>
    <font>
      <b/>
      <sz val="10"/>
      <name val="Calibri"/>
      <family val="2"/>
    </font>
    <font>
      <sz val="16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vertAlign val="subscript"/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name val="Calibri"/>
      <family val="2"/>
    </font>
    <font>
      <b/>
      <sz val="11"/>
      <color rgb="FF3F3F3F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vertAlign val="subscript"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rgb="FFB2B2B2"/>
      </left>
      <right style="thin">
        <color rgb="FFB2B2B2"/>
      </right>
      <top style="double">
        <color rgb="FFB2B2B2"/>
      </top>
      <bottom style="double">
        <color rgb="FF7F7F7F"/>
      </bottom>
      <diagonal/>
    </border>
    <border>
      <left style="thin">
        <color rgb="FFB2B2B2"/>
      </left>
      <right style="thin">
        <color rgb="FFB2B2B2"/>
      </right>
      <top style="double">
        <color rgb="FFB2B2B2"/>
      </top>
      <bottom style="double">
        <color rgb="FF7F7F7F"/>
      </bottom>
      <diagonal/>
    </border>
    <border>
      <left style="thin">
        <color rgb="FFB2B2B2"/>
      </left>
      <right style="double">
        <color rgb="FFB2B2B2"/>
      </right>
      <top style="double">
        <color rgb="FFB2B2B2"/>
      </top>
      <bottom style="double">
        <color rgb="FF7F7F7F"/>
      </bottom>
      <diagonal/>
    </border>
    <border>
      <left style="double">
        <color rgb="FF7F7F7F"/>
      </left>
      <right style="medium">
        <color rgb="FF7F7F7F"/>
      </right>
      <top style="double">
        <color rgb="FF7F7F7F"/>
      </top>
      <bottom style="medium">
        <color rgb="FF7F7F7F"/>
      </bottom>
      <diagonal/>
    </border>
    <border>
      <left style="medium">
        <color rgb="FF7F7F7F"/>
      </left>
      <right style="medium">
        <color rgb="FF7F7F7F"/>
      </right>
      <top style="double">
        <color rgb="FF7F7F7F"/>
      </top>
      <bottom style="medium">
        <color rgb="FF7F7F7F"/>
      </bottom>
      <diagonal/>
    </border>
    <border>
      <left style="medium">
        <color rgb="FF7F7F7F"/>
      </left>
      <right style="double">
        <color rgb="FF7F7F7F"/>
      </right>
      <top style="double">
        <color rgb="FF7F7F7F"/>
      </top>
      <bottom style="medium">
        <color rgb="FF7F7F7F"/>
      </bottom>
      <diagonal/>
    </border>
    <border>
      <left style="double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7F7F7F"/>
      </left>
      <right style="double">
        <color rgb="FF7F7F7F"/>
      </right>
      <top style="medium">
        <color rgb="FF7F7F7F"/>
      </top>
      <bottom style="medium">
        <color rgb="FF7F7F7F"/>
      </bottom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rgb="FF7F7F7F"/>
      </left>
      <right style="medium">
        <color rgb="FF7F7F7F"/>
      </right>
      <top style="medium">
        <color rgb="FF7F7F7F"/>
      </top>
      <bottom style="double">
        <color rgb="FF7F7F7F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double">
        <color rgb="FF7F7F7F"/>
      </bottom>
      <diagonal/>
    </border>
    <border>
      <left style="medium">
        <color rgb="FF7F7F7F"/>
      </left>
      <right style="double">
        <color rgb="FF7F7F7F"/>
      </right>
      <top style="medium">
        <color rgb="FF7F7F7F"/>
      </top>
      <bottom style="double">
        <color rgb="FF7F7F7F"/>
      </bottom>
      <diagonal/>
    </border>
    <border>
      <left/>
      <right style="medium">
        <color rgb="FF7F7F7F"/>
      </right>
      <top/>
      <bottom style="double">
        <color rgb="FF7F7F7F"/>
      </bottom>
      <diagonal/>
    </border>
    <border>
      <left style="medium">
        <color rgb="FF7F7F7F"/>
      </left>
      <right style="medium">
        <color rgb="FF7F7F7F"/>
      </right>
      <top/>
      <bottom style="double">
        <color rgb="FF7F7F7F"/>
      </bottom>
      <diagonal/>
    </border>
    <border>
      <left style="medium">
        <color rgb="FF7F7F7F"/>
      </left>
      <right style="double">
        <color rgb="FF7F7F7F"/>
      </right>
      <top/>
      <bottom style="double">
        <color rgb="FF7F7F7F"/>
      </bottom>
      <diagonal/>
    </border>
    <border>
      <left style="double">
        <color rgb="FF7F7F7F"/>
      </left>
      <right style="medium">
        <color rgb="FF7F7F7F"/>
      </right>
      <top style="double">
        <color rgb="FF7F7F7F"/>
      </top>
      <bottom style="double">
        <color rgb="FF7F7F7F"/>
      </bottom>
      <diagonal/>
    </border>
    <border>
      <left style="medium">
        <color rgb="FF7F7F7F"/>
      </left>
      <right style="medium">
        <color rgb="FF7F7F7F"/>
      </right>
      <top style="double">
        <color rgb="FF7F7F7F"/>
      </top>
      <bottom style="double">
        <color rgb="FF7F7F7F"/>
      </bottom>
      <diagonal/>
    </border>
    <border>
      <left style="medium">
        <color rgb="FF7F7F7F"/>
      </left>
      <right style="double">
        <color rgb="FF7F7F7F"/>
      </right>
      <top style="double">
        <color rgb="FF7F7F7F"/>
      </top>
      <bottom style="double">
        <color rgb="FF7F7F7F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15" fillId="4" borderId="2" applyNumberFormat="0" applyAlignment="0" applyProtection="0"/>
    <xf numFmtId="0" fontId="16" fillId="5" borderId="2" applyNumberFormat="0" applyAlignment="0" applyProtection="0"/>
    <xf numFmtId="0" fontId="14" fillId="6" borderId="3" applyNumberFormat="0" applyFont="0" applyAlignment="0" applyProtection="0"/>
    <xf numFmtId="0" fontId="43" fillId="0" borderId="0" applyNumberFormat="0" applyFill="0" applyBorder="0" applyAlignment="0" applyProtection="0"/>
    <xf numFmtId="0" fontId="89" fillId="5" borderId="45" applyNumberFormat="0" applyAlignment="0" applyProtection="0"/>
    <xf numFmtId="0" fontId="91" fillId="0" borderId="0" applyNumberFormat="0" applyFill="0" applyBorder="0" applyAlignment="0" applyProtection="0">
      <alignment vertical="top"/>
      <protection locked="0"/>
    </xf>
  </cellStyleXfs>
  <cellXfs count="583">
    <xf numFmtId="0" fontId="0" fillId="0" borderId="0" xfId="0"/>
    <xf numFmtId="0" fontId="1" fillId="0" borderId="0" xfId="0" applyFont="1" applyProtection="1"/>
    <xf numFmtId="0" fontId="0" fillId="0" borderId="0" xfId="0" applyProtection="1"/>
    <xf numFmtId="0" fontId="3" fillId="0" borderId="0" xfId="0" applyFont="1" applyProtection="1"/>
    <xf numFmtId="0" fontId="4" fillId="0" borderId="0" xfId="0" applyFont="1"/>
    <xf numFmtId="0" fontId="19" fillId="0" borderId="0" xfId="0" applyFont="1"/>
    <xf numFmtId="0" fontId="20" fillId="0" borderId="0" xfId="0" applyFont="1"/>
    <xf numFmtId="0" fontId="0" fillId="0" borderId="0" xfId="0" applyFont="1"/>
    <xf numFmtId="0" fontId="21" fillId="0" borderId="0" xfId="0" applyFont="1"/>
    <xf numFmtId="0" fontId="22" fillId="0" borderId="0" xfId="0" applyFont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/>
    <xf numFmtId="0" fontId="6" fillId="0" borderId="0" xfId="0" applyFont="1" applyAlignment="1">
      <alignment vertical="center"/>
    </xf>
    <xf numFmtId="0" fontId="4" fillId="0" borderId="0" xfId="0" applyFont="1" applyAlignment="1"/>
    <xf numFmtId="0" fontId="1" fillId="3" borderId="0" xfId="0" applyFont="1" applyFill="1"/>
    <xf numFmtId="0" fontId="0" fillId="3" borderId="0" xfId="0" applyFill="1"/>
    <xf numFmtId="0" fontId="19" fillId="0" borderId="1" xfId="0" applyFont="1" applyBorder="1" applyAlignment="1">
      <alignment horizontal="left"/>
    </xf>
    <xf numFmtId="0" fontId="19" fillId="0" borderId="1" xfId="0" applyFont="1" applyBorder="1" applyAlignment="1"/>
    <xf numFmtId="0" fontId="18" fillId="0" borderId="0" xfId="0" applyFont="1"/>
    <xf numFmtId="0" fontId="19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0" fillId="0" borderId="15" xfId="0" applyBorder="1"/>
    <xf numFmtId="0" fontId="16" fillId="5" borderId="16" xfId="2" applyBorder="1"/>
    <xf numFmtId="0" fontId="22" fillId="0" borderId="1" xfId="0" applyFont="1" applyFill="1" applyBorder="1"/>
    <xf numFmtId="0" fontId="22" fillId="0" borderId="1" xfId="0" applyFont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7" xfId="0" applyFill="1" applyBorder="1"/>
    <xf numFmtId="0" fontId="0" fillId="0" borderId="18" xfId="0" applyFill="1" applyBorder="1"/>
    <xf numFmtId="0" fontId="22" fillId="0" borderId="20" xfId="0" applyFont="1" applyFill="1" applyBorder="1"/>
    <xf numFmtId="0" fontId="22" fillId="0" borderId="21" xfId="0" applyFont="1" applyFill="1" applyBorder="1"/>
    <xf numFmtId="0" fontId="22" fillId="0" borderId="21" xfId="0" applyFont="1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0" fillId="0" borderId="23" xfId="0" applyFill="1" applyBorder="1" applyAlignment="1"/>
    <xf numFmtId="0" fontId="0" fillId="0" borderId="25" xfId="0" applyBorder="1"/>
    <xf numFmtId="0" fontId="16" fillId="5" borderId="26" xfId="2" applyBorder="1"/>
    <xf numFmtId="0" fontId="0" fillId="0" borderId="0" xfId="0" applyFill="1"/>
    <xf numFmtId="0" fontId="15" fillId="0" borderId="0" xfId="1" applyFill="1" applyBorder="1" applyAlignment="1">
      <alignment horizontal="center" textRotation="90"/>
    </xf>
    <xf numFmtId="0" fontId="15" fillId="0" borderId="0" xfId="1" applyFill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16" fillId="5" borderId="29" xfId="2" applyBorder="1"/>
    <xf numFmtId="0" fontId="0" fillId="0" borderId="20" xfId="0" applyFill="1" applyBorder="1"/>
    <xf numFmtId="0" fontId="0" fillId="0" borderId="21" xfId="0" applyFill="1" applyBorder="1"/>
    <xf numFmtId="0" fontId="20" fillId="0" borderId="21" xfId="0" applyFont="1" applyFill="1" applyBorder="1" applyAlignment="1">
      <alignment horizontal="left"/>
    </xf>
    <xf numFmtId="0" fontId="0" fillId="0" borderId="0" xfId="0" applyBorder="1" applyAlignment="1"/>
    <xf numFmtId="0" fontId="30" fillId="5" borderId="32" xfId="2" applyFont="1" applyBorder="1"/>
    <xf numFmtId="0" fontId="32" fillId="0" borderId="21" xfId="0" applyFont="1" applyFill="1" applyBorder="1" applyAlignment="1">
      <alignment horizontal="left"/>
    </xf>
    <xf numFmtId="0" fontId="34" fillId="0" borderId="23" xfId="0" applyFont="1" applyFill="1" applyBorder="1" applyAlignment="1"/>
    <xf numFmtId="0" fontId="0" fillId="0" borderId="33" xfId="0" applyFill="1" applyBorder="1"/>
    <xf numFmtId="0" fontId="0" fillId="0" borderId="34" xfId="0" applyFill="1" applyBorder="1"/>
    <xf numFmtId="0" fontId="20" fillId="0" borderId="34" xfId="0" applyFont="1" applyFill="1" applyBorder="1" applyAlignment="1">
      <alignment horizontal="left"/>
    </xf>
    <xf numFmtId="0" fontId="0" fillId="0" borderId="35" xfId="0" applyFill="1" applyBorder="1" applyAlignment="1">
      <alignment horizontal="left"/>
    </xf>
    <xf numFmtId="0" fontId="0" fillId="0" borderId="36" xfId="0" applyFill="1" applyBorder="1" applyAlignment="1"/>
    <xf numFmtId="0" fontId="0" fillId="0" borderId="0" xfId="0" applyBorder="1" applyAlignment="1">
      <alignment horizontal="right"/>
    </xf>
    <xf numFmtId="0" fontId="0" fillId="2" borderId="0" xfId="0" applyFill="1"/>
    <xf numFmtId="2" fontId="0" fillId="0" borderId="0" xfId="0" applyNumberFormat="1"/>
    <xf numFmtId="0" fontId="1" fillId="0" borderId="0" xfId="0" applyFont="1" applyAlignment="1"/>
    <xf numFmtId="11" fontId="0" fillId="0" borderId="0" xfId="0" applyNumberFormat="1"/>
    <xf numFmtId="11" fontId="0" fillId="2" borderId="1" xfId="0" applyNumberFormat="1" applyFill="1" applyBorder="1"/>
    <xf numFmtId="0" fontId="0" fillId="2" borderId="1" xfId="0" applyFill="1" applyBorder="1"/>
    <xf numFmtId="0" fontId="35" fillId="0" borderId="0" xfId="0" applyFont="1" applyFill="1"/>
    <xf numFmtId="0" fontId="37" fillId="0" borderId="0" xfId="0" applyFont="1"/>
    <xf numFmtId="11" fontId="37" fillId="0" borderId="0" xfId="0" applyNumberFormat="1" applyFont="1"/>
    <xf numFmtId="0" fontId="38" fillId="0" borderId="0" xfId="0" applyFont="1"/>
    <xf numFmtId="0" fontId="6" fillId="0" borderId="0" xfId="0" applyFont="1"/>
    <xf numFmtId="0" fontId="12" fillId="0" borderId="0" xfId="0" applyFont="1"/>
    <xf numFmtId="0" fontId="42" fillId="0" borderId="0" xfId="0" applyFont="1"/>
    <xf numFmtId="0" fontId="43" fillId="0" borderId="0" xfId="4"/>
    <xf numFmtId="0" fontId="23" fillId="0" borderId="0" xfId="0" applyFont="1"/>
    <xf numFmtId="0" fontId="5" fillId="0" borderId="0" xfId="0" applyFont="1"/>
    <xf numFmtId="0" fontId="0" fillId="0" borderId="0" xfId="0" applyAlignment="1">
      <alignment vertical="center" wrapText="1"/>
    </xf>
    <xf numFmtId="0" fontId="29" fillId="0" borderId="0" xfId="0" applyFont="1"/>
    <xf numFmtId="0" fontId="44" fillId="0" borderId="0" xfId="0" applyFont="1"/>
    <xf numFmtId="0" fontId="0" fillId="0" borderId="0" xfId="0" applyFill="1" applyBorder="1"/>
    <xf numFmtId="0" fontId="45" fillId="0" borderId="0" xfId="0" applyFont="1"/>
    <xf numFmtId="165" fontId="1" fillId="3" borderId="1" xfId="0" applyNumberFormat="1" applyFont="1" applyFill="1" applyBorder="1"/>
    <xf numFmtId="0" fontId="0" fillId="3" borderId="1" xfId="0" applyFill="1" applyBorder="1"/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48" fillId="0" borderId="0" xfId="0" applyFont="1" applyBorder="1"/>
    <xf numFmtId="166" fontId="1" fillId="0" borderId="0" xfId="0" applyNumberFormat="1" applyFont="1" applyFill="1" applyBorder="1"/>
    <xf numFmtId="2" fontId="1" fillId="3" borderId="1" xfId="0" applyNumberFormat="1" applyFont="1" applyFill="1" applyBorder="1"/>
    <xf numFmtId="0" fontId="1" fillId="0" borderId="0" xfId="0" applyFont="1" applyBorder="1" applyAlignment="1">
      <alignment horizontal="left"/>
    </xf>
    <xf numFmtId="164" fontId="0" fillId="3" borderId="1" xfId="0" applyNumberFormat="1" applyFill="1" applyBorder="1"/>
    <xf numFmtId="0" fontId="9" fillId="0" borderId="0" xfId="0" applyFont="1"/>
    <xf numFmtId="0" fontId="5" fillId="0" borderId="0" xfId="0" applyFont="1" applyBorder="1" applyAlignment="1"/>
    <xf numFmtId="166" fontId="0" fillId="3" borderId="1" xfId="0" applyNumberFormat="1" applyFont="1" applyFill="1" applyBorder="1"/>
    <xf numFmtId="2" fontId="0" fillId="3" borderId="1" xfId="0" applyNumberFormat="1" applyFont="1" applyFill="1" applyBorder="1"/>
    <xf numFmtId="0" fontId="5" fillId="3" borderId="1" xfId="0" applyFont="1" applyFill="1" applyBorder="1"/>
    <xf numFmtId="0" fontId="49" fillId="0" borderId="0" xfId="0" applyFont="1" applyFill="1"/>
    <xf numFmtId="0" fontId="49" fillId="0" borderId="0" xfId="0" applyFont="1"/>
    <xf numFmtId="0" fontId="0" fillId="2" borderId="1" xfId="0" applyFill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2" fontId="5" fillId="3" borderId="1" xfId="0" applyNumberFormat="1" applyFont="1" applyFill="1" applyBorder="1"/>
    <xf numFmtId="165" fontId="1" fillId="3" borderId="21" xfId="0" applyNumberFormat="1" applyFont="1" applyFill="1" applyBorder="1" applyAlignment="1">
      <alignment horizontal="right"/>
    </xf>
    <xf numFmtId="165" fontId="0" fillId="3" borderId="21" xfId="0" applyNumberFormat="1" applyFill="1" applyBorder="1" applyAlignment="1">
      <alignment horizontal="right"/>
    </xf>
    <xf numFmtId="165" fontId="4" fillId="3" borderId="21" xfId="0" applyNumberFormat="1" applyFont="1" applyFill="1" applyBorder="1" applyAlignment="1">
      <alignment horizontal="right"/>
    </xf>
    <xf numFmtId="165" fontId="0" fillId="3" borderId="34" xfId="0" applyNumberFormat="1" applyFill="1" applyBorder="1" applyAlignment="1">
      <alignment horizontal="right"/>
    </xf>
    <xf numFmtId="2" fontId="5" fillId="3" borderId="1" xfId="0" applyNumberFormat="1" applyFont="1" applyFill="1" applyBorder="1" applyProtection="1"/>
    <xf numFmtId="165" fontId="11" fillId="3" borderId="1" xfId="0" applyNumberFormat="1" applyFont="1" applyFill="1" applyBorder="1" applyProtection="1">
      <protection locked="0"/>
    </xf>
    <xf numFmtId="164" fontId="22" fillId="3" borderId="1" xfId="0" applyNumberFormat="1" applyFont="1" applyFill="1" applyBorder="1" applyProtection="1"/>
    <xf numFmtId="168" fontId="22" fillId="3" borderId="1" xfId="0" applyNumberFormat="1" applyFont="1" applyFill="1" applyBorder="1" applyAlignment="1">
      <alignment horizontal="right" vertical="center"/>
    </xf>
    <xf numFmtId="2" fontId="5" fillId="3" borderId="21" xfId="0" applyNumberFormat="1" applyFont="1" applyFill="1" applyBorder="1" applyAlignment="1">
      <alignment horizontal="right"/>
    </xf>
    <xf numFmtId="164" fontId="4" fillId="3" borderId="21" xfId="0" applyNumberFormat="1" applyFont="1" applyFill="1" applyBorder="1" applyAlignment="1">
      <alignment horizontal="right"/>
    </xf>
    <xf numFmtId="0" fontId="0" fillId="7" borderId="1" xfId="3" applyFont="1" applyFill="1" applyBorder="1" applyAlignment="1"/>
    <xf numFmtId="0" fontId="0" fillId="7" borderId="1" xfId="3" applyFont="1" applyFill="1" applyBorder="1"/>
    <xf numFmtId="0" fontId="20" fillId="7" borderId="1" xfId="3" applyFont="1" applyFill="1" applyBorder="1" applyAlignment="1">
      <alignment horizontal="left"/>
    </xf>
    <xf numFmtId="0" fontId="52" fillId="0" borderId="21" xfId="0" applyFont="1" applyFill="1" applyBorder="1" applyAlignment="1">
      <alignment horizontal="left"/>
    </xf>
    <xf numFmtId="0" fontId="1" fillId="0" borderId="20" xfId="0" applyFont="1" applyFill="1" applyBorder="1"/>
    <xf numFmtId="0" fontId="53" fillId="0" borderId="20" xfId="0" applyFont="1" applyFill="1" applyBorder="1"/>
    <xf numFmtId="0" fontId="53" fillId="0" borderId="21" xfId="0" applyFont="1" applyFill="1" applyBorder="1"/>
    <xf numFmtId="2" fontId="53" fillId="3" borderId="21" xfId="0" applyNumberFormat="1" applyFont="1" applyFill="1" applyBorder="1" applyAlignment="1">
      <alignment horizontal="right"/>
    </xf>
    <xf numFmtId="0" fontId="53" fillId="0" borderId="21" xfId="0" applyFont="1" applyFill="1" applyBorder="1" applyAlignment="1">
      <alignment horizontal="left"/>
    </xf>
    <xf numFmtId="0" fontId="54" fillId="0" borderId="20" xfId="0" applyFont="1" applyFill="1" applyBorder="1"/>
    <xf numFmtId="0" fontId="54" fillId="0" borderId="21" xfId="0" applyFont="1" applyFill="1" applyBorder="1"/>
    <xf numFmtId="165" fontId="54" fillId="3" borderId="21" xfId="0" applyNumberFormat="1" applyFont="1" applyFill="1" applyBorder="1" applyAlignment="1">
      <alignment horizontal="right"/>
    </xf>
    <xf numFmtId="0" fontId="55" fillId="0" borderId="21" xfId="0" applyFont="1" applyFill="1" applyBorder="1" applyAlignment="1">
      <alignment horizontal="left"/>
    </xf>
    <xf numFmtId="0" fontId="56" fillId="0" borderId="2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43" fillId="0" borderId="0" xfId="4" applyAlignment="1"/>
    <xf numFmtId="165" fontId="15" fillId="3" borderId="1" xfId="1" applyNumberFormat="1" applyFill="1" applyBorder="1"/>
    <xf numFmtId="2" fontId="7" fillId="2" borderId="1" xfId="0" applyNumberFormat="1" applyFont="1" applyFill="1" applyBorder="1" applyProtection="1">
      <protection locked="0"/>
    </xf>
    <xf numFmtId="0" fontId="0" fillId="2" borderId="1" xfId="0" applyFill="1" applyBorder="1" applyAlignment="1" applyProtection="1">
      <alignment horizontal="right"/>
      <protection locked="0"/>
    </xf>
    <xf numFmtId="48" fontId="59" fillId="3" borderId="1" xfId="0" applyNumberFormat="1" applyFont="1" applyFill="1" applyBorder="1"/>
    <xf numFmtId="0" fontId="0" fillId="3" borderId="1" xfId="0" applyFill="1" applyBorder="1" applyAlignment="1">
      <alignment horizontal="right"/>
    </xf>
    <xf numFmtId="2" fontId="0" fillId="3" borderId="1" xfId="0" applyNumberFormat="1" applyFill="1" applyBorder="1"/>
    <xf numFmtId="165" fontId="50" fillId="3" borderId="1" xfId="0" applyNumberFormat="1" applyFont="1" applyFill="1" applyBorder="1"/>
    <xf numFmtId="0" fontId="61" fillId="0" borderId="0" xfId="0" applyFont="1"/>
    <xf numFmtId="0" fontId="1" fillId="0" borderId="0" xfId="0" applyFont="1" applyFill="1"/>
    <xf numFmtId="0" fontId="1" fillId="0" borderId="0" xfId="0" applyFont="1" applyFill="1" applyBorder="1"/>
    <xf numFmtId="0" fontId="62" fillId="0" borderId="0" xfId="0" applyFont="1" applyBorder="1"/>
    <xf numFmtId="0" fontId="1" fillId="3" borderId="1" xfId="0" applyFont="1" applyFill="1" applyBorder="1" applyAlignment="1">
      <alignment horizontal="center"/>
    </xf>
    <xf numFmtId="0" fontId="19" fillId="0" borderId="0" xfId="0" applyFont="1" applyFill="1" applyBorder="1"/>
    <xf numFmtId="0" fontId="7" fillId="0" borderId="0" xfId="0" applyFont="1"/>
    <xf numFmtId="0" fontId="7" fillId="0" borderId="0" xfId="0" applyNumberFormat="1" applyFont="1" applyFill="1" applyBorder="1"/>
    <xf numFmtId="2" fontId="63" fillId="3" borderId="1" xfId="0" applyNumberFormat="1" applyFont="1" applyFill="1" applyBorder="1" applyAlignment="1">
      <alignment vertical="center"/>
    </xf>
    <xf numFmtId="166" fontId="10" fillId="3" borderId="1" xfId="0" applyNumberFormat="1" applyFont="1" applyFill="1" applyBorder="1"/>
    <xf numFmtId="0" fontId="5" fillId="0" borderId="0" xfId="0" applyFont="1" applyFill="1"/>
    <xf numFmtId="0" fontId="23" fillId="3" borderId="1" xfId="0" applyFont="1" applyFill="1" applyBorder="1"/>
    <xf numFmtId="0" fontId="20" fillId="3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61" fillId="3" borderId="1" xfId="0" applyFont="1" applyFill="1" applyBorder="1" applyAlignment="1">
      <alignment horizontal="center" vertical="center" wrapText="1"/>
    </xf>
    <xf numFmtId="0" fontId="65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32" fillId="3" borderId="1" xfId="0" applyFont="1" applyFill="1" applyBorder="1" applyAlignment="1">
      <alignment horizontal="center" vertical="center" wrapText="1"/>
    </xf>
    <xf numFmtId="0" fontId="34" fillId="0" borderId="0" xfId="0" applyFont="1"/>
    <xf numFmtId="0" fontId="6" fillId="0" borderId="0" xfId="0" applyFont="1" applyFill="1"/>
    <xf numFmtId="0" fontId="46" fillId="0" borderId="0" xfId="0" applyFont="1" applyFill="1"/>
    <xf numFmtId="165" fontId="22" fillId="0" borderId="0" xfId="0" applyNumberFormat="1" applyFont="1"/>
    <xf numFmtId="0" fontId="0" fillId="9" borderId="0" xfId="0" applyFill="1"/>
    <xf numFmtId="0" fontId="7" fillId="9" borderId="0" xfId="0" applyFont="1" applyFill="1"/>
    <xf numFmtId="0" fontId="66" fillId="9" borderId="0" xfId="0" applyFont="1" applyFill="1"/>
    <xf numFmtId="0" fontId="7" fillId="9" borderId="1" xfId="0" applyFont="1" applyFill="1" applyBorder="1"/>
    <xf numFmtId="11" fontId="7" fillId="9" borderId="1" xfId="0" applyNumberFormat="1" applyFont="1" applyFill="1" applyBorder="1"/>
    <xf numFmtId="165" fontId="7" fillId="9" borderId="0" xfId="0" applyNumberFormat="1" applyFont="1" applyFill="1"/>
    <xf numFmtId="2" fontId="7" fillId="9" borderId="1" xfId="0" applyNumberFormat="1" applyFont="1" applyFill="1" applyBorder="1"/>
    <xf numFmtId="1" fontId="0" fillId="9" borderId="0" xfId="0" applyNumberFormat="1" applyFill="1"/>
    <xf numFmtId="165" fontId="0" fillId="9" borderId="0" xfId="0" applyNumberFormat="1" applyFill="1"/>
    <xf numFmtId="2" fontId="0" fillId="9" borderId="0" xfId="0" applyNumberFormat="1" applyFill="1"/>
    <xf numFmtId="166" fontId="7" fillId="9" borderId="0" xfId="0" applyNumberFormat="1" applyFont="1" applyFill="1"/>
    <xf numFmtId="0" fontId="7" fillId="9" borderId="1" xfId="0" applyFont="1" applyFill="1" applyBorder="1" applyAlignment="1">
      <alignment horizontal="left"/>
    </xf>
    <xf numFmtId="167" fontId="7" fillId="9" borderId="1" xfId="0" applyNumberFormat="1" applyFont="1" applyFill="1" applyBorder="1" applyAlignment="1">
      <alignment horizontal="left"/>
    </xf>
    <xf numFmtId="0" fontId="7" fillId="9" borderId="1" xfId="3" applyFont="1" applyFill="1" applyBorder="1" applyAlignment="1">
      <alignment horizontal="left"/>
    </xf>
    <xf numFmtId="0" fontId="7" fillId="9" borderId="19" xfId="0" applyFont="1" applyFill="1" applyBorder="1" applyAlignment="1">
      <alignment horizontal="left"/>
    </xf>
    <xf numFmtId="0" fontId="7" fillId="9" borderId="22" xfId="0" applyFont="1" applyFill="1" applyBorder="1" applyAlignment="1">
      <alignment horizontal="left"/>
    </xf>
    <xf numFmtId="0" fontId="15" fillId="9" borderId="15" xfId="1" applyFill="1" applyBorder="1"/>
    <xf numFmtId="0" fontId="15" fillId="9" borderId="25" xfId="1" applyFill="1" applyBorder="1"/>
    <xf numFmtId="0" fontId="62" fillId="9" borderId="0" xfId="0" applyFont="1" applyFill="1" applyBorder="1"/>
    <xf numFmtId="0" fontId="48" fillId="9" borderId="0" xfId="0" applyFont="1" applyFill="1" applyBorder="1"/>
    <xf numFmtId="164" fontId="10" fillId="3" borderId="1" xfId="0" applyNumberFormat="1" applyFont="1" applyFill="1" applyBorder="1"/>
    <xf numFmtId="0" fontId="66" fillId="9" borderId="0" xfId="0" applyFont="1" applyFill="1" applyProtection="1"/>
    <xf numFmtId="0" fontId="66" fillId="9" borderId="0" xfId="0" applyFont="1" applyFill="1" applyProtection="1">
      <protection locked="0"/>
    </xf>
    <xf numFmtId="0" fontId="1" fillId="9" borderId="0" xfId="0" applyFont="1" applyFill="1"/>
    <xf numFmtId="48" fontId="67" fillId="9" borderId="1" xfId="0" applyNumberFormat="1" applyFont="1" applyFill="1" applyBorder="1"/>
    <xf numFmtId="0" fontId="18" fillId="9" borderId="0" xfId="0" applyFont="1" applyFill="1"/>
    <xf numFmtId="0" fontId="6" fillId="9" borderId="0" xfId="0" applyFont="1" applyFill="1"/>
    <xf numFmtId="0" fontId="41" fillId="9" borderId="0" xfId="0" applyFont="1" applyFill="1"/>
    <xf numFmtId="2" fontId="7" fillId="9" borderId="0" xfId="0" applyNumberFormat="1" applyFont="1" applyFill="1"/>
    <xf numFmtId="0" fontId="8" fillId="9" borderId="0" xfId="0" applyFont="1" applyFill="1"/>
    <xf numFmtId="0" fontId="10" fillId="9" borderId="0" xfId="0" applyFont="1" applyFill="1"/>
    <xf numFmtId="168" fontId="0" fillId="0" borderId="0" xfId="0" applyNumberFormat="1" applyFill="1"/>
    <xf numFmtId="0" fontId="36" fillId="0" borderId="0" xfId="0" applyFont="1"/>
    <xf numFmtId="2" fontId="0" fillId="0" borderId="0" xfId="0" applyNumberFormat="1" applyAlignment="1">
      <alignment horizontal="right"/>
    </xf>
    <xf numFmtId="0" fontId="68" fillId="0" borderId="0" xfId="0" applyFont="1"/>
    <xf numFmtId="0" fontId="66" fillId="0" borderId="0" xfId="0" applyFont="1"/>
    <xf numFmtId="0" fontId="69" fillId="0" borderId="0" xfId="0" applyFont="1"/>
    <xf numFmtId="0" fontId="0" fillId="0" borderId="38" xfId="0" applyFont="1" applyBorder="1"/>
    <xf numFmtId="0" fontId="0" fillId="0" borderId="39" xfId="0" applyFont="1" applyBorder="1"/>
    <xf numFmtId="0" fontId="0" fillId="0" borderId="40" xfId="0" applyFont="1" applyBorder="1"/>
    <xf numFmtId="0" fontId="4" fillId="0" borderId="0" xfId="0" applyFont="1" applyFill="1" applyBorder="1"/>
    <xf numFmtId="0" fontId="20" fillId="0" borderId="0" xfId="0" applyFont="1" applyFill="1" applyBorder="1"/>
    <xf numFmtId="0" fontId="0" fillId="0" borderId="0" xfId="0" applyFont="1" applyAlignment="1">
      <alignment wrapText="1"/>
    </xf>
    <xf numFmtId="165" fontId="5" fillId="3" borderId="1" xfId="0" applyNumberFormat="1" applyFont="1" applyFill="1" applyBorder="1"/>
    <xf numFmtId="2" fontId="11" fillId="3" borderId="1" xfId="0" applyNumberFormat="1" applyFont="1" applyFill="1" applyBorder="1"/>
    <xf numFmtId="0" fontId="0" fillId="0" borderId="0" xfId="0" applyFill="1" applyBorder="1" applyAlignment="1">
      <alignment wrapText="1"/>
    </xf>
    <xf numFmtId="0" fontId="19" fillId="9" borderId="1" xfId="0" applyFont="1" applyFill="1" applyBorder="1"/>
    <xf numFmtId="0" fontId="0" fillId="0" borderId="41" xfId="0" applyFill="1" applyBorder="1" applyAlignment="1"/>
    <xf numFmtId="2" fontId="22" fillId="9" borderId="21" xfId="0" applyNumberFormat="1" applyFont="1" applyFill="1" applyBorder="1" applyAlignment="1">
      <alignment horizontal="right"/>
    </xf>
    <xf numFmtId="166" fontId="22" fillId="9" borderId="21" xfId="0" applyNumberFormat="1" applyFont="1" applyFill="1" applyBorder="1" applyAlignment="1">
      <alignment horizontal="right"/>
    </xf>
    <xf numFmtId="0" fontId="26" fillId="0" borderId="18" xfId="0" applyFont="1" applyFill="1" applyBorder="1" applyAlignment="1">
      <alignment horizontal="center"/>
    </xf>
    <xf numFmtId="0" fontId="1" fillId="2" borderId="0" xfId="0" applyFont="1" applyFill="1"/>
    <xf numFmtId="0" fontId="70" fillId="0" borderId="0" xfId="0" applyFont="1"/>
    <xf numFmtId="2" fontId="70" fillId="0" borderId="0" xfId="0" applyNumberFormat="1" applyFont="1" applyAlignment="1">
      <alignment horizontal="right"/>
    </xf>
    <xf numFmtId="0" fontId="70" fillId="0" borderId="0" xfId="0" applyFont="1" applyAlignment="1">
      <alignment horizontal="right"/>
    </xf>
    <xf numFmtId="2" fontId="1" fillId="3" borderId="18" xfId="0" applyNumberFormat="1" applyFont="1" applyFill="1" applyBorder="1" applyAlignment="1">
      <alignment horizontal="right"/>
    </xf>
    <xf numFmtId="166" fontId="71" fillId="0" borderId="0" xfId="0" applyNumberFormat="1" applyFont="1" applyAlignment="1">
      <alignment horizontal="right"/>
    </xf>
    <xf numFmtId="0" fontId="5" fillId="0" borderId="0" xfId="0" applyFont="1" applyFill="1" applyBorder="1"/>
    <xf numFmtId="0" fontId="0" fillId="0" borderId="0" xfId="0" applyFont="1" applyFill="1" applyBorder="1"/>
    <xf numFmtId="2" fontId="0" fillId="0" borderId="0" xfId="0" applyNumberFormat="1" applyFill="1" applyBorder="1"/>
    <xf numFmtId="0" fontId="72" fillId="0" borderId="0" xfId="0" applyFont="1"/>
    <xf numFmtId="48" fontId="7" fillId="3" borderId="1" xfId="0" applyNumberFormat="1" applyFont="1" applyFill="1" applyBorder="1"/>
    <xf numFmtId="0" fontId="63" fillId="0" borderId="0" xfId="0" applyFont="1" applyFill="1"/>
    <xf numFmtId="0" fontId="0" fillId="0" borderId="0" xfId="0" applyFill="1" applyAlignment="1">
      <alignment horizontal="center"/>
    </xf>
    <xf numFmtId="0" fontId="73" fillId="0" borderId="0" xfId="0" applyFont="1" applyFill="1"/>
    <xf numFmtId="0" fontId="11" fillId="0" borderId="0" xfId="0" applyFont="1" applyFill="1"/>
    <xf numFmtId="0" fontId="0" fillId="9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48" fontId="0" fillId="0" borderId="0" xfId="0" applyNumberFormat="1"/>
    <xf numFmtId="165" fontId="0" fillId="3" borderId="1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9" fontId="0" fillId="0" borderId="0" xfId="0" applyNumberFormat="1"/>
    <xf numFmtId="164" fontId="0" fillId="3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9" borderId="1" xfId="0" applyNumberFormat="1" applyFill="1" applyBorder="1"/>
    <xf numFmtId="169" fontId="20" fillId="0" borderId="0" xfId="0" applyNumberFormat="1" applyFont="1" applyFill="1" applyBorder="1" applyAlignment="1">
      <alignment horizontal="left"/>
    </xf>
    <xf numFmtId="0" fontId="77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48" fontId="20" fillId="0" borderId="0" xfId="0" applyNumberFormat="1" applyFont="1" applyFill="1" applyBorder="1" applyAlignment="1">
      <alignment horizontal="left"/>
    </xf>
    <xf numFmtId="0" fontId="19" fillId="0" borderId="1" xfId="0" applyFont="1" applyBorder="1" applyAlignment="1">
      <alignment wrapText="1"/>
    </xf>
    <xf numFmtId="0" fontId="50" fillId="0" borderId="1" xfId="0" applyFont="1" applyFill="1" applyBorder="1" applyAlignment="1">
      <alignment vertical="center" wrapText="1"/>
    </xf>
    <xf numFmtId="0" fontId="20" fillId="0" borderId="0" xfId="0" applyFont="1" applyAlignment="1">
      <alignment horizontal="left"/>
    </xf>
    <xf numFmtId="2" fontId="4" fillId="3" borderId="1" xfId="0" applyNumberFormat="1" applyFont="1" applyFill="1" applyBorder="1" applyAlignment="1" applyProtection="1">
      <alignment vertical="center"/>
    </xf>
    <xf numFmtId="0" fontId="0" fillId="9" borderId="1" xfId="0" applyFill="1" applyBorder="1"/>
    <xf numFmtId="2" fontId="1" fillId="0" borderId="0" xfId="0" applyNumberFormat="1" applyFont="1" applyFill="1" applyBorder="1"/>
    <xf numFmtId="0" fontId="0" fillId="10" borderId="0" xfId="0" applyFill="1"/>
    <xf numFmtId="0" fontId="1" fillId="10" borderId="0" xfId="0" applyFont="1" applyFill="1"/>
    <xf numFmtId="0" fontId="8" fillId="0" borderId="0" xfId="0" applyFont="1" applyFill="1"/>
    <xf numFmtId="0" fontId="0" fillId="3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right"/>
    </xf>
    <xf numFmtId="0" fontId="79" fillId="0" borderId="0" xfId="0" applyFont="1" applyProtection="1"/>
    <xf numFmtId="2" fontId="7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68" fillId="9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60" fillId="9" borderId="1" xfId="0" applyFont="1" applyFill="1" applyBorder="1"/>
    <xf numFmtId="0" fontId="22" fillId="0" borderId="0" xfId="0" applyFont="1" applyAlignment="1">
      <alignment horizontal="center"/>
    </xf>
    <xf numFmtId="11" fontId="22" fillId="9" borderId="1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60" fillId="0" borderId="0" xfId="0" applyFont="1" applyFill="1" applyBorder="1"/>
    <xf numFmtId="0" fontId="60" fillId="0" borderId="0" xfId="0" applyFont="1" applyFill="1"/>
    <xf numFmtId="164" fontId="22" fillId="9" borderId="1" xfId="0" applyNumberFormat="1" applyFont="1" applyFill="1" applyBorder="1"/>
    <xf numFmtId="165" fontId="22" fillId="9" borderId="1" xfId="0" applyNumberFormat="1" applyFont="1" applyFill="1" applyBorder="1"/>
    <xf numFmtId="2" fontId="22" fillId="9" borderId="1" xfId="0" applyNumberFormat="1" applyFont="1" applyFill="1" applyBorder="1"/>
    <xf numFmtId="48" fontId="22" fillId="0" borderId="0" xfId="0" applyNumberFormat="1" applyFont="1" applyFill="1" applyBorder="1"/>
    <xf numFmtId="48" fontId="22" fillId="0" borderId="0" xfId="0" applyNumberFormat="1" applyFont="1"/>
    <xf numFmtId="48" fontId="22" fillId="9" borderId="1" xfId="0" applyNumberFormat="1" applyFont="1" applyFill="1" applyBorder="1"/>
    <xf numFmtId="0" fontId="22" fillId="0" borderId="0" xfId="0" applyFont="1" applyFill="1" applyBorder="1"/>
    <xf numFmtId="0" fontId="22" fillId="0" borderId="0" xfId="0" applyFont="1" applyAlignment="1">
      <alignment horizontal="left"/>
    </xf>
    <xf numFmtId="0" fontId="7" fillId="0" borderId="20" xfId="0" applyFont="1" applyFill="1" applyBorder="1"/>
    <xf numFmtId="165" fontId="10" fillId="3" borderId="21" xfId="0" applyNumberFormat="1" applyFont="1" applyFill="1" applyBorder="1" applyAlignment="1">
      <alignment horizontal="right"/>
    </xf>
    <xf numFmtId="0" fontId="80" fillId="0" borderId="21" xfId="0" applyFont="1" applyFill="1" applyBorder="1" applyAlignment="1">
      <alignment horizontal="left"/>
    </xf>
    <xf numFmtId="0" fontId="81" fillId="0" borderId="0" xfId="0" applyFont="1"/>
    <xf numFmtId="0" fontId="83" fillId="0" borderId="0" xfId="0" applyFont="1" applyFill="1"/>
    <xf numFmtId="0" fontId="7" fillId="0" borderId="1" xfId="0" applyFont="1" applyBorder="1"/>
    <xf numFmtId="0" fontId="7" fillId="3" borderId="42" xfId="0" applyNumberFormat="1" applyFont="1" applyFill="1" applyBorder="1"/>
    <xf numFmtId="0" fontId="7" fillId="3" borderId="42" xfId="0" applyNumberFormat="1" applyFont="1" applyFill="1" applyBorder="1" applyAlignment="1">
      <alignment horizontal="right"/>
    </xf>
    <xf numFmtId="0" fontId="7" fillId="9" borderId="42" xfId="0" applyNumberFormat="1" applyFont="1" applyFill="1" applyBorder="1"/>
    <xf numFmtId="2" fontId="0" fillId="9" borderId="42" xfId="0" applyNumberFormat="1" applyFill="1" applyBorder="1"/>
    <xf numFmtId="166" fontId="7" fillId="3" borderId="42" xfId="0" applyNumberFormat="1" applyFont="1" applyFill="1" applyBorder="1"/>
    <xf numFmtId="165" fontId="5" fillId="9" borderId="21" xfId="0" applyNumberFormat="1" applyFont="1" applyFill="1" applyBorder="1" applyAlignment="1">
      <alignment horizontal="right"/>
    </xf>
    <xf numFmtId="0" fontId="1" fillId="0" borderId="21" xfId="0" applyFont="1" applyFill="1" applyBorder="1" applyAlignment="1">
      <alignment horizontal="left"/>
    </xf>
    <xf numFmtId="0" fontId="87" fillId="0" borderId="0" xfId="0" applyFont="1" applyBorder="1" applyAlignment="1">
      <alignment horizontal="left"/>
    </xf>
    <xf numFmtId="0" fontId="7" fillId="9" borderId="1" xfId="0" applyNumberFormat="1" applyFont="1" applyFill="1" applyBorder="1"/>
    <xf numFmtId="0" fontId="20" fillId="2" borderId="1" xfId="0" applyFont="1" applyFill="1" applyBorder="1"/>
    <xf numFmtId="0" fontId="20" fillId="0" borderId="0" xfId="0" applyFont="1" applyFill="1"/>
    <xf numFmtId="0" fontId="20" fillId="0" borderId="39" xfId="0" applyFont="1" applyFill="1" applyBorder="1"/>
    <xf numFmtId="165" fontId="11" fillId="3" borderId="1" xfId="0" applyNumberFormat="1" applyFont="1" applyFill="1" applyBorder="1"/>
    <xf numFmtId="0" fontId="11" fillId="3" borderId="42" xfId="0" applyNumberFormat="1" applyFont="1" applyFill="1" applyBorder="1" applyAlignment="1">
      <alignment horizontal="right"/>
    </xf>
    <xf numFmtId="0" fontId="50" fillId="9" borderId="42" xfId="0" applyNumberFormat="1" applyFont="1" applyFill="1" applyBorder="1"/>
    <xf numFmtId="2" fontId="11" fillId="3" borderId="1" xfId="0" applyNumberFormat="1" applyFont="1" applyFill="1" applyBorder="1" applyAlignment="1">
      <alignment vertical="center"/>
    </xf>
    <xf numFmtId="0" fontId="11" fillId="9" borderId="42" xfId="0" applyNumberFormat="1" applyFont="1" applyFill="1" applyBorder="1"/>
    <xf numFmtId="165" fontId="5" fillId="9" borderId="0" xfId="0" applyNumberFormat="1" applyFont="1" applyFill="1"/>
    <xf numFmtId="0" fontId="5" fillId="9" borderId="0" xfId="0" applyFont="1" applyFill="1"/>
    <xf numFmtId="166" fontId="11" fillId="9" borderId="42" xfId="0" applyNumberFormat="1" applyFont="1" applyFill="1" applyBorder="1"/>
    <xf numFmtId="165" fontId="50" fillId="9" borderId="37" xfId="0" applyNumberFormat="1" applyFont="1" applyFill="1" applyBorder="1"/>
    <xf numFmtId="0" fontId="19" fillId="9" borderId="1" xfId="0" applyFont="1" applyFill="1" applyBorder="1" applyAlignment="1">
      <alignment horizontal="center"/>
    </xf>
    <xf numFmtId="2" fontId="50" fillId="9" borderId="0" xfId="0" applyNumberFormat="1" applyFont="1" applyFill="1" applyBorder="1"/>
    <xf numFmtId="2" fontId="50" fillId="9" borderId="1" xfId="0" applyNumberFormat="1" applyFont="1" applyFill="1" applyBorder="1"/>
    <xf numFmtId="0" fontId="0" fillId="0" borderId="1" xfId="0" applyBorder="1" applyAlignment="1">
      <alignment wrapText="1"/>
    </xf>
    <xf numFmtId="2" fontId="12" fillId="0" borderId="0" xfId="0" applyNumberFormat="1" applyFont="1" applyFill="1" applyBorder="1"/>
    <xf numFmtId="165" fontId="12" fillId="0" borderId="0" xfId="0" applyNumberFormat="1" applyFont="1" applyFill="1" applyBorder="1"/>
    <xf numFmtId="0" fontId="90" fillId="0" borderId="1" xfId="0" applyFont="1" applyBorder="1" applyProtection="1">
      <protection locked="0"/>
    </xf>
    <xf numFmtId="164" fontId="7" fillId="2" borderId="1" xfId="0" applyNumberFormat="1" applyFon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9" borderId="1" xfId="0" applyFill="1" applyBorder="1" applyProtection="1">
      <protection locked="0"/>
    </xf>
    <xf numFmtId="2" fontId="0" fillId="2" borderId="1" xfId="0" applyNumberFormat="1" applyFill="1" applyBorder="1" applyProtection="1">
      <protection locked="0"/>
    </xf>
    <xf numFmtId="2" fontId="0" fillId="9" borderId="1" xfId="0" applyNumberFormat="1" applyFill="1" applyBorder="1" applyProtection="1">
      <protection locked="0"/>
    </xf>
    <xf numFmtId="0" fontId="4" fillId="0" borderId="0" xfId="0" applyFont="1" applyProtection="1"/>
    <xf numFmtId="0" fontId="43" fillId="0" borderId="0" xfId="4" applyProtection="1"/>
    <xf numFmtId="0" fontId="19" fillId="0" borderId="0" xfId="0" applyFont="1" applyProtection="1"/>
    <xf numFmtId="0" fontId="58" fillId="0" borderId="0" xfId="0" applyFont="1" applyProtection="1"/>
    <xf numFmtId="0" fontId="7" fillId="0" borderId="1" xfId="0" applyFont="1" applyBorder="1" applyProtection="1"/>
    <xf numFmtId="0" fontId="0" fillId="2" borderId="1" xfId="0" applyFill="1" applyBorder="1" applyProtection="1"/>
    <xf numFmtId="0" fontId="0" fillId="0" borderId="1" xfId="0" applyBorder="1" applyProtection="1"/>
    <xf numFmtId="0" fontId="0" fillId="9" borderId="1" xfId="0" applyFill="1" applyBorder="1" applyProtection="1"/>
    <xf numFmtId="0" fontId="90" fillId="0" borderId="1" xfId="0" applyFont="1" applyBorder="1" applyProtection="1"/>
    <xf numFmtId="0" fontId="36" fillId="0" borderId="0" xfId="0" applyFont="1" applyProtection="1"/>
    <xf numFmtId="164" fontId="7" fillId="9" borderId="1" xfId="0" applyNumberFormat="1" applyFont="1" applyFill="1" applyBorder="1" applyProtection="1"/>
    <xf numFmtId="165" fontId="7" fillId="3" borderId="1" xfId="0" applyNumberFormat="1" applyFont="1" applyFill="1" applyBorder="1" applyProtection="1"/>
    <xf numFmtId="1" fontId="7" fillId="3" borderId="1" xfId="0" applyNumberFormat="1" applyFont="1" applyFill="1" applyBorder="1" applyProtection="1"/>
    <xf numFmtId="0" fontId="0" fillId="0" borderId="0" xfId="0" applyFont="1" applyProtection="1"/>
    <xf numFmtId="0" fontId="7" fillId="9" borderId="0" xfId="0" applyFont="1" applyFill="1" applyProtection="1"/>
    <xf numFmtId="0" fontId="0" fillId="0" borderId="1" xfId="0" applyFont="1" applyBorder="1" applyProtection="1"/>
    <xf numFmtId="0" fontId="0" fillId="0" borderId="0" xfId="0" applyFont="1" applyFill="1" applyBorder="1" applyProtection="1"/>
    <xf numFmtId="165" fontId="7" fillId="0" borderId="46" xfId="0" applyNumberFormat="1" applyFont="1" applyFill="1" applyBorder="1" applyProtection="1"/>
    <xf numFmtId="0" fontId="0" fillId="0" borderId="46" xfId="0" applyFill="1" applyBorder="1" applyProtection="1"/>
    <xf numFmtId="0" fontId="7" fillId="0" borderId="1" xfId="0" applyFont="1" applyFill="1" applyBorder="1" applyProtection="1"/>
    <xf numFmtId="165" fontId="0" fillId="3" borderId="1" xfId="0" applyNumberFormat="1" applyFill="1" applyBorder="1" applyProtection="1"/>
    <xf numFmtId="0" fontId="0" fillId="3" borderId="1" xfId="0" applyFill="1" applyBorder="1" applyProtection="1"/>
    <xf numFmtId="0" fontId="7" fillId="9" borderId="1" xfId="0" applyFont="1" applyFill="1" applyBorder="1" applyProtection="1"/>
    <xf numFmtId="2" fontId="0" fillId="3" borderId="1" xfId="0" applyNumberFormat="1" applyFill="1" applyBorder="1" applyProtection="1"/>
    <xf numFmtId="0" fontId="50" fillId="0" borderId="1" xfId="0" applyFont="1" applyFill="1" applyBorder="1" applyProtection="1"/>
    <xf numFmtId="165" fontId="0" fillId="9" borderId="1" xfId="0" applyNumberFormat="1" applyFill="1" applyBorder="1" applyProtection="1"/>
    <xf numFmtId="0" fontId="15" fillId="4" borderId="2" xfId="1" applyProtection="1"/>
    <xf numFmtId="0" fontId="89" fillId="5" borderId="45" xfId="5" applyProtection="1"/>
    <xf numFmtId="165" fontId="7" fillId="3" borderId="0" xfId="0" applyNumberFormat="1" applyFont="1" applyFill="1" applyProtection="1"/>
    <xf numFmtId="0" fontId="0" fillId="9" borderId="0" xfId="0" applyFill="1" applyProtection="1"/>
    <xf numFmtId="0" fontId="7" fillId="0" borderId="0" xfId="0" applyFont="1" applyProtection="1"/>
    <xf numFmtId="0" fontId="93" fillId="0" borderId="0" xfId="0" applyFont="1" applyProtection="1"/>
    <xf numFmtId="0" fontId="92" fillId="0" borderId="0" xfId="0" applyFont="1" applyProtection="1"/>
    <xf numFmtId="0" fontId="49" fillId="0" borderId="0" xfId="0" applyFont="1" applyProtection="1"/>
    <xf numFmtId="0" fontId="92" fillId="0" borderId="0" xfId="0" applyFont="1" applyAlignment="1" applyProtection="1">
      <alignment vertical="center"/>
    </xf>
    <xf numFmtId="11" fontId="92" fillId="0" borderId="0" xfId="0" applyNumberFormat="1" applyFont="1" applyProtection="1"/>
    <xf numFmtId="0" fontId="92" fillId="0" borderId="0" xfId="0" applyNumberFormat="1" applyFont="1" applyProtection="1"/>
    <xf numFmtId="165" fontId="92" fillId="0" borderId="0" xfId="0" applyNumberFormat="1" applyFont="1" applyProtection="1"/>
    <xf numFmtId="2" fontId="92" fillId="0" borderId="0" xfId="0" applyNumberFormat="1" applyFont="1" applyProtection="1"/>
    <xf numFmtId="166" fontId="92" fillId="0" borderId="0" xfId="0" applyNumberFormat="1" applyFont="1" applyProtection="1"/>
    <xf numFmtId="0" fontId="92" fillId="0" borderId="0" xfId="0" applyFont="1" applyFill="1" applyProtection="1"/>
    <xf numFmtId="0" fontId="19" fillId="2" borderId="1" xfId="0" applyFont="1" applyFill="1" applyBorder="1" applyAlignment="1" applyProtection="1">
      <alignment horizontal="right"/>
      <protection locked="0"/>
    </xf>
    <xf numFmtId="164" fontId="4" fillId="2" borderId="1" xfId="0" applyNumberFormat="1" applyFont="1" applyFill="1" applyBorder="1" applyAlignment="1" applyProtection="1">
      <alignment horizontal="right"/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2" fontId="4" fillId="2" borderId="1" xfId="0" applyNumberFormat="1" applyFont="1" applyFill="1" applyBorder="1" applyAlignment="1" applyProtection="1">
      <alignment horizontal="right"/>
      <protection locked="0"/>
    </xf>
    <xf numFmtId="0" fontId="26" fillId="2" borderId="1" xfId="0" applyFont="1" applyFill="1" applyBorder="1" applyAlignment="1" applyProtection="1">
      <alignment horizontal="center"/>
      <protection locked="0"/>
    </xf>
    <xf numFmtId="165" fontId="27" fillId="9" borderId="1" xfId="0" applyNumberFormat="1" applyFont="1" applyFill="1" applyBorder="1" applyAlignment="1" applyProtection="1">
      <alignment horizontal="right"/>
      <protection locked="0"/>
    </xf>
    <xf numFmtId="0" fontId="26" fillId="9" borderId="1" xfId="0" applyFont="1" applyFill="1" applyBorder="1" applyAlignment="1" applyProtection="1">
      <alignment horizontal="center"/>
      <protection locked="0"/>
    </xf>
    <xf numFmtId="2" fontId="27" fillId="2" borderId="1" xfId="0" applyNumberFormat="1" applyFont="1" applyFill="1" applyBorder="1" applyAlignment="1" applyProtection="1">
      <alignment horizontal="right"/>
      <protection locked="0"/>
    </xf>
    <xf numFmtId="165" fontId="4" fillId="2" borderId="1" xfId="0" applyNumberFormat="1" applyFont="1" applyFill="1" applyBorder="1" applyAlignment="1" applyProtection="1">
      <alignment horizontal="right"/>
      <protection locked="0"/>
    </xf>
    <xf numFmtId="165" fontId="0" fillId="8" borderId="1" xfId="0" applyNumberFormat="1" applyFill="1" applyBorder="1" applyAlignment="1" applyProtection="1">
      <alignment horizontal="right"/>
      <protection locked="0"/>
    </xf>
    <xf numFmtId="165" fontId="0" fillId="2" borderId="1" xfId="0" applyNumberFormat="1" applyFill="1" applyBorder="1" applyAlignment="1" applyProtection="1">
      <alignment horizontal="right"/>
      <protection locked="0"/>
    </xf>
    <xf numFmtId="11" fontId="20" fillId="8" borderId="1" xfId="3" applyNumberFormat="1" applyFont="1" applyFill="1" applyBorder="1" applyAlignment="1" applyProtection="1">
      <alignment horizontal="right"/>
      <protection locked="0"/>
    </xf>
    <xf numFmtId="165" fontId="20" fillId="8" borderId="1" xfId="3" applyNumberFormat="1" applyFont="1" applyFill="1" applyBorder="1" applyAlignment="1" applyProtection="1">
      <alignment horizontal="right"/>
      <protection locked="0"/>
    </xf>
    <xf numFmtId="2" fontId="20" fillId="8" borderId="1" xfId="3" applyNumberFormat="1" applyFont="1" applyFill="1" applyBorder="1" applyAlignment="1" applyProtection="1">
      <alignment horizontal="right"/>
      <protection locked="0"/>
    </xf>
    <xf numFmtId="164" fontId="0" fillId="8" borderId="1" xfId="3" applyNumberFormat="1" applyFont="1" applyFill="1" applyBorder="1" applyAlignment="1" applyProtection="1">
      <alignment horizontal="righ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right"/>
    </xf>
    <xf numFmtId="0" fontId="43" fillId="0" borderId="0" xfId="4" applyAlignment="1" applyProtection="1"/>
    <xf numFmtId="0" fontId="6" fillId="0" borderId="0" xfId="0" applyFont="1" applyAlignment="1" applyProtection="1">
      <alignment vertical="center"/>
    </xf>
    <xf numFmtId="0" fontId="0" fillId="0" borderId="0" xfId="0" applyAlignment="1" applyProtection="1"/>
    <xf numFmtId="0" fontId="4" fillId="0" borderId="0" xfId="0" applyFont="1" applyAlignment="1" applyProtection="1"/>
    <xf numFmtId="0" fontId="1" fillId="2" borderId="0" xfId="0" applyFont="1" applyFill="1" applyProtection="1"/>
    <xf numFmtId="0" fontId="0" fillId="2" borderId="0" xfId="0" applyFill="1" applyProtection="1"/>
    <xf numFmtId="0" fontId="1" fillId="3" borderId="0" xfId="0" applyFont="1" applyFill="1" applyProtection="1"/>
    <xf numFmtId="0" fontId="0" fillId="3" borderId="0" xfId="0" applyFill="1" applyProtection="1"/>
    <xf numFmtId="0" fontId="19" fillId="0" borderId="1" xfId="0" applyFont="1" applyBorder="1" applyAlignment="1" applyProtection="1">
      <alignment horizontal="left"/>
    </xf>
    <xf numFmtId="0" fontId="19" fillId="0" borderId="1" xfId="0" applyFont="1" applyBorder="1" applyAlignment="1" applyProtection="1">
      <alignment horizontal="center"/>
    </xf>
    <xf numFmtId="0" fontId="19" fillId="0" borderId="1" xfId="0" applyFont="1" applyFill="1" applyBorder="1" applyAlignment="1" applyProtection="1">
      <alignment horizontal="left"/>
    </xf>
    <xf numFmtId="0" fontId="19" fillId="0" borderId="1" xfId="0" applyFont="1" applyBorder="1" applyAlignment="1" applyProtection="1"/>
    <xf numFmtId="0" fontId="18" fillId="0" borderId="0" xfId="0" applyFont="1" applyProtection="1"/>
    <xf numFmtId="0" fontId="19" fillId="0" borderId="1" xfId="0" applyFont="1" applyBorder="1" applyProtection="1"/>
    <xf numFmtId="0" fontId="0" fillId="0" borderId="1" xfId="0" applyBorder="1" applyAlignment="1" applyProtection="1">
      <alignment horizontal="center"/>
    </xf>
    <xf numFmtId="0" fontId="20" fillId="0" borderId="1" xfId="0" applyFont="1" applyFill="1" applyBorder="1" applyAlignment="1" applyProtection="1">
      <alignment horizontal="left"/>
    </xf>
    <xf numFmtId="0" fontId="0" fillId="0" borderId="1" xfId="0" applyBorder="1" applyAlignment="1" applyProtection="1">
      <alignment horizontal="left"/>
    </xf>
    <xf numFmtId="0" fontId="0" fillId="0" borderId="1" xfId="0" applyBorder="1" applyAlignment="1" applyProtection="1"/>
    <xf numFmtId="2" fontId="0" fillId="0" borderId="0" xfId="0" applyNumberFormat="1" applyProtection="1"/>
    <xf numFmtId="0" fontId="7" fillId="9" borderId="1" xfId="0" applyFont="1" applyFill="1" applyBorder="1" applyAlignment="1" applyProtection="1">
      <alignment horizontal="left"/>
    </xf>
    <xf numFmtId="165" fontId="27" fillId="9" borderId="1" xfId="0" applyNumberFormat="1" applyFont="1" applyFill="1" applyBorder="1" applyAlignment="1" applyProtection="1">
      <alignment horizontal="right"/>
    </xf>
    <xf numFmtId="0" fontId="26" fillId="9" borderId="1" xfId="0" applyFont="1" applyFill="1" applyBorder="1" applyAlignment="1" applyProtection="1">
      <alignment horizontal="center"/>
    </xf>
    <xf numFmtId="0" fontId="26" fillId="0" borderId="1" xfId="0" applyFont="1" applyFill="1" applyBorder="1" applyAlignment="1" applyProtection="1">
      <alignment horizontal="center"/>
    </xf>
    <xf numFmtId="0" fontId="7" fillId="0" borderId="1" xfId="0" applyFont="1" applyFill="1" applyBorder="1" applyAlignment="1" applyProtection="1">
      <alignment horizontal="left"/>
    </xf>
    <xf numFmtId="165" fontId="27" fillId="3" borderId="1" xfId="0" applyNumberFormat="1" applyFont="1" applyFill="1" applyBorder="1" applyAlignment="1" applyProtection="1">
      <alignment horizontal="right"/>
    </xf>
    <xf numFmtId="0" fontId="15" fillId="9" borderId="15" xfId="1" applyFill="1" applyBorder="1" applyProtection="1"/>
    <xf numFmtId="167" fontId="7" fillId="9" borderId="1" xfId="0" applyNumberFormat="1" applyFont="1" applyFill="1" applyBorder="1" applyAlignment="1" applyProtection="1">
      <alignment horizontal="left"/>
    </xf>
    <xf numFmtId="0" fontId="20" fillId="7" borderId="1" xfId="3" applyFont="1" applyFill="1" applyBorder="1" applyProtection="1"/>
    <xf numFmtId="0" fontId="20" fillId="7" borderId="1" xfId="3" applyFont="1" applyFill="1" applyBorder="1" applyAlignment="1" applyProtection="1">
      <alignment horizontal="center"/>
    </xf>
    <xf numFmtId="0" fontId="20" fillId="7" borderId="1" xfId="3" applyFont="1" applyFill="1" applyBorder="1" applyAlignment="1" applyProtection="1">
      <alignment horizontal="left"/>
    </xf>
    <xf numFmtId="0" fontId="7" fillId="9" borderId="1" xfId="3" applyFont="1" applyFill="1" applyBorder="1" applyAlignment="1" applyProtection="1">
      <alignment horizontal="left"/>
    </xf>
    <xf numFmtId="0" fontId="0" fillId="7" borderId="1" xfId="3" applyFont="1" applyFill="1" applyBorder="1" applyAlignment="1" applyProtection="1"/>
    <xf numFmtId="0" fontId="0" fillId="0" borderId="15" xfId="0" applyBorder="1" applyProtection="1"/>
    <xf numFmtId="0" fontId="16" fillId="5" borderId="16" xfId="2" applyBorder="1" applyProtection="1"/>
    <xf numFmtId="0" fontId="0" fillId="7" borderId="1" xfId="3" applyFont="1" applyFill="1" applyBorder="1" applyProtection="1"/>
    <xf numFmtId="0" fontId="0" fillId="7" borderId="1" xfId="3" applyFont="1" applyFill="1" applyBorder="1" applyAlignment="1" applyProtection="1">
      <alignment horizontal="center"/>
    </xf>
    <xf numFmtId="0" fontId="22" fillId="0" borderId="1" xfId="0" applyFont="1" applyFill="1" applyBorder="1" applyProtection="1"/>
    <xf numFmtId="0" fontId="22" fillId="0" borderId="1" xfId="0" applyFont="1" applyFill="1" applyBorder="1" applyAlignment="1" applyProtection="1">
      <alignment horizontal="center"/>
    </xf>
    <xf numFmtId="168" fontId="22" fillId="3" borderId="1" xfId="0" applyNumberFormat="1" applyFont="1" applyFill="1" applyBorder="1" applyAlignment="1" applyProtection="1">
      <alignment horizontal="right" vertical="center"/>
    </xf>
    <xf numFmtId="0" fontId="22" fillId="0" borderId="1" xfId="0" applyFont="1" applyFill="1" applyBorder="1" applyAlignment="1" applyProtection="1">
      <alignment horizontal="left" vertical="center"/>
    </xf>
    <xf numFmtId="0" fontId="0" fillId="0" borderId="1" xfId="0" applyFill="1" applyBorder="1" applyAlignment="1" applyProtection="1"/>
    <xf numFmtId="0" fontId="0" fillId="0" borderId="44" xfId="0" applyBorder="1" applyProtection="1"/>
    <xf numFmtId="0" fontId="0" fillId="0" borderId="1" xfId="0" applyFill="1" applyBorder="1" applyProtection="1"/>
    <xf numFmtId="0" fontId="0" fillId="0" borderId="1" xfId="0" applyFill="1" applyBorder="1" applyAlignment="1" applyProtection="1">
      <alignment horizontal="center"/>
    </xf>
    <xf numFmtId="2" fontId="1" fillId="3" borderId="1" xfId="0" applyNumberFormat="1" applyFont="1" applyFill="1" applyBorder="1" applyAlignment="1" applyProtection="1">
      <alignment horizontal="right"/>
    </xf>
    <xf numFmtId="2" fontId="22" fillId="9" borderId="1" xfId="0" applyNumberFormat="1" applyFont="1" applyFill="1" applyBorder="1" applyAlignment="1" applyProtection="1">
      <alignment horizontal="right"/>
    </xf>
    <xf numFmtId="0" fontId="22" fillId="0" borderId="1" xfId="0" applyFont="1" applyFill="1" applyBorder="1" applyAlignment="1" applyProtection="1">
      <alignment horizontal="left"/>
    </xf>
    <xf numFmtId="166" fontId="22" fillId="9" borderId="1" xfId="0" applyNumberFormat="1" applyFont="1" applyFill="1" applyBorder="1" applyAlignment="1" applyProtection="1">
      <alignment horizontal="right"/>
    </xf>
    <xf numFmtId="0" fontId="15" fillId="9" borderId="25" xfId="1" applyFill="1" applyBorder="1" applyProtection="1"/>
    <xf numFmtId="0" fontId="0" fillId="0" borderId="25" xfId="0" applyBorder="1" applyProtection="1"/>
    <xf numFmtId="0" fontId="16" fillId="5" borderId="26" xfId="2" applyBorder="1" applyProtection="1"/>
    <xf numFmtId="165" fontId="1" fillId="3" borderId="1" xfId="0" applyNumberFormat="1" applyFont="1" applyFill="1" applyBorder="1" applyAlignment="1" applyProtection="1">
      <alignment horizontal="right"/>
    </xf>
    <xf numFmtId="0" fontId="0" fillId="0" borderId="0" xfId="0" applyFill="1" applyProtection="1"/>
    <xf numFmtId="0" fontId="15" fillId="0" borderId="0" xfId="1" applyFill="1" applyBorder="1" applyAlignment="1" applyProtection="1">
      <alignment horizontal="center" textRotation="90"/>
    </xf>
    <xf numFmtId="0" fontId="15" fillId="0" borderId="0" xfId="1" applyFill="1" applyBorder="1" applyProtection="1"/>
    <xf numFmtId="0" fontId="0" fillId="0" borderId="0" xfId="0" applyBorder="1" applyProtection="1"/>
    <xf numFmtId="0" fontId="0" fillId="0" borderId="27" xfId="0" applyBorder="1" applyProtection="1"/>
    <xf numFmtId="0" fontId="0" fillId="0" borderId="28" xfId="0" applyBorder="1" applyProtection="1"/>
    <xf numFmtId="0" fontId="16" fillId="5" borderId="29" xfId="2" applyBorder="1" applyProtection="1"/>
    <xf numFmtId="165" fontId="0" fillId="3" borderId="1" xfId="0" applyNumberFormat="1" applyFill="1" applyBorder="1" applyAlignment="1" applyProtection="1">
      <alignment horizontal="right"/>
    </xf>
    <xf numFmtId="0" fontId="36" fillId="0" borderId="1" xfId="0" applyFont="1" applyFill="1" applyBorder="1" applyAlignment="1" applyProtection="1"/>
    <xf numFmtId="0" fontId="0" fillId="0" borderId="0" xfId="0" applyBorder="1" applyAlignment="1" applyProtection="1"/>
    <xf numFmtId="0" fontId="30" fillId="5" borderId="32" xfId="2" applyFont="1" applyBorder="1" applyProtection="1"/>
    <xf numFmtId="0" fontId="1" fillId="0" borderId="1" xfId="0" applyFont="1" applyFill="1" applyBorder="1" applyProtection="1"/>
    <xf numFmtId="165" fontId="4" fillId="3" borderId="1" xfId="0" applyNumberFormat="1" applyFont="1" applyFill="1" applyBorder="1" applyAlignment="1" applyProtection="1">
      <alignment horizontal="right"/>
    </xf>
    <xf numFmtId="0" fontId="32" fillId="0" borderId="1" xfId="0" applyFont="1" applyFill="1" applyBorder="1" applyAlignment="1" applyProtection="1">
      <alignment horizontal="left"/>
    </xf>
    <xf numFmtId="0" fontId="34" fillId="0" borderId="1" xfId="0" applyFont="1" applyFill="1" applyBorder="1" applyAlignment="1" applyProtection="1"/>
    <xf numFmtId="165" fontId="5" fillId="9" borderId="1" xfId="0" applyNumberFormat="1" applyFont="1" applyFill="1" applyBorder="1" applyAlignment="1" applyProtection="1">
      <alignment horizontal="right"/>
    </xf>
    <xf numFmtId="0" fontId="1" fillId="0" borderId="1" xfId="0" applyFont="1" applyFill="1" applyBorder="1" applyAlignment="1" applyProtection="1">
      <alignment horizontal="left"/>
    </xf>
    <xf numFmtId="0" fontId="0" fillId="0" borderId="1" xfId="0" applyFill="1" applyBorder="1" applyAlignment="1" applyProtection="1">
      <alignment horizontal="left"/>
    </xf>
    <xf numFmtId="0" fontId="53" fillId="0" borderId="1" xfId="0" applyFont="1" applyFill="1" applyBorder="1" applyProtection="1"/>
    <xf numFmtId="0" fontId="53" fillId="0" borderId="1" xfId="0" applyFont="1" applyFill="1" applyBorder="1" applyAlignment="1" applyProtection="1">
      <alignment horizontal="center"/>
    </xf>
    <xf numFmtId="2" fontId="53" fillId="3" borderId="1" xfId="0" applyNumberFormat="1" applyFont="1" applyFill="1" applyBorder="1" applyAlignment="1" applyProtection="1">
      <alignment horizontal="right"/>
    </xf>
    <xf numFmtId="0" fontId="53" fillId="0" borderId="1" xfId="0" applyFont="1" applyFill="1" applyBorder="1" applyAlignment="1" applyProtection="1">
      <alignment horizontal="left"/>
    </xf>
    <xf numFmtId="0" fontId="54" fillId="0" borderId="1" xfId="0" applyFont="1" applyFill="1" applyBorder="1" applyProtection="1"/>
    <xf numFmtId="0" fontId="54" fillId="0" borderId="1" xfId="0" applyFont="1" applyFill="1" applyBorder="1" applyAlignment="1" applyProtection="1">
      <alignment horizontal="center"/>
    </xf>
    <xf numFmtId="165" fontId="54" fillId="3" borderId="1" xfId="0" applyNumberFormat="1" applyFont="1" applyFill="1" applyBorder="1" applyAlignment="1" applyProtection="1">
      <alignment horizontal="right"/>
    </xf>
    <xf numFmtId="0" fontId="55" fillId="0" borderId="1" xfId="0" applyFont="1" applyFill="1" applyBorder="1" applyAlignment="1" applyProtection="1">
      <alignment horizontal="left"/>
    </xf>
    <xf numFmtId="0" fontId="56" fillId="0" borderId="1" xfId="0" applyFont="1" applyFill="1" applyBorder="1" applyAlignment="1" applyProtection="1">
      <alignment horizontal="left"/>
    </xf>
    <xf numFmtId="2" fontId="10" fillId="3" borderId="1" xfId="0" applyNumberFormat="1" applyFont="1" applyFill="1" applyBorder="1" applyAlignment="1" applyProtection="1">
      <alignment horizontal="right"/>
    </xf>
    <xf numFmtId="0" fontId="80" fillId="0" borderId="1" xfId="0" applyFont="1" applyFill="1" applyBorder="1" applyAlignment="1" applyProtection="1">
      <alignment horizontal="left"/>
    </xf>
    <xf numFmtId="0" fontId="0" fillId="0" borderId="1" xfId="0" applyFont="1" applyFill="1" applyBorder="1" applyProtection="1"/>
    <xf numFmtId="0" fontId="0" fillId="0" borderId="1" xfId="0" applyFont="1" applyFill="1" applyBorder="1" applyAlignment="1" applyProtection="1">
      <alignment horizontal="center"/>
    </xf>
    <xf numFmtId="164" fontId="0" fillId="3" borderId="1" xfId="0" applyNumberFormat="1" applyFont="1" applyFill="1" applyBorder="1" applyAlignment="1" applyProtection="1">
      <alignment horizontal="right"/>
    </xf>
    <xf numFmtId="0" fontId="12" fillId="0" borderId="1" xfId="0" applyFont="1" applyFill="1" applyBorder="1" applyAlignment="1" applyProtection="1">
      <alignment horizontal="left"/>
    </xf>
    <xf numFmtId="2" fontId="5" fillId="3" borderId="1" xfId="0" applyNumberFormat="1" applyFont="1" applyFill="1" applyBorder="1" applyAlignment="1" applyProtection="1">
      <alignment horizontal="right"/>
    </xf>
    <xf numFmtId="0" fontId="0" fillId="0" borderId="1" xfId="0" applyFont="1" applyBorder="1" applyAlignment="1" applyProtection="1">
      <alignment horizontal="center"/>
    </xf>
    <xf numFmtId="2" fontId="0" fillId="0" borderId="1" xfId="0" applyNumberFormat="1" applyFont="1" applyBorder="1" applyAlignment="1" applyProtection="1">
      <alignment horizontal="left"/>
    </xf>
    <xf numFmtId="0" fontId="4" fillId="0" borderId="1" xfId="0" applyFont="1" applyBorder="1" applyAlignment="1" applyProtection="1">
      <alignment horizontal="right"/>
    </xf>
    <xf numFmtId="0" fontId="4" fillId="0" borderId="1" xfId="0" applyFont="1" applyBorder="1" applyAlignment="1" applyProtection="1"/>
    <xf numFmtId="0" fontId="0" fillId="0" borderId="1" xfId="0" applyBorder="1" applyAlignment="1" applyProtection="1">
      <alignment horizontal="right"/>
    </xf>
    <xf numFmtId="2" fontId="0" fillId="0" borderId="1" xfId="0" applyNumberFormat="1" applyBorder="1" applyAlignment="1" applyProtection="1">
      <alignment horizontal="right"/>
    </xf>
    <xf numFmtId="0" fontId="70" fillId="0" borderId="1" xfId="0" applyFont="1" applyBorder="1" applyProtection="1"/>
    <xf numFmtId="0" fontId="70" fillId="0" borderId="1" xfId="0" applyFont="1" applyBorder="1" applyAlignment="1" applyProtection="1">
      <alignment horizontal="center"/>
    </xf>
    <xf numFmtId="2" fontId="70" fillId="0" borderId="1" xfId="0" applyNumberFormat="1" applyFont="1" applyBorder="1" applyAlignment="1" applyProtection="1">
      <alignment horizontal="right"/>
    </xf>
    <xf numFmtId="0" fontId="70" fillId="0" borderId="1" xfId="0" applyFont="1" applyBorder="1" applyAlignment="1" applyProtection="1">
      <alignment horizontal="right"/>
    </xf>
    <xf numFmtId="0" fontId="11" fillId="0" borderId="1" xfId="0" applyFont="1" applyBorder="1" applyProtection="1"/>
    <xf numFmtId="0" fontId="50" fillId="0" borderId="1" xfId="0" applyFont="1" applyBorder="1" applyAlignment="1" applyProtection="1">
      <alignment horizontal="center"/>
    </xf>
    <xf numFmtId="165" fontId="63" fillId="3" borderId="1" xfId="0" applyNumberFormat="1" applyFont="1" applyFill="1" applyBorder="1" applyProtection="1"/>
    <xf numFmtId="0" fontId="10" fillId="0" borderId="1" xfId="0" applyFont="1" applyBorder="1" applyAlignment="1" applyProtection="1">
      <alignment horizontal="left"/>
    </xf>
    <xf numFmtId="0" fontId="63" fillId="0" borderId="1" xfId="0" applyFont="1" applyBorder="1" applyProtection="1"/>
    <xf numFmtId="2" fontId="63" fillId="3" borderId="1" xfId="0" applyNumberFormat="1" applyFont="1" applyFill="1" applyBorder="1" applyAlignment="1" applyProtection="1">
      <alignment horizontal="right"/>
    </xf>
    <xf numFmtId="0" fontId="88" fillId="0" borderId="1" xfId="0" applyFont="1" applyFill="1" applyBorder="1" applyAlignment="1" applyProtection="1">
      <alignment horizontal="left"/>
    </xf>
    <xf numFmtId="0" fontId="7" fillId="0" borderId="1" xfId="0" applyFont="1" applyBorder="1" applyAlignment="1" applyProtection="1">
      <alignment horizontal="center"/>
    </xf>
    <xf numFmtId="164" fontId="10" fillId="3" borderId="1" xfId="0" applyNumberFormat="1" applyFont="1" applyFill="1" applyBorder="1" applyAlignment="1" applyProtection="1">
      <alignment horizontal="right"/>
    </xf>
    <xf numFmtId="0" fontId="70" fillId="0" borderId="0" xfId="0" applyFont="1" applyProtection="1"/>
    <xf numFmtId="0" fontId="70" fillId="0" borderId="0" xfId="0" applyFont="1" applyAlignment="1" applyProtection="1">
      <alignment horizontal="right"/>
    </xf>
    <xf numFmtId="0" fontId="5" fillId="0" borderId="0" xfId="0" applyFont="1" applyFill="1" applyBorder="1" applyProtection="1"/>
    <xf numFmtId="0" fontId="0" fillId="0" borderId="0" xfId="0" applyFill="1" applyBorder="1" applyProtection="1"/>
    <xf numFmtId="2" fontId="0" fillId="0" borderId="0" xfId="0" applyNumberFormat="1" applyAlignment="1" applyProtection="1">
      <alignment horizontal="right"/>
    </xf>
    <xf numFmtId="0" fontId="0" fillId="2" borderId="1" xfId="0" applyFont="1" applyFill="1" applyBorder="1" applyProtection="1">
      <protection locked="0"/>
    </xf>
    <xf numFmtId="0" fontId="34" fillId="0" borderId="0" xfId="0" applyFont="1" applyProtection="1"/>
    <xf numFmtId="0" fontId="5" fillId="0" borderId="0" xfId="0" applyFont="1" applyFill="1" applyProtection="1"/>
    <xf numFmtId="0" fontId="23" fillId="3" borderId="1" xfId="0" applyFont="1" applyFill="1" applyBorder="1" applyProtection="1"/>
    <xf numFmtId="0" fontId="20" fillId="3" borderId="1" xfId="0" applyFont="1" applyFill="1" applyBorder="1" applyProtection="1"/>
    <xf numFmtId="165" fontId="1" fillId="3" borderId="1" xfId="0" applyNumberFormat="1" applyFont="1" applyFill="1" applyBorder="1" applyProtection="1"/>
    <xf numFmtId="0" fontId="64" fillId="0" borderId="0" xfId="0" applyFont="1" applyProtection="1"/>
    <xf numFmtId="0" fontId="0" fillId="3" borderId="1" xfId="0" applyFont="1" applyFill="1" applyBorder="1" applyProtection="1"/>
    <xf numFmtId="0" fontId="12" fillId="3" borderId="1" xfId="0" applyFont="1" applyFill="1" applyBorder="1" applyProtection="1"/>
    <xf numFmtId="2" fontId="1" fillId="3" borderId="1" xfId="0" applyNumberFormat="1" applyFont="1" applyFill="1" applyBorder="1" applyProtection="1"/>
    <xf numFmtId="0" fontId="0" fillId="7" borderId="0" xfId="0" applyFill="1" applyBorder="1" applyProtection="1"/>
    <xf numFmtId="0" fontId="5" fillId="0" borderId="0" xfId="0" applyFont="1" applyAlignment="1" applyProtection="1"/>
    <xf numFmtId="0" fontId="0" fillId="2" borderId="1" xfId="0" applyFill="1" applyBorder="1" applyAlignment="1" applyProtection="1">
      <alignment wrapText="1"/>
    </xf>
    <xf numFmtId="0" fontId="0" fillId="3" borderId="1" xfId="0" applyFill="1" applyBorder="1" applyAlignment="1" applyProtection="1">
      <alignment wrapText="1"/>
    </xf>
    <xf numFmtId="0" fontId="0" fillId="9" borderId="1" xfId="0" applyFill="1" applyBorder="1" applyAlignment="1" applyProtection="1">
      <alignment vertical="center" wrapText="1"/>
    </xf>
    <xf numFmtId="11" fontId="0" fillId="0" borderId="0" xfId="0" applyNumberFormat="1" applyProtection="1"/>
    <xf numFmtId="11" fontId="0" fillId="8" borderId="1" xfId="3" applyNumberFormat="1" applyFont="1" applyFill="1" applyBorder="1" applyAlignment="1" applyProtection="1">
      <alignment horizontal="right"/>
      <protection locked="0"/>
    </xf>
    <xf numFmtId="165" fontId="0" fillId="8" borderId="1" xfId="3" applyNumberFormat="1" applyFont="1" applyFill="1" applyBorder="1" applyAlignment="1" applyProtection="1">
      <alignment horizontal="right"/>
      <protection locked="0"/>
    </xf>
    <xf numFmtId="2" fontId="0" fillId="8" borderId="1" xfId="3" applyNumberFormat="1" applyFont="1" applyFill="1" applyBorder="1" applyAlignment="1" applyProtection="1">
      <alignment horizontal="right"/>
      <protection locked="0"/>
    </xf>
    <xf numFmtId="0" fontId="26" fillId="2" borderId="18" xfId="0" applyFont="1" applyFill="1" applyBorder="1" applyAlignment="1" applyProtection="1">
      <alignment horizontal="center"/>
      <protection locked="0"/>
    </xf>
    <xf numFmtId="164" fontId="0" fillId="2" borderId="1" xfId="0" applyNumberFormat="1" applyFill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0" fontId="22" fillId="2" borderId="1" xfId="0" applyFont="1" applyFill="1" applyBorder="1" applyProtection="1">
      <protection locked="0"/>
    </xf>
    <xf numFmtId="0" fontId="22" fillId="0" borderId="0" xfId="0" applyFont="1" applyProtection="1">
      <protection locked="0"/>
    </xf>
    <xf numFmtId="0" fontId="7" fillId="2" borderId="1" xfId="0" applyFont="1" applyFill="1" applyBorder="1" applyProtection="1">
      <protection locked="0"/>
    </xf>
    <xf numFmtId="164" fontId="0" fillId="2" borderId="1" xfId="0" applyNumberForma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11" borderId="1" xfId="0" applyFill="1" applyBorder="1" applyAlignment="1" applyProtection="1">
      <alignment horizontal="center"/>
      <protection locked="0"/>
    </xf>
    <xf numFmtId="170" fontId="0" fillId="2" borderId="1" xfId="0" applyNumberFormat="1" applyFill="1" applyBorder="1" applyAlignment="1" applyProtection="1">
      <alignment horizontal="center"/>
      <protection locked="0"/>
    </xf>
    <xf numFmtId="10" fontId="0" fillId="2" borderId="1" xfId="0" applyNumberFormat="1" applyFill="1" applyBorder="1" applyAlignment="1" applyProtection="1">
      <alignment horizontal="center"/>
      <protection locked="0"/>
    </xf>
    <xf numFmtId="2" fontId="19" fillId="2" borderId="1" xfId="0" applyNumberFormat="1" applyFont="1" applyFill="1" applyBorder="1" applyProtection="1">
      <protection locked="0"/>
    </xf>
    <xf numFmtId="0" fontId="50" fillId="2" borderId="1" xfId="0" applyNumberFormat="1" applyFont="1" applyFill="1" applyBorder="1" applyProtection="1">
      <protection locked="0"/>
    </xf>
    <xf numFmtId="0" fontId="50" fillId="9" borderId="1" xfId="0" applyNumberFormat="1" applyFont="1" applyFill="1" applyBorder="1" applyProtection="1">
      <protection locked="0"/>
    </xf>
    <xf numFmtId="164" fontId="50" fillId="2" borderId="1" xfId="0" applyNumberFormat="1" applyFont="1" applyFill="1" applyBorder="1" applyProtection="1">
      <protection locked="0"/>
    </xf>
    <xf numFmtId="165" fontId="50" fillId="2" borderId="43" xfId="0" applyNumberFormat="1" applyFont="1" applyFill="1" applyBorder="1" applyProtection="1">
      <protection locked="0"/>
    </xf>
    <xf numFmtId="0" fontId="19" fillId="2" borderId="1" xfId="0" applyFont="1" applyFill="1" applyBorder="1" applyProtection="1">
      <protection locked="0"/>
    </xf>
    <xf numFmtId="0" fontId="19" fillId="9" borderId="0" xfId="0" applyFont="1" applyFill="1" applyProtection="1">
      <protection locked="0"/>
    </xf>
    <xf numFmtId="165" fontId="50" fillId="2" borderId="1" xfId="0" applyNumberFormat="1" applyFont="1" applyFill="1" applyBorder="1" applyProtection="1">
      <protection locked="0"/>
    </xf>
    <xf numFmtId="2" fontId="50" fillId="2" borderId="1" xfId="0" applyNumberFormat="1" applyFont="1" applyFill="1" applyBorder="1" applyProtection="1">
      <protection locked="0"/>
    </xf>
    <xf numFmtId="165" fontId="19" fillId="2" borderId="37" xfId="0" applyNumberFormat="1" applyFont="1" applyFill="1" applyBorder="1" applyProtection="1">
      <protection locked="0"/>
    </xf>
    <xf numFmtId="0" fontId="19" fillId="2" borderId="1" xfId="0" applyFont="1" applyFill="1" applyBorder="1" applyAlignment="1" applyProtection="1">
      <alignment horizontal="center"/>
      <protection locked="0"/>
    </xf>
    <xf numFmtId="0" fontId="19" fillId="9" borderId="1" xfId="0" applyFont="1" applyFill="1" applyBorder="1" applyProtection="1">
      <protection locked="0"/>
    </xf>
    <xf numFmtId="0" fontId="50" fillId="2" borderId="1" xfId="0" applyNumberFormat="1" applyFont="1" applyFill="1" applyBorder="1" applyAlignment="1" applyProtection="1">
      <alignment horizontal="right"/>
      <protection locked="0"/>
    </xf>
    <xf numFmtId="0" fontId="20" fillId="2" borderId="1" xfId="0" applyFont="1" applyFill="1" applyBorder="1" applyProtection="1">
      <protection locked="0"/>
    </xf>
    <xf numFmtId="0" fontId="7" fillId="9" borderId="1" xfId="0" applyNumberFormat="1" applyFont="1" applyFill="1" applyBorder="1" applyProtection="1">
      <protection locked="0"/>
    </xf>
    <xf numFmtId="0" fontId="7" fillId="2" borderId="1" xfId="0" applyNumberFormat="1" applyFont="1" applyFill="1" applyBorder="1" applyProtection="1">
      <protection locked="0"/>
    </xf>
    <xf numFmtId="0" fontId="7" fillId="2" borderId="1" xfId="0" applyNumberFormat="1" applyFont="1" applyFill="1" applyBorder="1" applyAlignment="1" applyProtection="1">
      <alignment horizontal="right"/>
      <protection locked="0"/>
    </xf>
    <xf numFmtId="0" fontId="15" fillId="2" borderId="1" xfId="1" applyFill="1" applyBorder="1" applyProtection="1">
      <protection locked="0"/>
    </xf>
    <xf numFmtId="0" fontId="62" fillId="0" borderId="0" xfId="1" applyFont="1" applyFill="1" applyBorder="1" applyProtection="1">
      <protection locked="0"/>
    </xf>
    <xf numFmtId="0" fontId="62" fillId="0" borderId="0" xfId="0" applyFont="1" applyBorder="1" applyProtection="1">
      <protection locked="0"/>
    </xf>
    <xf numFmtId="0" fontId="48" fillId="9" borderId="0" xfId="1" applyFont="1" applyFill="1" applyBorder="1" applyProtection="1">
      <protection locked="0"/>
    </xf>
    <xf numFmtId="0" fontId="48" fillId="0" borderId="0" xfId="0" applyFont="1" applyBorder="1" applyProtection="1">
      <protection locked="0"/>
    </xf>
    <xf numFmtId="2" fontId="15" fillId="2" borderId="1" xfId="1" applyNumberFormat="1" applyFill="1" applyBorder="1" applyProtection="1">
      <protection locked="0"/>
    </xf>
    <xf numFmtId="0" fontId="6" fillId="0" borderId="0" xfId="0" applyFont="1" applyProtection="1"/>
    <xf numFmtId="0" fontId="51" fillId="3" borderId="1" xfId="0" applyFont="1" applyFill="1" applyBorder="1" applyProtection="1"/>
    <xf numFmtId="0" fontId="8" fillId="0" borderId="0" xfId="0" applyFont="1" applyFill="1" applyBorder="1" applyProtection="1"/>
    <xf numFmtId="0" fontId="9" fillId="0" borderId="0" xfId="0" applyFont="1" applyProtection="1"/>
    <xf numFmtId="11" fontId="66" fillId="9" borderId="0" xfId="0" applyNumberFormat="1" applyFont="1" applyFill="1" applyProtection="1"/>
    <xf numFmtId="0" fontId="10" fillId="0" borderId="0" xfId="0" applyFont="1" applyProtection="1"/>
    <xf numFmtId="165" fontId="11" fillId="3" borderId="1" xfId="0" applyNumberFormat="1" applyFont="1" applyFill="1" applyBorder="1" applyProtection="1"/>
    <xf numFmtId="0" fontId="2" fillId="0" borderId="0" xfId="0" applyFont="1" applyAlignment="1" applyProtection="1">
      <alignment vertical="center"/>
    </xf>
    <xf numFmtId="0" fontId="1" fillId="9" borderId="0" xfId="0" applyFont="1" applyFill="1" applyAlignment="1" applyProtection="1">
      <alignment vertical="center"/>
    </xf>
    <xf numFmtId="0" fontId="1" fillId="9" borderId="0" xfId="0" applyFont="1" applyFill="1" applyProtection="1"/>
    <xf numFmtId="0" fontId="78" fillId="9" borderId="0" xfId="0" applyFont="1" applyFill="1" applyProtection="1"/>
    <xf numFmtId="0" fontId="0" fillId="9" borderId="0" xfId="0" applyFont="1" applyFill="1" applyAlignment="1" applyProtection="1">
      <alignment vertical="center"/>
    </xf>
    <xf numFmtId="0" fontId="0" fillId="9" borderId="0" xfId="0" applyFont="1" applyFill="1" applyProtection="1"/>
    <xf numFmtId="0" fontId="17" fillId="0" borderId="0" xfId="0" applyFont="1" applyProtection="1"/>
    <xf numFmtId="11" fontId="66" fillId="9" borderId="1" xfId="0" applyNumberFormat="1" applyFont="1" applyFill="1" applyBorder="1" applyProtection="1">
      <protection locked="0"/>
    </xf>
    <xf numFmtId="0" fontId="0" fillId="7" borderId="1" xfId="0" applyFill="1" applyBorder="1" applyProtection="1">
      <protection locked="0"/>
    </xf>
    <xf numFmtId="0" fontId="30" fillId="5" borderId="30" xfId="2" applyFont="1" applyBorder="1" applyAlignment="1">
      <alignment horizontal="center"/>
    </xf>
    <xf numFmtId="0" fontId="30" fillId="5" borderId="31" xfId="2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5" xfId="0" applyFont="1" applyBorder="1" applyAlignment="1">
      <alignment horizontal="center"/>
    </xf>
    <xf numFmtId="0" fontId="24" fillId="0" borderId="6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1" fillId="9" borderId="8" xfId="3" applyFont="1" applyFill="1" applyBorder="1" applyAlignment="1">
      <alignment horizontal="center"/>
    </xf>
    <xf numFmtId="0" fontId="1" fillId="9" borderId="9" xfId="3" applyFont="1" applyFill="1" applyBorder="1" applyAlignment="1">
      <alignment horizontal="center"/>
    </xf>
    <xf numFmtId="0" fontId="1" fillId="9" borderId="10" xfId="3" applyFont="1" applyFill="1" applyBorder="1" applyAlignment="1">
      <alignment horizontal="center"/>
    </xf>
    <xf numFmtId="0" fontId="0" fillId="9" borderId="11" xfId="3" applyFont="1" applyFill="1" applyBorder="1" applyAlignment="1">
      <alignment horizontal="center"/>
    </xf>
    <xf numFmtId="0" fontId="0" fillId="9" borderId="12" xfId="3" applyFont="1" applyFill="1" applyBorder="1" applyAlignment="1">
      <alignment horizontal="center"/>
    </xf>
    <xf numFmtId="0" fontId="0" fillId="9" borderId="14" xfId="3" applyFont="1" applyFill="1" applyBorder="1" applyAlignment="1">
      <alignment horizontal="center"/>
    </xf>
    <xf numFmtId="0" fontId="0" fillId="9" borderId="15" xfId="3" applyFont="1" applyFill="1" applyBorder="1" applyAlignment="1">
      <alignment horizontal="center"/>
    </xf>
    <xf numFmtId="0" fontId="15" fillId="9" borderId="12" xfId="1" applyFill="1" applyBorder="1" applyAlignment="1">
      <alignment horizontal="center"/>
    </xf>
    <xf numFmtId="0" fontId="16" fillId="5" borderId="13" xfId="2" applyBorder="1" applyAlignment="1">
      <alignment horizontal="center" wrapText="1"/>
    </xf>
    <xf numFmtId="0" fontId="16" fillId="5" borderId="16" xfId="2" applyBorder="1" applyAlignment="1">
      <alignment horizontal="center" wrapText="1"/>
    </xf>
    <xf numFmtId="0" fontId="15" fillId="9" borderId="14" xfId="1" applyFill="1" applyBorder="1" applyAlignment="1">
      <alignment horizontal="center" textRotation="90"/>
    </xf>
    <xf numFmtId="0" fontId="15" fillId="9" borderId="24" xfId="1" applyFill="1" applyBorder="1" applyAlignment="1">
      <alignment horizontal="center" textRotation="90"/>
    </xf>
    <xf numFmtId="0" fontId="30" fillId="5" borderId="30" xfId="2" applyFont="1" applyBorder="1" applyAlignment="1" applyProtection="1">
      <alignment horizontal="center"/>
    </xf>
    <xf numFmtId="0" fontId="30" fillId="5" borderId="31" xfId="2" applyFont="1" applyBorder="1" applyAlignment="1" applyProtection="1">
      <alignment horizontal="center"/>
    </xf>
    <xf numFmtId="0" fontId="24" fillId="0" borderId="4" xfId="0" applyFont="1" applyBorder="1" applyAlignment="1" applyProtection="1">
      <alignment horizontal="center"/>
    </xf>
    <xf numFmtId="0" fontId="24" fillId="0" borderId="5" xfId="0" applyFont="1" applyBorder="1" applyAlignment="1" applyProtection="1">
      <alignment horizontal="center"/>
    </xf>
    <xf numFmtId="0" fontId="24" fillId="0" borderId="6" xfId="0" applyFont="1" applyBorder="1" applyAlignment="1" applyProtection="1">
      <alignment horizontal="center"/>
    </xf>
    <xf numFmtId="0" fontId="24" fillId="0" borderId="7" xfId="0" applyFont="1" applyBorder="1" applyAlignment="1" applyProtection="1">
      <alignment horizontal="center"/>
    </xf>
    <xf numFmtId="0" fontId="1" fillId="9" borderId="8" xfId="3" applyFont="1" applyFill="1" applyBorder="1" applyAlignment="1" applyProtection="1">
      <alignment horizontal="center"/>
    </xf>
    <xf numFmtId="0" fontId="1" fillId="9" borderId="9" xfId="3" applyFont="1" applyFill="1" applyBorder="1" applyAlignment="1" applyProtection="1">
      <alignment horizontal="center"/>
    </xf>
    <xf numFmtId="0" fontId="1" fillId="9" borderId="10" xfId="3" applyFont="1" applyFill="1" applyBorder="1" applyAlignment="1" applyProtection="1">
      <alignment horizontal="center"/>
    </xf>
    <xf numFmtId="0" fontId="0" fillId="9" borderId="11" xfId="3" applyFont="1" applyFill="1" applyBorder="1" applyAlignment="1" applyProtection="1">
      <alignment horizontal="center"/>
    </xf>
    <xf numFmtId="0" fontId="0" fillId="9" borderId="12" xfId="3" applyFont="1" applyFill="1" applyBorder="1" applyAlignment="1" applyProtection="1">
      <alignment horizontal="center"/>
    </xf>
    <xf numFmtId="0" fontId="0" fillId="9" borderId="14" xfId="3" applyFont="1" applyFill="1" applyBorder="1" applyAlignment="1" applyProtection="1">
      <alignment horizontal="center"/>
    </xf>
    <xf numFmtId="0" fontId="0" fillId="9" borderId="15" xfId="3" applyFont="1" applyFill="1" applyBorder="1" applyAlignment="1" applyProtection="1">
      <alignment horizontal="center"/>
    </xf>
    <xf numFmtId="0" fontId="15" fillId="9" borderId="12" xfId="1" applyFill="1" applyBorder="1" applyAlignment="1" applyProtection="1">
      <alignment horizontal="center"/>
    </xf>
    <xf numFmtId="0" fontId="16" fillId="5" borderId="13" xfId="2" applyBorder="1" applyAlignment="1" applyProtection="1">
      <alignment horizontal="center" wrapText="1"/>
    </xf>
    <xf numFmtId="0" fontId="16" fillId="5" borderId="16" xfId="2" applyBorder="1" applyAlignment="1" applyProtection="1">
      <alignment horizontal="center" wrapText="1"/>
    </xf>
    <xf numFmtId="0" fontId="15" fillId="9" borderId="14" xfId="1" applyFill="1" applyBorder="1" applyAlignment="1" applyProtection="1">
      <alignment horizontal="center" textRotation="90"/>
    </xf>
    <xf numFmtId="0" fontId="15" fillId="9" borderId="24" xfId="1" applyFill="1" applyBorder="1" applyAlignment="1" applyProtection="1">
      <alignment horizontal="center" textRotation="90"/>
    </xf>
  </cellXfs>
  <cellStyles count="7">
    <cellStyle name="Calculation" xfId="2" builtinId="22"/>
    <cellStyle name="Hyperlink" xfId="4" builtinId="8"/>
    <cellStyle name="Hyperlink 2" xfId="6"/>
    <cellStyle name="Input" xfId="1" builtinId="20"/>
    <cellStyle name="Normal" xfId="0" builtinId="0"/>
    <cellStyle name="Note" xfId="3" builtinId="10"/>
    <cellStyle name="Output" xfId="5" builtinId="21"/>
  </cellStyles>
  <dxfs count="52"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FF0000"/>
      </font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FF0000"/>
      </font>
      <numFmt numFmtId="30" formatCode="@"/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00FF"/>
      <color rgb="FF951609"/>
      <color rgb="FFA27B00"/>
      <color rgb="FFFFE285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76454355054208"/>
          <c:y val="7.3879799222360293E-2"/>
          <c:w val="0.76210122472333319"/>
          <c:h val="0.74240517006449613"/>
        </c:manualLayout>
      </c:layout>
      <c:scatterChart>
        <c:scatterStyle val="smoothMarker"/>
        <c:varyColors val="0"/>
        <c:ser>
          <c:idx val="3"/>
          <c:order val="0"/>
          <c:tx>
            <c:v>Min L drive</c:v>
          </c:tx>
          <c:spPr>
            <a:ln w="38100">
              <a:solidFill>
                <a:srgbClr val="951609"/>
              </a:solidFill>
              <a:prstDash val="solid"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0"/>
            <c:spPr>
              <a:ln w="50800">
                <a:solidFill>
                  <a:srgbClr val="951609"/>
                </a:solidFill>
              </a:ln>
            </c:spPr>
          </c:errBars>
          <c:xVal>
            <c:numRef>
              <c:f>LDC0851_calc!$B$93:$B$171</c:f>
              <c:numCache>
                <c:formatCode>0.00E+00</c:formatCode>
                <c:ptCount val="79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  <c:pt idx="4">
                  <c:v>1250000</c:v>
                </c:pt>
                <c:pt idx="5">
                  <c:v>1500000</c:v>
                </c:pt>
                <c:pt idx="6">
                  <c:v>1750000</c:v>
                </c:pt>
                <c:pt idx="7">
                  <c:v>2000000</c:v>
                </c:pt>
                <c:pt idx="8">
                  <c:v>2250000</c:v>
                </c:pt>
                <c:pt idx="9">
                  <c:v>2500000</c:v>
                </c:pt>
                <c:pt idx="10">
                  <c:v>2750000</c:v>
                </c:pt>
                <c:pt idx="11">
                  <c:v>3000000</c:v>
                </c:pt>
                <c:pt idx="12">
                  <c:v>3250000</c:v>
                </c:pt>
                <c:pt idx="13">
                  <c:v>3500000</c:v>
                </c:pt>
                <c:pt idx="14">
                  <c:v>3750000</c:v>
                </c:pt>
                <c:pt idx="15">
                  <c:v>4000000</c:v>
                </c:pt>
                <c:pt idx="16">
                  <c:v>4250000</c:v>
                </c:pt>
                <c:pt idx="17">
                  <c:v>4500000</c:v>
                </c:pt>
                <c:pt idx="18">
                  <c:v>4750000</c:v>
                </c:pt>
                <c:pt idx="19">
                  <c:v>5000000</c:v>
                </c:pt>
                <c:pt idx="20">
                  <c:v>5250000</c:v>
                </c:pt>
                <c:pt idx="21">
                  <c:v>5500000</c:v>
                </c:pt>
                <c:pt idx="22">
                  <c:v>5750000</c:v>
                </c:pt>
                <c:pt idx="23">
                  <c:v>6000000</c:v>
                </c:pt>
                <c:pt idx="24">
                  <c:v>6250000</c:v>
                </c:pt>
                <c:pt idx="25">
                  <c:v>6500000</c:v>
                </c:pt>
                <c:pt idx="26">
                  <c:v>6750000</c:v>
                </c:pt>
                <c:pt idx="27">
                  <c:v>7000000</c:v>
                </c:pt>
                <c:pt idx="28">
                  <c:v>7250000</c:v>
                </c:pt>
                <c:pt idx="29">
                  <c:v>7500000</c:v>
                </c:pt>
                <c:pt idx="30">
                  <c:v>7750000</c:v>
                </c:pt>
                <c:pt idx="31">
                  <c:v>8000000</c:v>
                </c:pt>
                <c:pt idx="32">
                  <c:v>8250000</c:v>
                </c:pt>
                <c:pt idx="33">
                  <c:v>8500000</c:v>
                </c:pt>
                <c:pt idx="34">
                  <c:v>8750000</c:v>
                </c:pt>
                <c:pt idx="35">
                  <c:v>9000000</c:v>
                </c:pt>
                <c:pt idx="36">
                  <c:v>9250000</c:v>
                </c:pt>
                <c:pt idx="37">
                  <c:v>9500000</c:v>
                </c:pt>
                <c:pt idx="38">
                  <c:v>9750000</c:v>
                </c:pt>
                <c:pt idx="39">
                  <c:v>10000000</c:v>
                </c:pt>
                <c:pt idx="40">
                  <c:v>10250000</c:v>
                </c:pt>
                <c:pt idx="41">
                  <c:v>10500000</c:v>
                </c:pt>
                <c:pt idx="42">
                  <c:v>10750000</c:v>
                </c:pt>
                <c:pt idx="43">
                  <c:v>11000000</c:v>
                </c:pt>
                <c:pt idx="44">
                  <c:v>11250000</c:v>
                </c:pt>
                <c:pt idx="45">
                  <c:v>11500000</c:v>
                </c:pt>
                <c:pt idx="46">
                  <c:v>11750000</c:v>
                </c:pt>
                <c:pt idx="47">
                  <c:v>12000000</c:v>
                </c:pt>
                <c:pt idx="48">
                  <c:v>12250000</c:v>
                </c:pt>
                <c:pt idx="49">
                  <c:v>12500000</c:v>
                </c:pt>
                <c:pt idx="50">
                  <c:v>12750000</c:v>
                </c:pt>
                <c:pt idx="51">
                  <c:v>13000000</c:v>
                </c:pt>
                <c:pt idx="52">
                  <c:v>13250000</c:v>
                </c:pt>
                <c:pt idx="53">
                  <c:v>13500000</c:v>
                </c:pt>
                <c:pt idx="54">
                  <c:v>13750000</c:v>
                </c:pt>
                <c:pt idx="55">
                  <c:v>14000000</c:v>
                </c:pt>
                <c:pt idx="56">
                  <c:v>14250000</c:v>
                </c:pt>
                <c:pt idx="57">
                  <c:v>14500000</c:v>
                </c:pt>
                <c:pt idx="58">
                  <c:v>14750000</c:v>
                </c:pt>
                <c:pt idx="59">
                  <c:v>15000000</c:v>
                </c:pt>
                <c:pt idx="60">
                  <c:v>15250000</c:v>
                </c:pt>
                <c:pt idx="61">
                  <c:v>15500000</c:v>
                </c:pt>
                <c:pt idx="62">
                  <c:v>15750000</c:v>
                </c:pt>
                <c:pt idx="63">
                  <c:v>16000000</c:v>
                </c:pt>
                <c:pt idx="64">
                  <c:v>16250000</c:v>
                </c:pt>
                <c:pt idx="65">
                  <c:v>16500000</c:v>
                </c:pt>
                <c:pt idx="66">
                  <c:v>16750000</c:v>
                </c:pt>
                <c:pt idx="67">
                  <c:v>17000000</c:v>
                </c:pt>
                <c:pt idx="68">
                  <c:v>17250000</c:v>
                </c:pt>
                <c:pt idx="69">
                  <c:v>17500000</c:v>
                </c:pt>
                <c:pt idx="70">
                  <c:v>17750000</c:v>
                </c:pt>
                <c:pt idx="71">
                  <c:v>18000000</c:v>
                </c:pt>
                <c:pt idx="72">
                  <c:v>18250000</c:v>
                </c:pt>
                <c:pt idx="73">
                  <c:v>18500000</c:v>
                </c:pt>
                <c:pt idx="74">
                  <c:v>18750000</c:v>
                </c:pt>
                <c:pt idx="75">
                  <c:v>19000000</c:v>
                </c:pt>
                <c:pt idx="76">
                  <c:v>19250000</c:v>
                </c:pt>
                <c:pt idx="77">
                  <c:v>19500000</c:v>
                </c:pt>
                <c:pt idx="78">
                  <c:v>19750000</c:v>
                </c:pt>
              </c:numCache>
            </c:numRef>
          </c:xVal>
          <c:yVal>
            <c:numRef>
              <c:f>LDC0851_calc!$C$93:$C$171</c:f>
              <c:numCache>
                <c:formatCode>0.00E+00</c:formatCode>
                <c:ptCount val="79"/>
                <c:pt idx="0">
                  <c:v>137.93428401297598</c:v>
                </c:pt>
                <c:pt idx="1">
                  <c:v>68.96714200648799</c:v>
                </c:pt>
                <c:pt idx="2">
                  <c:v>45.978094670991986</c:v>
                </c:pt>
                <c:pt idx="3">
                  <c:v>34.483571003243995</c:v>
                </c:pt>
                <c:pt idx="4">
                  <c:v>27.586856802595197</c:v>
                </c:pt>
                <c:pt idx="5">
                  <c:v>22.989047335495993</c:v>
                </c:pt>
                <c:pt idx="6">
                  <c:v>19.704897716139428</c:v>
                </c:pt>
                <c:pt idx="7">
                  <c:v>17.241785501621997</c:v>
                </c:pt>
                <c:pt idx="8">
                  <c:v>15.32603155699733</c:v>
                </c:pt>
                <c:pt idx="9">
                  <c:v>13.793428401297598</c:v>
                </c:pt>
                <c:pt idx="10">
                  <c:v>12.539480364815997</c:v>
                </c:pt>
                <c:pt idx="11">
                  <c:v>11.494523667747996</c:v>
                </c:pt>
                <c:pt idx="12">
                  <c:v>10.610329539459689</c:v>
                </c:pt>
                <c:pt idx="13">
                  <c:v>9.8524488580697138</c:v>
                </c:pt>
                <c:pt idx="14">
                  <c:v>9.1956189341983983</c:v>
                </c:pt>
                <c:pt idx="15">
                  <c:v>8.6208927508109987</c:v>
                </c:pt>
                <c:pt idx="16">
                  <c:v>8.1137814125279988</c:v>
                </c:pt>
                <c:pt idx="17">
                  <c:v>7.6630157784986652</c:v>
                </c:pt>
                <c:pt idx="18">
                  <c:v>7.2596991585776829</c:v>
                </c:pt>
                <c:pt idx="19">
                  <c:v>6.8967142006487991</c:v>
                </c:pt>
                <c:pt idx="20">
                  <c:v>6.5682992387131414</c:v>
                </c:pt>
                <c:pt idx="21">
                  <c:v>6.2697401824079986</c:v>
                </c:pt>
                <c:pt idx="22">
                  <c:v>5.997142783172869</c:v>
                </c:pt>
                <c:pt idx="23">
                  <c:v>5.7472618338739982</c:v>
                </c:pt>
                <c:pt idx="24">
                  <c:v>5.5173713605190384</c:v>
                </c:pt>
                <c:pt idx="25">
                  <c:v>5.3051647697298447</c:v>
                </c:pt>
                <c:pt idx="26">
                  <c:v>5.1086771856657771</c:v>
                </c:pt>
                <c:pt idx="27">
                  <c:v>4.9262244290348569</c:v>
                </c:pt>
                <c:pt idx="28">
                  <c:v>4.7563546211371026</c:v>
                </c:pt>
                <c:pt idx="29">
                  <c:v>4.5978094670991991</c:v>
                </c:pt>
                <c:pt idx="30">
                  <c:v>4.4494930326766449</c:v>
                </c:pt>
                <c:pt idx="31">
                  <c:v>4.3104463754054994</c:v>
                </c:pt>
                <c:pt idx="32">
                  <c:v>4.179826788271999</c:v>
                </c:pt>
                <c:pt idx="33">
                  <c:v>4.0568907062639994</c:v>
                </c:pt>
                <c:pt idx="34">
                  <c:v>3.9409795432278845</c:v>
                </c:pt>
                <c:pt idx="35">
                  <c:v>3.8315078892493326</c:v>
                </c:pt>
                <c:pt idx="36">
                  <c:v>3.7279536219723237</c:v>
                </c:pt>
                <c:pt idx="37">
                  <c:v>3.6298495792888414</c:v>
                </c:pt>
                <c:pt idx="38">
                  <c:v>3.5367765131532298</c:v>
                </c:pt>
                <c:pt idx="39">
                  <c:v>3.4483571003243996</c:v>
                </c:pt>
                <c:pt idx="40">
                  <c:v>3.3642508295847797</c:v>
                </c:pt>
                <c:pt idx="41">
                  <c:v>3.2841496193565707</c:v>
                </c:pt>
                <c:pt idx="42">
                  <c:v>3.2077740468133946</c:v>
                </c:pt>
                <c:pt idx="43">
                  <c:v>3.1348700912039993</c:v>
                </c:pt>
                <c:pt idx="44">
                  <c:v>3.0652063113994661</c:v>
                </c:pt>
                <c:pt idx="45">
                  <c:v>2.9985713915864345</c:v>
                </c:pt>
                <c:pt idx="46">
                  <c:v>2.9347720002760842</c:v>
                </c:pt>
                <c:pt idx="47">
                  <c:v>2.8736309169369991</c:v>
                </c:pt>
                <c:pt idx="48">
                  <c:v>2.814985388019918</c:v>
                </c:pt>
                <c:pt idx="49">
                  <c:v>2.7586856802595192</c:v>
                </c:pt>
                <c:pt idx="50">
                  <c:v>2.7045938041759996</c:v>
                </c:pt>
                <c:pt idx="51">
                  <c:v>2.6525823848649224</c:v>
                </c:pt>
                <c:pt idx="52">
                  <c:v>2.6025336606221878</c:v>
                </c:pt>
                <c:pt idx="53">
                  <c:v>2.5543385928328886</c:v>
                </c:pt>
                <c:pt idx="54">
                  <c:v>2.5078960729631996</c:v>
                </c:pt>
                <c:pt idx="55">
                  <c:v>2.4631122145174285</c:v>
                </c:pt>
                <c:pt idx="56">
                  <c:v>2.4198997195258944</c:v>
                </c:pt>
                <c:pt idx="57">
                  <c:v>2.3781773105685513</c:v>
                </c:pt>
                <c:pt idx="58">
                  <c:v>2.3378692205589147</c:v>
                </c:pt>
                <c:pt idx="59">
                  <c:v>2.2989047335495996</c:v>
                </c:pt>
                <c:pt idx="60">
                  <c:v>2.261217770704524</c:v>
                </c:pt>
                <c:pt idx="61">
                  <c:v>2.2247465163383224</c:v>
                </c:pt>
                <c:pt idx="62">
                  <c:v>2.1894330795710473</c:v>
                </c:pt>
                <c:pt idx="63">
                  <c:v>2.1552231877027497</c:v>
                </c:pt>
                <c:pt idx="64">
                  <c:v>2.1220659078919382</c:v>
                </c:pt>
                <c:pt idx="65">
                  <c:v>2.0899133941359995</c:v>
                </c:pt>
                <c:pt idx="66">
                  <c:v>2.0587206569100895</c:v>
                </c:pt>
                <c:pt idx="67">
                  <c:v>2.0284453531319997</c:v>
                </c:pt>
                <c:pt idx="68">
                  <c:v>1.9990475943909563</c:v>
                </c:pt>
                <c:pt idx="69">
                  <c:v>1.9704897716139422</c:v>
                </c:pt>
                <c:pt idx="70">
                  <c:v>1.9427363945489573</c:v>
                </c:pt>
                <c:pt idx="71">
                  <c:v>1.9157539446246663</c:v>
                </c:pt>
                <c:pt idx="72">
                  <c:v>1.8895107399037805</c:v>
                </c:pt>
                <c:pt idx="73">
                  <c:v>1.8639768109861619</c:v>
                </c:pt>
                <c:pt idx="74">
                  <c:v>1.8391237868396799</c:v>
                </c:pt>
                <c:pt idx="75">
                  <c:v>1.8149247896444207</c:v>
                </c:pt>
                <c:pt idx="76">
                  <c:v>1.7913543378308565</c:v>
                </c:pt>
                <c:pt idx="77">
                  <c:v>1.7683882565766149</c:v>
                </c:pt>
                <c:pt idx="78">
                  <c:v>1.7460035951009616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83-436A-8FDC-F265ED20A32E}"/>
            </c:ext>
          </c:extLst>
        </c:ser>
        <c:ser>
          <c:idx val="0"/>
          <c:order val="1"/>
          <c:tx>
            <c:strRef>
              <c:f>LDC0851_calc!$D$92</c:f>
              <c:strCache>
                <c:ptCount val="1"/>
                <c:pt idx="0">
                  <c:v>Csensor &lt; 33pF</c:v>
                </c:pt>
              </c:strCache>
            </c:strRef>
          </c:tx>
          <c:spPr>
            <a:ln w="38100">
              <a:solidFill>
                <a:srgbClr val="951609"/>
              </a:solidFill>
              <a:prstDash val="solid"/>
            </a:ln>
          </c:spPr>
          <c:marker>
            <c:symbol val="none"/>
          </c:marker>
          <c:errBars>
            <c:errDir val="y"/>
            <c:errBarType val="plus"/>
            <c:errValType val="percentage"/>
            <c:noEndCap val="0"/>
            <c:val val="1000"/>
            <c:spPr>
              <a:ln w="50800">
                <a:solidFill>
                  <a:srgbClr val="951609"/>
                </a:solidFill>
              </a:ln>
            </c:spPr>
          </c:errBars>
          <c:xVal>
            <c:numRef>
              <c:f>LDC0851_calc!$B$93:$B$171</c:f>
              <c:numCache>
                <c:formatCode>0.00E+00</c:formatCode>
                <c:ptCount val="79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  <c:pt idx="4">
                  <c:v>1250000</c:v>
                </c:pt>
                <c:pt idx="5">
                  <c:v>1500000</c:v>
                </c:pt>
                <c:pt idx="6">
                  <c:v>1750000</c:v>
                </c:pt>
                <c:pt idx="7">
                  <c:v>2000000</c:v>
                </c:pt>
                <c:pt idx="8">
                  <c:v>2250000</c:v>
                </c:pt>
                <c:pt idx="9">
                  <c:v>2500000</c:v>
                </c:pt>
                <c:pt idx="10">
                  <c:v>2750000</c:v>
                </c:pt>
                <c:pt idx="11">
                  <c:v>3000000</c:v>
                </c:pt>
                <c:pt idx="12">
                  <c:v>3250000</c:v>
                </c:pt>
                <c:pt idx="13">
                  <c:v>3500000</c:v>
                </c:pt>
                <c:pt idx="14">
                  <c:v>3750000</c:v>
                </c:pt>
                <c:pt idx="15">
                  <c:v>4000000</c:v>
                </c:pt>
                <c:pt idx="16">
                  <c:v>4250000</c:v>
                </c:pt>
                <c:pt idx="17">
                  <c:v>4500000</c:v>
                </c:pt>
                <c:pt idx="18">
                  <c:v>4750000</c:v>
                </c:pt>
                <c:pt idx="19">
                  <c:v>5000000</c:v>
                </c:pt>
                <c:pt idx="20">
                  <c:v>5250000</c:v>
                </c:pt>
                <c:pt idx="21">
                  <c:v>5500000</c:v>
                </c:pt>
                <c:pt idx="22">
                  <c:v>5750000</c:v>
                </c:pt>
                <c:pt idx="23">
                  <c:v>6000000</c:v>
                </c:pt>
                <c:pt idx="24">
                  <c:v>6250000</c:v>
                </c:pt>
                <c:pt idx="25">
                  <c:v>6500000</c:v>
                </c:pt>
                <c:pt idx="26">
                  <c:v>6750000</c:v>
                </c:pt>
                <c:pt idx="27">
                  <c:v>7000000</c:v>
                </c:pt>
                <c:pt idx="28">
                  <c:v>7250000</c:v>
                </c:pt>
                <c:pt idx="29">
                  <c:v>7500000</c:v>
                </c:pt>
                <c:pt idx="30">
                  <c:v>7750000</c:v>
                </c:pt>
                <c:pt idx="31">
                  <c:v>8000000</c:v>
                </c:pt>
                <c:pt idx="32">
                  <c:v>8250000</c:v>
                </c:pt>
                <c:pt idx="33">
                  <c:v>8500000</c:v>
                </c:pt>
                <c:pt idx="34">
                  <c:v>8750000</c:v>
                </c:pt>
                <c:pt idx="35">
                  <c:v>9000000</c:v>
                </c:pt>
                <c:pt idx="36">
                  <c:v>9250000</c:v>
                </c:pt>
                <c:pt idx="37">
                  <c:v>9500000</c:v>
                </c:pt>
                <c:pt idx="38">
                  <c:v>9750000</c:v>
                </c:pt>
                <c:pt idx="39">
                  <c:v>10000000</c:v>
                </c:pt>
                <c:pt idx="40">
                  <c:v>10250000</c:v>
                </c:pt>
                <c:pt idx="41">
                  <c:v>10500000</c:v>
                </c:pt>
                <c:pt idx="42">
                  <c:v>10750000</c:v>
                </c:pt>
                <c:pt idx="43">
                  <c:v>11000000</c:v>
                </c:pt>
                <c:pt idx="44">
                  <c:v>11250000</c:v>
                </c:pt>
                <c:pt idx="45">
                  <c:v>11500000</c:v>
                </c:pt>
                <c:pt idx="46">
                  <c:v>11750000</c:v>
                </c:pt>
                <c:pt idx="47">
                  <c:v>12000000</c:v>
                </c:pt>
                <c:pt idx="48">
                  <c:v>12250000</c:v>
                </c:pt>
                <c:pt idx="49">
                  <c:v>12500000</c:v>
                </c:pt>
                <c:pt idx="50">
                  <c:v>12750000</c:v>
                </c:pt>
                <c:pt idx="51">
                  <c:v>13000000</c:v>
                </c:pt>
                <c:pt idx="52">
                  <c:v>13250000</c:v>
                </c:pt>
                <c:pt idx="53">
                  <c:v>13500000</c:v>
                </c:pt>
                <c:pt idx="54">
                  <c:v>13750000</c:v>
                </c:pt>
                <c:pt idx="55">
                  <c:v>14000000</c:v>
                </c:pt>
                <c:pt idx="56">
                  <c:v>14250000</c:v>
                </c:pt>
                <c:pt idx="57">
                  <c:v>14500000</c:v>
                </c:pt>
                <c:pt idx="58">
                  <c:v>14750000</c:v>
                </c:pt>
                <c:pt idx="59">
                  <c:v>15000000</c:v>
                </c:pt>
                <c:pt idx="60">
                  <c:v>15250000</c:v>
                </c:pt>
                <c:pt idx="61">
                  <c:v>15500000</c:v>
                </c:pt>
                <c:pt idx="62">
                  <c:v>15750000</c:v>
                </c:pt>
                <c:pt idx="63">
                  <c:v>16000000</c:v>
                </c:pt>
                <c:pt idx="64">
                  <c:v>16250000</c:v>
                </c:pt>
                <c:pt idx="65">
                  <c:v>16500000</c:v>
                </c:pt>
                <c:pt idx="66">
                  <c:v>16750000</c:v>
                </c:pt>
                <c:pt idx="67">
                  <c:v>17000000</c:v>
                </c:pt>
                <c:pt idx="68">
                  <c:v>17250000</c:v>
                </c:pt>
                <c:pt idx="69">
                  <c:v>17500000</c:v>
                </c:pt>
                <c:pt idx="70">
                  <c:v>17750000</c:v>
                </c:pt>
                <c:pt idx="71">
                  <c:v>18000000</c:v>
                </c:pt>
                <c:pt idx="72">
                  <c:v>18250000</c:v>
                </c:pt>
                <c:pt idx="73">
                  <c:v>18500000</c:v>
                </c:pt>
                <c:pt idx="74">
                  <c:v>18750000</c:v>
                </c:pt>
                <c:pt idx="75">
                  <c:v>19000000</c:v>
                </c:pt>
                <c:pt idx="76">
                  <c:v>19250000</c:v>
                </c:pt>
                <c:pt idx="77">
                  <c:v>19500000</c:v>
                </c:pt>
                <c:pt idx="78">
                  <c:v>19750000</c:v>
                </c:pt>
              </c:numCache>
            </c:numRef>
          </c:xVal>
          <c:yVal>
            <c:numRef>
              <c:f>LDC0851_calc!$D$93:$D$171</c:f>
              <c:numCache>
                <c:formatCode>General</c:formatCode>
                <c:ptCount val="79"/>
                <c:pt idx="0">
                  <c:v>24562.711186021286</c:v>
                </c:pt>
                <c:pt idx="1">
                  <c:v>6140.6777965053216</c:v>
                </c:pt>
                <c:pt idx="2">
                  <c:v>2729.1901317801421</c:v>
                </c:pt>
                <c:pt idx="3">
                  <c:v>1535.1694491263304</c:v>
                </c:pt>
                <c:pt idx="4">
                  <c:v>982.50844744085134</c:v>
                </c:pt>
                <c:pt idx="5">
                  <c:v>682.29753294503553</c:v>
                </c:pt>
                <c:pt idx="6">
                  <c:v>501.27982012288322</c:v>
                </c:pt>
                <c:pt idx="7">
                  <c:v>383.7923622815826</c:v>
                </c:pt>
                <c:pt idx="8">
                  <c:v>303.24334797557145</c:v>
                </c:pt>
                <c:pt idx="9">
                  <c:v>245.62711186021284</c:v>
                </c:pt>
                <c:pt idx="10">
                  <c:v>202.99761310761392</c:v>
                </c:pt>
                <c:pt idx="11">
                  <c:v>170.57438323625888</c:v>
                </c:pt>
                <c:pt idx="12">
                  <c:v>145.34148630781823</c:v>
                </c:pt>
                <c:pt idx="13">
                  <c:v>125.31995503072081</c:v>
                </c:pt>
                <c:pt idx="14">
                  <c:v>109.16760527120572</c:v>
                </c:pt>
                <c:pt idx="15">
                  <c:v>95.948090570395649</c:v>
                </c:pt>
                <c:pt idx="16">
                  <c:v>84.992080228447335</c:v>
                </c:pt>
                <c:pt idx="17">
                  <c:v>75.810836993892863</c:v>
                </c:pt>
                <c:pt idx="18">
                  <c:v>68.040751207815177</c:v>
                </c:pt>
                <c:pt idx="19">
                  <c:v>61.406777965053209</c:v>
                </c:pt>
                <c:pt idx="20">
                  <c:v>55.697757791431471</c:v>
                </c:pt>
                <c:pt idx="21">
                  <c:v>50.749403276903479</c:v>
                </c:pt>
                <c:pt idx="22">
                  <c:v>46.432346287374834</c:v>
                </c:pt>
                <c:pt idx="23">
                  <c:v>42.64359580906472</c:v>
                </c:pt>
                <c:pt idx="24">
                  <c:v>39.300337897634058</c:v>
                </c:pt>
                <c:pt idx="25">
                  <c:v>36.335371576954557</c:v>
                </c:pt>
                <c:pt idx="26">
                  <c:v>33.693705330619039</c:v>
                </c:pt>
                <c:pt idx="27">
                  <c:v>31.329988757680201</c:v>
                </c:pt>
                <c:pt idx="28">
                  <c:v>29.206553134389154</c:v>
                </c:pt>
                <c:pt idx="29">
                  <c:v>27.291901317801429</c:v>
                </c:pt>
                <c:pt idx="30">
                  <c:v>25.559532971926409</c:v>
                </c:pt>
                <c:pt idx="31">
                  <c:v>23.987022642598912</c:v>
                </c:pt>
                <c:pt idx="32">
                  <c:v>22.55529034529043</c:v>
                </c:pt>
                <c:pt idx="33">
                  <c:v>21.248020057111834</c:v>
                </c:pt>
                <c:pt idx="34">
                  <c:v>20.051192804915331</c:v>
                </c:pt>
                <c:pt idx="35">
                  <c:v>18.952709248473216</c:v>
                </c:pt>
                <c:pt idx="36">
                  <c:v>17.942082677882603</c:v>
                </c:pt>
                <c:pt idx="37">
                  <c:v>17.010187801953794</c:v>
                </c:pt>
                <c:pt idx="38">
                  <c:v>16.149054034202027</c:v>
                </c:pt>
                <c:pt idx="39">
                  <c:v>15.351694491263302</c:v>
                </c:pt>
                <c:pt idx="40">
                  <c:v>14.611963822737229</c:v>
                </c:pt>
                <c:pt idx="41">
                  <c:v>13.924439447857868</c:v>
                </c:pt>
                <c:pt idx="42">
                  <c:v>13.284321896171596</c:v>
                </c:pt>
                <c:pt idx="43">
                  <c:v>12.68735081922587</c:v>
                </c:pt>
                <c:pt idx="44">
                  <c:v>12.129733919022854</c:v>
                </c:pt>
                <c:pt idx="45">
                  <c:v>11.608086571843709</c:v>
                </c:pt>
                <c:pt idx="46">
                  <c:v>11.119380346772871</c:v>
                </c:pt>
                <c:pt idx="47">
                  <c:v>10.66089895226618</c:v>
                </c:pt>
                <c:pt idx="48">
                  <c:v>10.23020041067109</c:v>
                </c:pt>
                <c:pt idx="49">
                  <c:v>9.8250844744085146</c:v>
                </c:pt>
                <c:pt idx="50">
                  <c:v>9.4435644698274821</c:v>
                </c:pt>
                <c:pt idx="51">
                  <c:v>9.0838428942386393</c:v>
                </c:pt>
                <c:pt idx="52">
                  <c:v>8.7442902050627573</c:v>
                </c:pt>
                <c:pt idx="53">
                  <c:v>8.4234263326547598</c:v>
                </c:pt>
                <c:pt idx="54">
                  <c:v>8.1199045243045536</c:v>
                </c:pt>
                <c:pt idx="55">
                  <c:v>7.8324971894200504</c:v>
                </c:pt>
                <c:pt idx="56">
                  <c:v>7.560083467535021</c:v>
                </c:pt>
                <c:pt idx="57">
                  <c:v>7.3016382835972884</c:v>
                </c:pt>
                <c:pt idx="58">
                  <c:v>7.0562226906122607</c:v>
                </c:pt>
                <c:pt idx="59">
                  <c:v>6.8229753294503572</c:v>
                </c:pt>
                <c:pt idx="60">
                  <c:v>6.6011048605270854</c:v>
                </c:pt>
                <c:pt idx="61">
                  <c:v>6.3898832429816022</c:v>
                </c:pt>
                <c:pt idx="62">
                  <c:v>6.1886397546034981</c:v>
                </c:pt>
                <c:pt idx="63">
                  <c:v>5.9967556606497281</c:v>
                </c:pt>
                <c:pt idx="64">
                  <c:v>5.813659452312729</c:v>
                </c:pt>
                <c:pt idx="65">
                  <c:v>5.6388225863226076</c:v>
                </c:pt>
                <c:pt idx="66">
                  <c:v>5.4717556663001288</c:v>
                </c:pt>
                <c:pt idx="67">
                  <c:v>5.3120050142779585</c:v>
                </c:pt>
                <c:pt idx="68">
                  <c:v>5.1591495874860911</c:v>
                </c:pt>
                <c:pt idx="69">
                  <c:v>5.0127982012288328</c:v>
                </c:pt>
                <c:pt idx="70">
                  <c:v>4.8725870236106497</c:v>
                </c:pt>
                <c:pt idx="71">
                  <c:v>4.738177312118304</c:v>
                </c:pt>
                <c:pt idx="72">
                  <c:v>4.6092533657386534</c:v>
                </c:pt>
                <c:pt idx="73">
                  <c:v>4.4855206694706506</c:v>
                </c:pt>
                <c:pt idx="74">
                  <c:v>4.3667042108482281</c:v>
                </c:pt>
                <c:pt idx="75">
                  <c:v>4.2525469504884486</c:v>
                </c:pt>
                <c:pt idx="76">
                  <c:v>4.1428084307676301</c:v>
                </c:pt>
                <c:pt idx="77">
                  <c:v>4.0372635085505069</c:v>
                </c:pt>
                <c:pt idx="78">
                  <c:v>3.9357011994906719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83-436A-8FDC-F265ED20A32E}"/>
            </c:ext>
          </c:extLst>
        </c:ser>
        <c:ser>
          <c:idx val="1"/>
          <c:order val="2"/>
          <c:tx>
            <c:v>Sensor Operation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rgbClr val="00B0F0"/>
              </a:solidFill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0183-436A-8FDC-F265ED20A32E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0183-436A-8FDC-F265ED20A32E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solidFill>
                  <a:schemeClr val="tx1"/>
                </a:solidFill>
                <a:tailEnd type="none"/>
              </a:ln>
            </c:spPr>
            <c:extLst>
              <c:ext xmlns:c16="http://schemas.microsoft.com/office/drawing/2014/chart" uri="{C3380CC4-5D6E-409C-BE32-E72D297353CC}">
                <c16:uniqueId val="{00000005-0183-436A-8FDC-F265ED20A32E}"/>
              </c:ext>
            </c:extLst>
          </c:dPt>
          <c:dPt>
            <c:idx val="4"/>
            <c:bubble3D val="0"/>
            <c:spPr>
              <a:ln>
                <a:solidFill>
                  <a:schemeClr val="tx1"/>
                </a:solidFill>
                <a:headEnd type="none"/>
                <a:tailEnd type="triangle"/>
              </a:ln>
            </c:spPr>
            <c:extLst>
              <c:ext xmlns:c16="http://schemas.microsoft.com/office/drawing/2014/chart" uri="{C3380CC4-5D6E-409C-BE32-E72D297353CC}">
                <c16:uniqueId val="{00000007-0183-436A-8FDC-F265ED20A32E}"/>
              </c:ext>
            </c:extLst>
          </c:dPt>
          <c:xVal>
            <c:numRef>
              <c:f>LDC0851_calc!$E$93:$E$97</c:f>
              <c:numCache>
                <c:formatCode>0.000</c:formatCode>
                <c:ptCount val="5"/>
                <c:pt idx="0">
                  <c:v>5557931.698843142</c:v>
                </c:pt>
                <c:pt idx="1">
                  <c:v>5842444.745572269</c:v>
                </c:pt>
                <c:pt idx="2">
                  <c:v>6175660.7204429442</c:v>
                </c:pt>
                <c:pt idx="3">
                  <c:v>6573275.2983966479</c:v>
                </c:pt>
                <c:pt idx="4">
                  <c:v>7059121.0847160257</c:v>
                </c:pt>
              </c:numCache>
            </c:numRef>
          </c:xVal>
          <c:yVal>
            <c:numRef>
              <c:f>LDC0851_calc!$F$93:$F$97</c:f>
              <c:numCache>
                <c:formatCode>0.0000</c:formatCode>
                <c:ptCount val="5"/>
                <c:pt idx="0" formatCode="0.00">
                  <c:v>20</c:v>
                </c:pt>
                <c:pt idx="1">
                  <c:v>18.099525063125</c:v>
                </c:pt>
                <c:pt idx="2">
                  <c:v>16.19905012625</c:v>
                </c:pt>
                <c:pt idx="3">
                  <c:v>14.298575189375001</c:v>
                </c:pt>
                <c:pt idx="4">
                  <c:v>12.398100252500001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183-436A-8FDC-F265ED20A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12256"/>
        <c:axId val="180523008"/>
      </c:scatterChart>
      <c:valAx>
        <c:axId val="180512256"/>
        <c:scaling>
          <c:orientation val="minMax"/>
          <c:max val="20000000"/>
          <c:min val="0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 sz="900" b="1"/>
                  <a:t>Sensor Frequency (MHz)</a:t>
                </a:r>
              </a:p>
            </c:rich>
          </c:tx>
          <c:layout>
            <c:manualLayout>
              <c:xMode val="edge"/>
              <c:yMode val="edge"/>
              <c:x val="0.35761559397276033"/>
              <c:y val="0.89778991556402599"/>
            </c:manualLayout>
          </c:layout>
          <c:overlay val="0"/>
        </c:title>
        <c:numFmt formatCode="#\,##0.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lt-LT"/>
          </a:p>
        </c:txPr>
        <c:crossAx val="180523008"/>
        <c:crosses val="autoZero"/>
        <c:crossBetween val="midCat"/>
        <c:majorUnit val="2000000"/>
        <c:minorUnit val="500000"/>
        <c:dispUnits>
          <c:builtInUnit val="millions"/>
        </c:dispUnits>
      </c:valAx>
      <c:valAx>
        <c:axId val="180523008"/>
        <c:scaling>
          <c:orientation val="minMax"/>
          <c:max val="40"/>
          <c:min val="0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="0"/>
                </a:pPr>
                <a:r>
                  <a:rPr lang="en-US" sz="900" b="1"/>
                  <a:t>Inductance (µH)</a:t>
                </a:r>
              </a:p>
            </c:rich>
          </c:tx>
          <c:layout>
            <c:manualLayout>
              <c:xMode val="edge"/>
              <c:yMode val="edge"/>
              <c:x val="1.0526312881250758E-2"/>
              <c:y val="0.24407227601242398"/>
            </c:manualLayout>
          </c:layout>
          <c:overlay val="0"/>
        </c:title>
        <c:numFmt formatCode="#\,##0.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lt-LT"/>
          </a:p>
        </c:txPr>
        <c:crossAx val="180512256"/>
        <c:crosses val="autoZero"/>
        <c:crossBetween val="midCat"/>
      </c:valAx>
      <c:spPr>
        <a:solidFill>
          <a:schemeClr val="accent3">
            <a:lumMod val="40000"/>
            <a:lumOff val="60000"/>
          </a:schemeClr>
        </a:solidFill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22864378688536"/>
          <c:y val="7.1374889688843174E-2"/>
          <c:w val="0.79801821171505516"/>
          <c:h val="0.60755932994305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LDC0851_calc!$L$92</c:f>
              <c:strCache>
                <c:ptCount val="1"/>
                <c:pt idx="0">
                  <c:v>Approx Switch OFF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square"/>
            <c:size val="5"/>
          </c:marker>
          <c:xVal>
            <c:numRef>
              <c:f>LDC0851_calc!$I$93:$I$107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xVal>
          <c:yVal>
            <c:numRef>
              <c:f>LDC0851_calc!$L$93:$L$107</c:f>
              <c:numCache>
                <c:formatCode>General</c:formatCode>
                <c:ptCount val="15"/>
                <c:pt idx="0">
                  <c:v>0.40773946360153246</c:v>
                </c:pt>
                <c:pt idx="1">
                  <c:v>0.85272030651341013</c:v>
                </c:pt>
                <c:pt idx="2">
                  <c:v>1.2209961685823754</c:v>
                </c:pt>
                <c:pt idx="3">
                  <c:v>1.5424137931034485</c:v>
                </c:pt>
                <c:pt idx="4">
                  <c:v>1.8627203065134101</c:v>
                </c:pt>
                <c:pt idx="5">
                  <c:v>2.1622605363984677</c:v>
                </c:pt>
                <c:pt idx="6">
                  <c:v>2.4501149425287356</c:v>
                </c:pt>
                <c:pt idx="7">
                  <c:v>2.7383524904214562</c:v>
                </c:pt>
                <c:pt idx="8">
                  <c:v>3.0434482758620689</c:v>
                </c:pt>
                <c:pt idx="9">
                  <c:v>3.3487356321839079</c:v>
                </c:pt>
                <c:pt idx="10">
                  <c:v>3.6708812260536399</c:v>
                </c:pt>
                <c:pt idx="11">
                  <c:v>4.0039463601532566</c:v>
                </c:pt>
                <c:pt idx="12">
                  <c:v>4.3125670498084299</c:v>
                </c:pt>
                <c:pt idx="13">
                  <c:v>4.6011877394636009</c:v>
                </c:pt>
                <c:pt idx="14">
                  <c:v>4.9546360153256703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2-455C-A027-8A0A807D7887}"/>
            </c:ext>
          </c:extLst>
        </c:ser>
        <c:ser>
          <c:idx val="1"/>
          <c:order val="1"/>
          <c:tx>
            <c:strRef>
              <c:f>LDC0851_calc!$M$92</c:f>
              <c:strCache>
                <c:ptCount val="1"/>
                <c:pt idx="0">
                  <c:v>Approx Switch ON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square"/>
            <c:size val="4"/>
          </c:marker>
          <c:xVal>
            <c:numRef>
              <c:f>LDC0851_calc!$I$93:$I$107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xVal>
          <c:yVal>
            <c:numRef>
              <c:f>LDC0851_calc!$M$93:$M$107</c:f>
              <c:numCache>
                <c:formatCode>General</c:formatCode>
                <c:ptCount val="15"/>
                <c:pt idx="0">
                  <c:v>0.37363984674329498</c:v>
                </c:pt>
                <c:pt idx="1">
                  <c:v>0.79954022988505746</c:v>
                </c:pt>
                <c:pt idx="2">
                  <c:v>1.1578160919540201</c:v>
                </c:pt>
                <c:pt idx="3">
                  <c:v>1.4714559386973181</c:v>
                </c:pt>
                <c:pt idx="4">
                  <c:v>1.7736015325670496</c:v>
                </c:pt>
                <c:pt idx="5">
                  <c:v>2.0666666666666664</c:v>
                </c:pt>
                <c:pt idx="6">
                  <c:v>2.3232183908045974</c:v>
                </c:pt>
                <c:pt idx="7">
                  <c:v>2.5910727969348657</c:v>
                </c:pt>
                <c:pt idx="8">
                  <c:v>2.8681992337164752</c:v>
                </c:pt>
                <c:pt idx="9">
                  <c:v>3.1353256704980841</c:v>
                </c:pt>
                <c:pt idx="10">
                  <c:v>3.3976245210727969</c:v>
                </c:pt>
                <c:pt idx="11">
                  <c:v>3.6918007662835244</c:v>
                </c:pt>
                <c:pt idx="12">
                  <c:v>3.9567049808429116</c:v>
                </c:pt>
                <c:pt idx="13">
                  <c:v>4.1769731800766285</c:v>
                </c:pt>
                <c:pt idx="14">
                  <c:v>4.4563218390804593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2-455C-A027-8A0A807D7887}"/>
            </c:ext>
          </c:extLst>
        </c:ser>
        <c:ser>
          <c:idx val="2"/>
          <c:order val="2"/>
          <c:tx>
            <c:strRef>
              <c:f>LDC0851_calc!$N$92</c:f>
              <c:strCache>
                <c:ptCount val="1"/>
                <c:pt idx="0">
                  <c:v>Desired Switching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LDC0851_calc!$I$93:$I$107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xVal>
          <c:yVal>
            <c:numRef>
              <c:f>LDC0851_calc!$N$93:$N$107</c:f>
              <c:numCache>
                <c:formatCode>General</c:formatCode>
                <c:ptCount val="15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2-455C-A027-8A0A807D7887}"/>
            </c:ext>
          </c:extLst>
        </c:ser>
        <c:ser>
          <c:idx val="5"/>
          <c:order val="3"/>
          <c:tx>
            <c:strRef>
              <c:f>LDC0851_calc!$O$92</c:f>
              <c:strCache>
                <c:ptCount val="1"/>
                <c:pt idx="0">
                  <c:v>Closest Target Disance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0"/>
            <c:spPr>
              <a:ln w="508000">
                <a:solidFill>
                  <a:srgbClr val="951609"/>
                </a:solidFill>
              </a:ln>
            </c:spPr>
          </c:errBars>
          <c:xVal>
            <c:numRef>
              <c:f>LDC0851_calc!$I$93:$I$107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xVal>
          <c:yVal>
            <c:numRef>
              <c:f>LDC0851_calc!$O$93:$O$107</c:f>
              <c:numCache>
                <c:formatCode>0.00</c:formatCode>
                <c:ptCount val="1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22-455C-A027-8A0A807D7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46688"/>
        <c:axId val="181765248"/>
      </c:scatterChart>
      <c:valAx>
        <c:axId val="181746688"/>
        <c:scaling>
          <c:orientation val="maxMin"/>
          <c:max val="15"/>
          <c:min val="1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ADJ Code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lt-LT"/>
          </a:p>
        </c:txPr>
        <c:crossAx val="181765248"/>
        <c:crossesAt val="-10"/>
        <c:crossBetween val="midCat"/>
        <c:majorUnit val="1"/>
        <c:minorUnit val="1"/>
      </c:valAx>
      <c:valAx>
        <c:axId val="181765248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strRef>
              <c:f>LDC0851_calc!$I$91</c:f>
              <c:strCache>
                <c:ptCount val="1"/>
                <c:pt idx="0">
                  <c:v>Switching Distance (mm)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lt-LT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lt-LT"/>
          </a:p>
        </c:txPr>
        <c:crossAx val="181746688"/>
        <c:crosses val="max"/>
        <c:crossBetween val="midCat"/>
      </c:valAx>
    </c:plotArea>
    <c:legend>
      <c:legendPos val="b"/>
      <c:layout>
        <c:manualLayout>
          <c:xMode val="edge"/>
          <c:yMode val="edge"/>
          <c:x val="4.9015620600614609E-2"/>
          <c:y val="0.87929618307525281"/>
          <c:w val="0.92572108980294976"/>
          <c:h val="0.12070342012202477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800"/>
          </a:pPr>
          <a:endParaRPr lang="lt-L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80336671103063"/>
          <c:y val="5.6378946132176207E-2"/>
          <c:w val="0.80260002043662015"/>
          <c:h val="0.84329296539910104"/>
        </c:manualLayout>
      </c:layout>
      <c:scatterChart>
        <c:scatterStyle val="lineMarker"/>
        <c:varyColors val="0"/>
        <c:ser>
          <c:idx val="9"/>
          <c:order val="7"/>
          <c:tx>
            <c:v>Parasitic Region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'LDC Operating Region'!$C$26:$C$30</c:f>
            </c:numRef>
          </c:xVal>
          <c:yVal>
            <c:numRef>
              <c:f>'LDC Operating Region'!$D$26:$D$30</c:f>
            </c:numRef>
          </c:yVal>
          <c:smooth val="0"/>
          <c:extLst>
            <c:ext xmlns:c16="http://schemas.microsoft.com/office/drawing/2014/chart" uri="{C3380CC4-5D6E-409C-BE32-E72D297353CC}">
              <c16:uniqueId val="{00000000-3CF4-45A0-9938-7B75580AA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80928"/>
        <c:axId val="181582848"/>
      </c:scatterChart>
      <c:scatterChart>
        <c:scatterStyle val="smoothMarker"/>
        <c:varyColors val="0"/>
        <c:ser>
          <c:idx val="0"/>
          <c:order val="0"/>
          <c:tx>
            <c:strRef>
              <c:f>'LDC Operating Region'!$D$10</c:f>
              <c:strCache>
                <c:ptCount val="1"/>
                <c:pt idx="0">
                  <c:v>F= 5kHz</c:v>
                </c:pt>
              </c:strCache>
            </c:strRef>
          </c:tx>
          <c:spPr>
            <a:ln w="19050"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aseline="0"/>
                </a:pPr>
                <a:endParaRPr lang="lt-LT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'LDC Operating Region'!$C$11:$C$14</c:f>
              <c:numCache>
                <c:formatCode>General</c:formatCode>
                <c:ptCount val="2"/>
                <c:pt idx="0">
                  <c:v>1E-3</c:v>
                </c:pt>
                <c:pt idx="1">
                  <c:v>1000</c:v>
                </c:pt>
              </c:numCache>
            </c:numRef>
          </c:xVal>
          <c:yVal>
            <c:numRef>
              <c:f>'LDC Operating Region'!$D$11:$D$14</c:f>
              <c:numCache>
                <c:formatCode>##0.0E+0</c:formatCode>
                <c:ptCount val="2"/>
                <c:pt idx="0">
                  <c:v>1013211836.4233775</c:v>
                </c:pt>
                <c:pt idx="1">
                  <c:v>1013.2118364233777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F4-45A0-9938-7B75580AA2F3}"/>
            </c:ext>
          </c:extLst>
        </c:ser>
        <c:ser>
          <c:idx val="1"/>
          <c:order val="1"/>
          <c:tx>
            <c:strRef>
              <c:f>'LDC Operating Region'!$E$10</c:f>
              <c:strCache>
                <c:ptCount val="1"/>
                <c:pt idx="0">
                  <c:v>F= 10kHz</c:v>
                </c:pt>
              </c:strCache>
            </c:strRef>
          </c:tx>
          <c:spPr>
            <a:ln w="190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F4-45A0-9938-7B75580AA2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aseline="0"/>
                </a:pPr>
                <a:endParaRPr lang="lt-LT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'LDC Operating Region'!$C$11:$C$14</c:f>
              <c:numCache>
                <c:formatCode>General</c:formatCode>
                <c:ptCount val="2"/>
                <c:pt idx="0">
                  <c:v>1E-3</c:v>
                </c:pt>
                <c:pt idx="1">
                  <c:v>1000</c:v>
                </c:pt>
              </c:numCache>
            </c:numRef>
          </c:xVal>
          <c:yVal>
            <c:numRef>
              <c:f>'LDC Operating Region'!$E$11:$E$14</c:f>
              <c:numCache>
                <c:formatCode>##0.0E+0</c:formatCode>
                <c:ptCount val="2"/>
                <c:pt idx="0">
                  <c:v>253302959.10584438</c:v>
                </c:pt>
                <c:pt idx="1">
                  <c:v>253.30295910584442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F4-45A0-9938-7B75580AA2F3}"/>
            </c:ext>
          </c:extLst>
        </c:ser>
        <c:ser>
          <c:idx val="2"/>
          <c:order val="2"/>
          <c:tx>
            <c:strRef>
              <c:f>'LDC Operating Region'!$F$10</c:f>
              <c:strCache>
                <c:ptCount val="1"/>
                <c:pt idx="0">
                  <c:v>F= 100kHz</c:v>
                </c:pt>
              </c:strCache>
            </c:strRef>
          </c:tx>
          <c:spPr>
            <a:ln w="190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'LDC Operating Region'!$C$11:$C$14</c:f>
              <c:numCache>
                <c:formatCode>General</c:formatCode>
                <c:ptCount val="2"/>
                <c:pt idx="0">
                  <c:v>1E-3</c:v>
                </c:pt>
                <c:pt idx="1">
                  <c:v>1000</c:v>
                </c:pt>
              </c:numCache>
            </c:numRef>
          </c:xVal>
          <c:yVal>
            <c:numRef>
              <c:f>'LDC Operating Region'!$F$11:$F$14</c:f>
              <c:numCache>
                <c:formatCode>##0.0E+0</c:formatCode>
                <c:ptCount val="2"/>
                <c:pt idx="0">
                  <c:v>2533029.5910584447</c:v>
                </c:pt>
                <c:pt idx="1">
                  <c:v>2.5330295910584444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F4-45A0-9938-7B75580AA2F3}"/>
            </c:ext>
          </c:extLst>
        </c:ser>
        <c:ser>
          <c:idx val="3"/>
          <c:order val="3"/>
          <c:tx>
            <c:strRef>
              <c:f>'LDC Operating Region'!$G$10</c:f>
              <c:strCache>
                <c:ptCount val="1"/>
                <c:pt idx="0">
                  <c:v>F= 1MHz</c:v>
                </c:pt>
              </c:strCache>
            </c:strRef>
          </c:tx>
          <c:spPr>
            <a:ln w="190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Lbl>
              <c:idx val="1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CF4-45A0-9938-7B75580AA2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aseline="0"/>
                </a:pPr>
                <a:endParaRPr lang="lt-L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'LDC Operating Region'!$C$11:$C$14</c:f>
              <c:numCache>
                <c:formatCode>General</c:formatCode>
                <c:ptCount val="2"/>
                <c:pt idx="0">
                  <c:v>1E-3</c:v>
                </c:pt>
                <c:pt idx="1">
                  <c:v>1000</c:v>
                </c:pt>
              </c:numCache>
            </c:numRef>
          </c:xVal>
          <c:yVal>
            <c:numRef>
              <c:f>'LDC Operating Region'!$G$11:$G$14</c:f>
              <c:numCache>
                <c:formatCode>##0.0E+0</c:formatCode>
                <c:ptCount val="2"/>
                <c:pt idx="0">
                  <c:v>25330.295910584438</c:v>
                </c:pt>
                <c:pt idx="1">
                  <c:v>2.533029591058444E-2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CF4-45A0-9938-7B75580AA2F3}"/>
            </c:ext>
          </c:extLst>
        </c:ser>
        <c:ser>
          <c:idx val="4"/>
          <c:order val="4"/>
          <c:tx>
            <c:strRef>
              <c:f>'LDC Operating Region'!$H$10</c:f>
              <c:strCache>
                <c:ptCount val="1"/>
                <c:pt idx="0">
                  <c:v>F= 10MHz</c:v>
                </c:pt>
              </c:strCache>
            </c:strRef>
          </c:tx>
          <c:spPr>
            <a:ln w="190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CF4-45A0-9938-7B75580AA2F3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100" baseline="0"/>
                  </a:pPr>
                  <a:endParaRPr lang="lt-LT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CF4-45A0-9938-7B75580AA2F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'LDC Operating Region'!$C$11:$C$14</c:f>
              <c:numCache>
                <c:formatCode>General</c:formatCode>
                <c:ptCount val="2"/>
                <c:pt idx="0">
                  <c:v>1E-3</c:v>
                </c:pt>
                <c:pt idx="1">
                  <c:v>1000</c:v>
                </c:pt>
              </c:numCache>
            </c:numRef>
          </c:xVal>
          <c:yVal>
            <c:numRef>
              <c:f>'LDC Operating Region'!$H$11:$H$14</c:f>
              <c:numCache>
                <c:formatCode>##0.0E+0</c:formatCode>
                <c:ptCount val="2"/>
                <c:pt idx="0">
                  <c:v>253.30295910584437</c:v>
                </c:pt>
                <c:pt idx="1">
                  <c:v>2.533029591058444E-4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CF4-45A0-9938-7B75580AA2F3}"/>
            </c:ext>
          </c:extLst>
        </c:ser>
        <c:ser>
          <c:idx val="5"/>
          <c:order val="5"/>
          <c:tx>
            <c:v>Parasitic Cap</c:v>
          </c:tx>
          <c:spPr>
            <a:ln w="12700"/>
          </c:spPr>
          <c:marker>
            <c:symbol val="none"/>
          </c:marker>
          <c:xVal>
            <c:numRef>
              <c:f>'LDC Operating Region'!$C$17:$C$18</c:f>
            </c:numRef>
          </c:xVal>
          <c:yVal>
            <c:numRef>
              <c:f>'LDC Operating Region'!$D$17:$D$18</c:f>
            </c:numRef>
          </c:yVal>
          <c:smooth val="1"/>
          <c:extLst>
            <c:ext xmlns:c16="http://schemas.microsoft.com/office/drawing/2014/chart" uri="{C3380CC4-5D6E-409C-BE32-E72D297353CC}">
              <c16:uniqueId val="{0000000A-3CF4-45A0-9938-7B75580AA2F3}"/>
            </c:ext>
          </c:extLst>
        </c:ser>
        <c:ser>
          <c:idx val="6"/>
          <c:order val="6"/>
          <c:tx>
            <c:v>Largest Cap</c:v>
          </c:tx>
          <c:spPr>
            <a:ln w="12700"/>
          </c:spPr>
          <c:marker>
            <c:symbol val="none"/>
          </c:marker>
          <c:dPt>
            <c:idx val="1"/>
            <c:bubble3D val="0"/>
            <c:spPr>
              <a:ln w="22225"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3CF4-45A0-9938-7B75580AA2F3}"/>
              </c:ext>
            </c:extLst>
          </c:dPt>
          <c:xVal>
            <c:numRef>
              <c:f>'LDC Operating Region'!$C$20:$C$21</c:f>
            </c:numRef>
          </c:xVal>
          <c:yVal>
            <c:numRef>
              <c:f>'LDC Operating Region'!$D$20:$D$21</c:f>
            </c:numRef>
          </c:yVal>
          <c:smooth val="1"/>
          <c:extLst>
            <c:ext xmlns:c16="http://schemas.microsoft.com/office/drawing/2014/chart" uri="{C3380CC4-5D6E-409C-BE32-E72D297353CC}">
              <c16:uniqueId val="{0000000D-3CF4-45A0-9938-7B75580AA2F3}"/>
            </c:ext>
          </c:extLst>
        </c:ser>
        <c:ser>
          <c:idx val="7"/>
          <c:order val="8"/>
          <c:tx>
            <c:strRef>
              <c:f>'LDC Operating Region'!$F$35</c:f>
              <c:strCache>
                <c:ptCount val="1"/>
                <c:pt idx="0">
                  <c:v>Q=25, RP=798Ω</c:v>
                </c:pt>
              </c:strCache>
            </c:strRef>
          </c:tx>
          <c:spPr>
            <a:ln w="22225">
              <a:solidFill>
                <a:schemeClr val="accent3">
                  <a:lumMod val="75000"/>
                </a:schemeClr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3CF4-45A0-9938-7B75580AA2F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CF4-45A0-9938-7B75580AA2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aseline="0"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endParaRPr lang="lt-LT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'LDC Operating Region'!$C$35:$C$36</c:f>
              <c:numCache>
                <c:formatCode>0.00</c:formatCode>
                <c:ptCount val="2"/>
                <c:pt idx="0">
                  <c:v>0.49860571144077481</c:v>
                </c:pt>
                <c:pt idx="1">
                  <c:v>997.21142288154977</c:v>
                </c:pt>
              </c:numCache>
            </c:numRef>
          </c:xVal>
          <c:yVal>
            <c:numRef>
              <c:f>'LDC Operating Region'!$D$35:$D$36</c:f>
              <c:numCache>
                <c:formatCode>0.000</c:formatCode>
                <c:ptCount val="2"/>
                <c:pt idx="0">
                  <c:v>0.50802257834932996</c:v>
                </c:pt>
                <c:pt idx="1">
                  <c:v>1016.0451566986599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CF4-45A0-9938-7B75580AA2F3}"/>
            </c:ext>
          </c:extLst>
        </c:ser>
        <c:ser>
          <c:idx val="8"/>
          <c:order val="9"/>
          <c:tx>
            <c:strRef>
              <c:f>'LDC Operating Region'!$F$39</c:f>
              <c:strCache>
                <c:ptCount val="1"/>
                <c:pt idx="0">
                  <c:v>Q=5, RP=798Ω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dLbls>
            <c:dLbl>
              <c:idx val="0"/>
              <c:spPr/>
              <c:txPr>
                <a:bodyPr/>
                <a:lstStyle/>
                <a:p>
                  <a:pPr>
                    <a:defRPr sz="1100" baseline="0">
                      <a:solidFill>
                        <a:schemeClr val="accent3">
                          <a:lumMod val="50000"/>
                        </a:schemeClr>
                      </a:solidFill>
                    </a:defRPr>
                  </a:pPr>
                  <a:endParaRPr lang="lt-LT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3CF4-45A0-9938-7B75580AA2F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CF4-45A0-9938-7B75580AA2F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'LDC Operating Region'!$C$39:$C$40</c:f>
              <c:numCache>
                <c:formatCode>0.00</c:formatCode>
                <c:ptCount val="2"/>
                <c:pt idx="0">
                  <c:v>9.9721142288154985E-2</c:v>
                </c:pt>
                <c:pt idx="1">
                  <c:v>199.44228457630996</c:v>
                </c:pt>
              </c:numCache>
            </c:numRef>
          </c:xVal>
          <c:yVal>
            <c:numRef>
              <c:f>'LDC Operating Region'!$D$39:$D$40</c:f>
              <c:numCache>
                <c:formatCode>0.000</c:formatCode>
                <c:ptCount val="2"/>
                <c:pt idx="0">
                  <c:v>2.5401128917466496</c:v>
                </c:pt>
                <c:pt idx="1">
                  <c:v>5080.2257834932989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CF4-45A0-9938-7B75580AA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80928"/>
        <c:axId val="181582848"/>
      </c:scatterChart>
      <c:valAx>
        <c:axId val="181580928"/>
        <c:scaling>
          <c:logBase val="10"/>
          <c:orientation val="minMax"/>
          <c:max val="1000"/>
          <c:min val="1.0000000000000002E-3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/>
                  <a:t>Capacitance (nF)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lt-LT"/>
          </a:p>
        </c:txPr>
        <c:crossAx val="181582848"/>
        <c:crossesAt val="0.1"/>
        <c:crossBetween val="midCat"/>
      </c:valAx>
      <c:valAx>
        <c:axId val="181582848"/>
        <c:scaling>
          <c:logBase val="10"/>
          <c:orientation val="minMax"/>
          <c:max val="10000"/>
          <c:min val="0.1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050"/>
                </a:pPr>
                <a:r>
                  <a:rPr lang="en-US" sz="1050"/>
                  <a:t>Inductance</a:t>
                </a:r>
                <a:r>
                  <a:rPr lang="en-US" sz="1050" baseline="0"/>
                  <a:t> (µH)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3421162693433709E-2"/>
              <c:y val="0.39590007293044416"/>
            </c:manualLayout>
          </c:layout>
          <c:overlay val="0"/>
        </c:title>
        <c:numFmt formatCode="#\,##0.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lt-LT"/>
          </a:p>
        </c:txPr>
        <c:crossAx val="181580928"/>
        <c:crossesAt val="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80336671103063"/>
          <c:y val="5.6378946132176207E-2"/>
          <c:w val="0.80260002043662015"/>
          <c:h val="0.84329296539910104"/>
        </c:manualLayout>
      </c:layout>
      <c:scatterChart>
        <c:scatterStyle val="lineMarker"/>
        <c:varyColors val="0"/>
        <c:ser>
          <c:idx val="9"/>
          <c:order val="7"/>
          <c:tx>
            <c:v>Parasitic Region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'LDC Operating Region'!$C$26:$C$30</c:f>
            </c:numRef>
          </c:xVal>
          <c:yVal>
            <c:numRef>
              <c:f>'LDC Operating Region'!$D$26:$D$30</c:f>
            </c:numRef>
          </c:yVal>
          <c:smooth val="0"/>
          <c:extLst>
            <c:ext xmlns:c16="http://schemas.microsoft.com/office/drawing/2014/chart" uri="{C3380CC4-5D6E-409C-BE32-E72D297353CC}">
              <c16:uniqueId val="{00000000-D73E-41FE-B35C-C0168DC2C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31072"/>
        <c:axId val="186949632"/>
      </c:scatterChart>
      <c:scatterChart>
        <c:scatterStyle val="smoothMarker"/>
        <c:varyColors val="0"/>
        <c:ser>
          <c:idx val="0"/>
          <c:order val="0"/>
          <c:tx>
            <c:strRef>
              <c:f>'LDC Operating Region'!$D$74</c:f>
              <c:strCache>
                <c:ptCount val="1"/>
                <c:pt idx="0">
                  <c:v>F= 10kHz</c:v>
                </c:pt>
              </c:strCache>
            </c:strRef>
          </c:tx>
          <c:spPr>
            <a:ln w="19050"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aseline="0"/>
                </a:pPr>
                <a:endParaRPr lang="lt-LT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'LDC Operating Region'!$C$75:$C$78</c:f>
              <c:numCache>
                <c:formatCode>General</c:formatCode>
                <c:ptCount val="2"/>
                <c:pt idx="0">
                  <c:v>1E-3</c:v>
                </c:pt>
                <c:pt idx="1">
                  <c:v>1000</c:v>
                </c:pt>
              </c:numCache>
            </c:numRef>
          </c:xVal>
          <c:yVal>
            <c:numRef>
              <c:f>'LDC Operating Region'!$D$75:$D$78</c:f>
              <c:numCache>
                <c:formatCode>##0.0E+0</c:formatCode>
                <c:ptCount val="2"/>
                <c:pt idx="0">
                  <c:v>1013211836.4233775</c:v>
                </c:pt>
                <c:pt idx="1">
                  <c:v>1013.2118364233777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3E-41FE-B35C-C0168DC2CD6D}"/>
            </c:ext>
          </c:extLst>
        </c:ser>
        <c:ser>
          <c:idx val="1"/>
          <c:order val="1"/>
          <c:tx>
            <c:strRef>
              <c:f>'LDC Operating Region'!$E$74</c:f>
              <c:strCache>
                <c:ptCount val="1"/>
                <c:pt idx="0">
                  <c:v>F= 10kHz</c:v>
                </c:pt>
              </c:strCache>
            </c:strRef>
          </c:tx>
          <c:spPr>
            <a:ln w="190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3E-41FE-B35C-C0168DC2CD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aseline="0"/>
                </a:pPr>
                <a:endParaRPr lang="lt-LT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'LDC Operating Region'!$C$75:$C$78</c:f>
              <c:numCache>
                <c:formatCode>General</c:formatCode>
                <c:ptCount val="2"/>
                <c:pt idx="0">
                  <c:v>1E-3</c:v>
                </c:pt>
                <c:pt idx="1">
                  <c:v>1000</c:v>
                </c:pt>
              </c:numCache>
            </c:numRef>
          </c:xVal>
          <c:yVal>
            <c:numRef>
              <c:f>'LDC Operating Region'!$E$75:$E$78</c:f>
              <c:numCache>
                <c:formatCode>##0.0E+0</c:formatCode>
                <c:ptCount val="2"/>
                <c:pt idx="0">
                  <c:v>253302959.10584438</c:v>
                </c:pt>
                <c:pt idx="1">
                  <c:v>253.30295910584442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3E-41FE-B35C-C0168DC2CD6D}"/>
            </c:ext>
          </c:extLst>
        </c:ser>
        <c:ser>
          <c:idx val="2"/>
          <c:order val="2"/>
          <c:tx>
            <c:strRef>
              <c:f>'LDC Operating Region'!$F$74</c:f>
              <c:strCache>
                <c:ptCount val="1"/>
                <c:pt idx="0">
                  <c:v>F= 100kHz</c:v>
                </c:pt>
              </c:strCache>
            </c:strRef>
          </c:tx>
          <c:spPr>
            <a:ln w="190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'LDC Operating Region'!$C$75:$C$78</c:f>
              <c:numCache>
                <c:formatCode>General</c:formatCode>
                <c:ptCount val="2"/>
                <c:pt idx="0">
                  <c:v>1E-3</c:v>
                </c:pt>
                <c:pt idx="1">
                  <c:v>1000</c:v>
                </c:pt>
              </c:numCache>
            </c:numRef>
          </c:xVal>
          <c:yVal>
            <c:numRef>
              <c:f>'LDC Operating Region'!$F$75:$F$78</c:f>
              <c:numCache>
                <c:formatCode>##0.0E+0</c:formatCode>
                <c:ptCount val="2"/>
                <c:pt idx="0">
                  <c:v>2533029.5910584447</c:v>
                </c:pt>
                <c:pt idx="1">
                  <c:v>2.5330295910584444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3E-41FE-B35C-C0168DC2CD6D}"/>
            </c:ext>
          </c:extLst>
        </c:ser>
        <c:ser>
          <c:idx val="3"/>
          <c:order val="3"/>
          <c:tx>
            <c:strRef>
              <c:f>'LDC Operating Region'!$G$74</c:f>
              <c:strCache>
                <c:ptCount val="1"/>
                <c:pt idx="0">
                  <c:v>F= 1MHz</c:v>
                </c:pt>
              </c:strCache>
            </c:strRef>
          </c:tx>
          <c:spPr>
            <a:ln w="190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Lbl>
              <c:idx val="1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3E-41FE-B35C-C0168DC2CD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aseline="0"/>
                </a:pPr>
                <a:endParaRPr lang="lt-L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'LDC Operating Region'!$C$75:$C$78</c:f>
              <c:numCache>
                <c:formatCode>General</c:formatCode>
                <c:ptCount val="2"/>
                <c:pt idx="0">
                  <c:v>1E-3</c:v>
                </c:pt>
                <c:pt idx="1">
                  <c:v>1000</c:v>
                </c:pt>
              </c:numCache>
            </c:numRef>
          </c:xVal>
          <c:yVal>
            <c:numRef>
              <c:f>'LDC Operating Region'!$G$75:$G$78</c:f>
              <c:numCache>
                <c:formatCode>##0.0E+0</c:formatCode>
                <c:ptCount val="2"/>
                <c:pt idx="0">
                  <c:v>25330.295910584438</c:v>
                </c:pt>
                <c:pt idx="1">
                  <c:v>2.533029591058444E-2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73E-41FE-B35C-C0168DC2CD6D}"/>
            </c:ext>
          </c:extLst>
        </c:ser>
        <c:ser>
          <c:idx val="4"/>
          <c:order val="4"/>
          <c:tx>
            <c:strRef>
              <c:f>'LDC Operating Region'!$H$74</c:f>
              <c:strCache>
                <c:ptCount val="1"/>
                <c:pt idx="0">
                  <c:v>F= 10MHz</c:v>
                </c:pt>
              </c:strCache>
            </c:strRef>
          </c:tx>
          <c:spPr>
            <a:ln w="190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73E-41FE-B35C-C0168DC2CD6D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100" baseline="0"/>
                  </a:pPr>
                  <a:endParaRPr lang="lt-LT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73E-41FE-B35C-C0168DC2CD6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'LDC Operating Region'!$C$75:$C$78</c:f>
              <c:numCache>
                <c:formatCode>General</c:formatCode>
                <c:ptCount val="2"/>
                <c:pt idx="0">
                  <c:v>1E-3</c:v>
                </c:pt>
                <c:pt idx="1">
                  <c:v>1000</c:v>
                </c:pt>
              </c:numCache>
            </c:numRef>
          </c:xVal>
          <c:yVal>
            <c:numRef>
              <c:f>'LDC Operating Region'!$H$75:$H$78</c:f>
              <c:numCache>
                <c:formatCode>##0.0E+0</c:formatCode>
                <c:ptCount val="2"/>
                <c:pt idx="0">
                  <c:v>253.30295910584437</c:v>
                </c:pt>
                <c:pt idx="1">
                  <c:v>2.533029591058444E-4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73E-41FE-B35C-C0168DC2CD6D}"/>
            </c:ext>
          </c:extLst>
        </c:ser>
        <c:ser>
          <c:idx val="5"/>
          <c:order val="5"/>
          <c:tx>
            <c:v>Parasitic Cap</c:v>
          </c:tx>
          <c:spPr>
            <a:ln w="12700"/>
          </c:spPr>
          <c:marker>
            <c:symbol val="none"/>
          </c:marker>
          <c:xVal>
            <c:numRef>
              <c:f>'LDC Operating Region'!$C$17:$C$18</c:f>
            </c:numRef>
          </c:xVal>
          <c:yVal>
            <c:numRef>
              <c:f>'LDC Operating Region'!$D$17:$D$18</c:f>
            </c:numRef>
          </c:yVal>
          <c:smooth val="1"/>
          <c:extLst>
            <c:ext xmlns:c16="http://schemas.microsoft.com/office/drawing/2014/chart" uri="{C3380CC4-5D6E-409C-BE32-E72D297353CC}">
              <c16:uniqueId val="{0000000A-D73E-41FE-B35C-C0168DC2CD6D}"/>
            </c:ext>
          </c:extLst>
        </c:ser>
        <c:ser>
          <c:idx val="6"/>
          <c:order val="6"/>
          <c:tx>
            <c:v>Largest Cap</c:v>
          </c:tx>
          <c:spPr>
            <a:ln w="12700"/>
          </c:spPr>
          <c:marker>
            <c:symbol val="none"/>
          </c:marker>
          <c:dPt>
            <c:idx val="1"/>
            <c:bubble3D val="0"/>
            <c:spPr>
              <a:ln w="22225"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D73E-41FE-B35C-C0168DC2CD6D}"/>
              </c:ext>
            </c:extLst>
          </c:dPt>
          <c:xVal>
            <c:numRef>
              <c:f>'LDC Operating Region'!$C$20:$C$21</c:f>
            </c:numRef>
          </c:xVal>
          <c:yVal>
            <c:numRef>
              <c:f>'LDC Operating Region'!$D$20:$D$21</c:f>
            </c:numRef>
          </c:yVal>
          <c:smooth val="1"/>
          <c:extLst>
            <c:ext xmlns:c16="http://schemas.microsoft.com/office/drawing/2014/chart" uri="{C3380CC4-5D6E-409C-BE32-E72D297353CC}">
              <c16:uniqueId val="{0000000D-D73E-41FE-B35C-C0168DC2CD6D}"/>
            </c:ext>
          </c:extLst>
        </c:ser>
        <c:ser>
          <c:idx val="7"/>
          <c:order val="8"/>
          <c:tx>
            <c:strRef>
              <c:f>'LDC Operating Region'!$F$99</c:f>
              <c:strCache>
                <c:ptCount val="1"/>
                <c:pt idx="0">
                  <c:v>Q=25, RP=1000Ω</c:v>
                </c:pt>
              </c:strCache>
            </c:strRef>
          </c:tx>
          <c:spPr>
            <a:ln w="22225">
              <a:solidFill>
                <a:schemeClr val="accent3">
                  <a:lumMod val="75000"/>
                </a:schemeClr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D73E-41FE-B35C-C0168DC2CD6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73E-41FE-B35C-C0168DC2CD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aseline="0"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endParaRPr lang="lt-LT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'LDC Operating Region'!$C$99:$C$100</c:f>
              <c:numCache>
                <c:formatCode>0.00</c:formatCode>
                <c:ptCount val="2"/>
                <c:pt idx="0">
                  <c:v>0.39788735772973832</c:v>
                </c:pt>
                <c:pt idx="1">
                  <c:v>795.77471545947662</c:v>
                </c:pt>
              </c:numCache>
            </c:numRef>
          </c:xVal>
          <c:yVal>
            <c:numRef>
              <c:f>'LDC Operating Region'!$D$99:$D$100</c:f>
              <c:numCache>
                <c:formatCode>0.000</c:formatCode>
                <c:ptCount val="2"/>
                <c:pt idx="0">
                  <c:v>0.63661977236758138</c:v>
                </c:pt>
                <c:pt idx="1">
                  <c:v>1273.2395447351628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73E-41FE-B35C-C0168DC2CD6D}"/>
            </c:ext>
          </c:extLst>
        </c:ser>
        <c:ser>
          <c:idx val="8"/>
          <c:order val="9"/>
          <c:tx>
            <c:strRef>
              <c:f>'LDC Operating Region'!$F$103</c:f>
              <c:strCache>
                <c:ptCount val="1"/>
                <c:pt idx="0">
                  <c:v>Q=5, RP=1000Ω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dLbls>
            <c:dLbl>
              <c:idx val="0"/>
              <c:spPr/>
              <c:txPr>
                <a:bodyPr/>
                <a:lstStyle/>
                <a:p>
                  <a:pPr>
                    <a:defRPr sz="1100" baseline="0">
                      <a:solidFill>
                        <a:schemeClr val="accent3">
                          <a:lumMod val="50000"/>
                        </a:schemeClr>
                      </a:solidFill>
                    </a:defRPr>
                  </a:pPr>
                  <a:endParaRPr lang="lt-LT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D73E-41FE-B35C-C0168DC2CD6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73E-41FE-B35C-C0168DC2CD6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'LDC Operating Region'!$C$103:$C$104</c:f>
              <c:numCache>
                <c:formatCode>0.00</c:formatCode>
                <c:ptCount val="2"/>
                <c:pt idx="0">
                  <c:v>7.9577471545947687E-2</c:v>
                </c:pt>
                <c:pt idx="1">
                  <c:v>159.15494309189538</c:v>
                </c:pt>
              </c:numCache>
            </c:numRef>
          </c:xVal>
          <c:yVal>
            <c:numRef>
              <c:f>'LDC Operating Region'!$D$103:$D$104</c:f>
              <c:numCache>
                <c:formatCode>0.000</c:formatCode>
                <c:ptCount val="2"/>
                <c:pt idx="0">
                  <c:v>3.1830988618379066</c:v>
                </c:pt>
                <c:pt idx="1">
                  <c:v>6366.197723675813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D73E-41FE-B35C-C0168DC2C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31072"/>
        <c:axId val="186949632"/>
      </c:scatterChart>
      <c:valAx>
        <c:axId val="186931072"/>
        <c:scaling>
          <c:logBase val="10"/>
          <c:orientation val="minMax"/>
          <c:max val="1000"/>
          <c:min val="1.0000000000000002E-3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/>
                  <a:t>Capacitance (nF)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lt-LT"/>
          </a:p>
        </c:txPr>
        <c:crossAx val="186949632"/>
        <c:crossesAt val="0.1"/>
        <c:crossBetween val="midCat"/>
      </c:valAx>
      <c:valAx>
        <c:axId val="186949632"/>
        <c:scaling>
          <c:logBase val="10"/>
          <c:orientation val="minMax"/>
          <c:max val="10000"/>
          <c:min val="0.1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050"/>
                </a:pPr>
                <a:r>
                  <a:rPr lang="en-US" sz="1050"/>
                  <a:t>Inductance</a:t>
                </a:r>
                <a:r>
                  <a:rPr lang="en-US" sz="1050" baseline="0"/>
                  <a:t> (µH)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3421162693433709E-2"/>
              <c:y val="0.39590007293044416"/>
            </c:manualLayout>
          </c:layout>
          <c:overlay val="0"/>
        </c:title>
        <c:numFmt formatCode="#\,##0.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lt-LT"/>
          </a:p>
        </c:txPr>
        <c:crossAx val="186931072"/>
        <c:crossesAt val="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4</xdr:row>
      <xdr:rowOff>28575</xdr:rowOff>
    </xdr:from>
    <xdr:to>
      <xdr:col>1</xdr:col>
      <xdr:colOff>1914525</xdr:colOff>
      <xdr:row>12</xdr:row>
      <xdr:rowOff>180280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1" y="819150"/>
          <a:ext cx="1885949" cy="16757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1943100</xdr:colOff>
      <xdr:row>4</xdr:row>
      <xdr:rowOff>23310</xdr:rowOff>
    </xdr:from>
    <xdr:to>
      <xdr:col>3</xdr:col>
      <xdr:colOff>476200</xdr:colOff>
      <xdr:row>12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390775" y="813885"/>
          <a:ext cx="1952575" cy="1634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4</xdr:row>
      <xdr:rowOff>66675</xdr:rowOff>
    </xdr:from>
    <xdr:to>
      <xdr:col>8</xdr:col>
      <xdr:colOff>334475</xdr:colOff>
      <xdr:row>17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857250"/>
          <a:ext cx="3934925" cy="2495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8</xdr:row>
      <xdr:rowOff>38100</xdr:rowOff>
    </xdr:from>
    <xdr:to>
      <xdr:col>11</xdr:col>
      <xdr:colOff>400050</xdr:colOff>
      <xdr:row>21</xdr:row>
      <xdr:rowOff>171450</xdr:rowOff>
    </xdr:to>
    <xdr:pic>
      <xdr:nvPicPr>
        <xdr:cNvPr id="3" name="Picture 2" descr="Skin Depth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8625" y="1657350"/>
          <a:ext cx="3514725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59</xdr:row>
      <xdr:rowOff>0</xdr:rowOff>
    </xdr:from>
    <xdr:to>
      <xdr:col>6</xdr:col>
      <xdr:colOff>428625</xdr:colOff>
      <xdr:row>60</xdr:row>
      <xdr:rowOff>85725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1350" y="3924300"/>
          <a:ext cx="19812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602272</xdr:colOff>
      <xdr:row>47</xdr:row>
      <xdr:rowOff>66677</xdr:rowOff>
    </xdr:from>
    <xdr:to>
      <xdr:col>4</xdr:col>
      <xdr:colOff>123823</xdr:colOff>
      <xdr:row>80</xdr:row>
      <xdr:rowOff>91588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47592</xdr:colOff>
      <xdr:row>48</xdr:row>
      <xdr:rowOff>3313</xdr:rowOff>
    </xdr:from>
    <xdr:to>
      <xdr:col>5</xdr:col>
      <xdr:colOff>277021</xdr:colOff>
      <xdr:row>81</xdr:row>
      <xdr:rowOff>46957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0.16765</cdr:x>
      <cdr:y>0.73491</cdr:y>
    </cdr:from>
    <cdr:to>
      <cdr:x>0.44389</cdr:x>
      <cdr:y>0.79925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084ABDB-4669-4772-858D-0E6E2C1678C1}"/>
            </a:ext>
          </a:extLst>
        </cdr:cNvPr>
        <cdr:cNvSpPr txBox="1"/>
      </cdr:nvSpPr>
      <cdr:spPr>
        <a:xfrm xmlns:a="http://schemas.openxmlformats.org/drawingml/2006/main">
          <a:off x="623510" y="1838323"/>
          <a:ext cx="1027373" cy="16092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en-US" sz="1000" baseline="-250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SENSOR</a:t>
          </a:r>
          <a:r>
            <a:rPr lang="en-US" sz="900" baseline="-250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9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limitation</a:t>
          </a:r>
          <a:endParaRPr lang="en-US" sz="500">
            <a:solidFill>
              <a:schemeClr val="bg1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0.62446</cdr:x>
      <cdr:y>0.08257</cdr:y>
    </cdr:from>
    <cdr:to>
      <cdr:x>0.87734</cdr:x>
      <cdr:y>0.17293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FBCC919-17C6-4F3C-9F1A-404FD7029EA1}"/>
            </a:ext>
          </a:extLst>
        </cdr:cNvPr>
        <cdr:cNvSpPr txBox="1"/>
      </cdr:nvSpPr>
      <cdr:spPr>
        <a:xfrm xmlns:a="http://schemas.openxmlformats.org/drawingml/2006/main">
          <a:off x="2240574" y="206534"/>
          <a:ext cx="907329" cy="22603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000" baseline="-250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SENSOR</a:t>
          </a:r>
          <a:r>
            <a:rPr lang="en-US" sz="9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&lt; 33pF</a:t>
          </a:r>
          <a:endParaRPr lang="en-US" sz="500">
            <a:solidFill>
              <a:schemeClr val="bg1"/>
            </a:solidFill>
            <a:effectLst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0.29406</cdr:x>
      <cdr:y>0.12373</cdr:y>
    </cdr:from>
    <cdr:to>
      <cdr:x>0.46627</cdr:x>
      <cdr:y>0.21905</cdr:y>
    </cdr:to>
    <cdr:sp macro="" textlink="LDC0851_calc!$P$9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FBFDD55-0979-46EB-82B9-E1345429EBA9}"/>
            </a:ext>
          </a:extLst>
        </cdr:cNvPr>
        <cdr:cNvSpPr txBox="1"/>
      </cdr:nvSpPr>
      <cdr:spPr>
        <a:xfrm xmlns:a="http://schemas.openxmlformats.org/drawingml/2006/main">
          <a:off x="1025391" y="311830"/>
          <a:ext cx="600485" cy="24019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5B48F798-1BEA-4B3E-859F-099BFAFA81BC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10mm</a:t>
          </a:fld>
          <a:endParaRPr lang="en-US" sz="1100"/>
        </a:p>
      </cdr:txBody>
    </cdr:sp>
  </cdr:relSizeAnchor>
  <cdr:relSizeAnchor xmlns:cdr="http://schemas.openxmlformats.org/drawingml/2006/chartDrawing">
    <cdr:from>
      <cdr:x>0.16754</cdr:x>
      <cdr:y>0.11465</cdr:y>
    </cdr:from>
    <cdr:to>
      <cdr:x>0.3215</cdr:x>
      <cdr:y>0.20996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0536B9BB-8D9F-4DC4-A33D-E30B30AEB1AA}"/>
            </a:ext>
          </a:extLst>
        </cdr:cNvPr>
        <cdr:cNvSpPr txBox="1"/>
      </cdr:nvSpPr>
      <cdr:spPr>
        <a:xfrm xmlns:a="http://schemas.openxmlformats.org/drawingml/2006/main">
          <a:off x="584201" y="288925"/>
          <a:ext cx="536852" cy="24019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i="0" u="none" strike="noStrike">
              <a:solidFill>
                <a:srgbClr val="000000"/>
              </a:solidFill>
              <a:latin typeface="Calibri"/>
            </a:rPr>
            <a:t>d</a:t>
          </a:r>
          <a:r>
            <a:rPr lang="en-US" sz="1100" b="0" i="0" u="none" strike="noStrike" baseline="-25000">
              <a:solidFill>
                <a:srgbClr val="000000"/>
              </a:solidFill>
              <a:latin typeface="Calibri"/>
            </a:rPr>
            <a:t>COIL</a:t>
          </a:r>
          <a:r>
            <a:rPr lang="en-US" sz="1100" b="0" i="0" u="none" strike="noStrike">
              <a:solidFill>
                <a:srgbClr val="000000"/>
              </a:solidFill>
              <a:latin typeface="Calibri"/>
            </a:rPr>
            <a:t>=</a:t>
          </a:r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42</xdr:row>
      <xdr:rowOff>0</xdr:rowOff>
    </xdr:from>
    <xdr:to>
      <xdr:col>9</xdr:col>
      <xdr:colOff>457200</xdr:colOff>
      <xdr:row>46</xdr:row>
      <xdr:rowOff>70520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8625" y="7524750"/>
          <a:ext cx="3676650" cy="84204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285750</xdr:colOff>
          <xdr:row>13</xdr:row>
          <xdr:rowOff>28575</xdr:rowOff>
        </xdr:from>
        <xdr:to>
          <xdr:col>8</xdr:col>
          <xdr:colOff>152400</xdr:colOff>
          <xdr:row>31</xdr:row>
          <xdr:rowOff>161925</xdr:rowOff>
        </xdr:to>
        <xdr:sp macro="" textlink="">
          <xdr:nvSpPr>
            <xdr:cNvPr id="8197" name="Object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9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14951</xdr:colOff>
      <xdr:row>33</xdr:row>
      <xdr:rowOff>15352</xdr:rowOff>
    </xdr:from>
    <xdr:to>
      <xdr:col>13</xdr:col>
      <xdr:colOff>404606</xdr:colOff>
      <xdr:row>59</xdr:row>
      <xdr:rowOff>168965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891252</xdr:colOff>
      <xdr:row>78</xdr:row>
      <xdr:rowOff>161925</xdr:rowOff>
    </xdr:from>
    <xdr:to>
      <xdr:col>12</xdr:col>
      <xdr:colOff>485776</xdr:colOff>
      <xdr:row>118</xdr:row>
      <xdr:rowOff>64190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66675</xdr:rowOff>
    </xdr:from>
    <xdr:to>
      <xdr:col>8</xdr:col>
      <xdr:colOff>334475</xdr:colOff>
      <xdr:row>17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923925"/>
          <a:ext cx="3934925" cy="2495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419100</xdr:colOff>
          <xdr:row>5</xdr:row>
          <xdr:rowOff>38100</xdr:rowOff>
        </xdr:from>
        <xdr:to>
          <xdr:col>4</xdr:col>
          <xdr:colOff>228600</xdr:colOff>
          <xdr:row>13</xdr:row>
          <xdr:rowOff>76200</xdr:rowOff>
        </xdr:to>
        <xdr:sp macro="" textlink="">
          <xdr:nvSpPr>
            <xdr:cNvPr id="37889" name="Object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0C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flfs01\portfolio\My%20Documents\Design%20Projects\CMOS9t5v\LMP91300%20Proximity%20Sensor\Design\SiEval\BenchTempAccuracy_minichar_c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6"/>
      <sheetName val="unit 27"/>
      <sheetName val="TS lookup table Rp=64.9k"/>
      <sheetName val="Digital"/>
      <sheetName val="Sheet2"/>
      <sheetName val="Sheet3"/>
    </sheetNames>
    <sheetDataSet>
      <sheetData sheetId="0">
        <row r="2">
          <cell r="B2">
            <v>100000</v>
          </cell>
        </row>
        <row r="3">
          <cell r="B3">
            <v>64840</v>
          </cell>
        </row>
        <row r="9">
          <cell r="L9">
            <v>49</v>
          </cell>
        </row>
        <row r="10">
          <cell r="L10">
            <v>804</v>
          </cell>
        </row>
        <row r="11">
          <cell r="L11">
            <v>1308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Visio_2003-2010_Drawing.vsd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e2e.ti.com/blogs_/b/analogwire/archive/2014/11/21/inductive-sensing-sensor-frequency-constraints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Visio_2003-2010_Drawing1.vsd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H40"/>
  <sheetViews>
    <sheetView showGridLines="0" showRowColHeaders="0" workbookViewId="0">
      <selection activeCell="D20" sqref="D20"/>
    </sheetView>
  </sheetViews>
  <sheetFormatPr defaultRowHeight="15" x14ac:dyDescent="0.25"/>
  <cols>
    <col min="1" max="1" width="9.140625" style="2"/>
    <col min="2" max="2" width="5.140625" style="2" customWidth="1"/>
    <col min="3" max="3" width="23" style="2" customWidth="1"/>
    <col min="4" max="4" width="9.5703125" style="2" bestFit="1" customWidth="1"/>
    <col min="5" max="7" width="9.140625" style="2"/>
    <col min="8" max="8" width="27.140625" style="2" customWidth="1"/>
    <col min="9" max="16384" width="9.140625" style="2"/>
  </cols>
  <sheetData>
    <row r="2" spans="2:5" ht="18.75" x14ac:dyDescent="0.3">
      <c r="B2" s="308" t="s">
        <v>127</v>
      </c>
      <c r="E2" s="2" t="s">
        <v>579</v>
      </c>
    </row>
    <row r="3" spans="2:5" x14ac:dyDescent="0.25">
      <c r="B3" s="478" t="s">
        <v>357</v>
      </c>
    </row>
    <row r="4" spans="2:5" x14ac:dyDescent="0.25">
      <c r="B4" s="2" t="s">
        <v>340</v>
      </c>
    </row>
    <row r="5" spans="2:5" x14ac:dyDescent="0.25">
      <c r="C5" s="309" t="s">
        <v>415</v>
      </c>
    </row>
    <row r="6" spans="2:5" x14ac:dyDescent="0.25">
      <c r="C6" s="309" t="s">
        <v>356</v>
      </c>
    </row>
    <row r="7" spans="2:5" x14ac:dyDescent="0.25">
      <c r="C7" s="309" t="s">
        <v>349</v>
      </c>
    </row>
    <row r="8" spans="2:5" x14ac:dyDescent="0.25">
      <c r="C8" s="309" t="s">
        <v>128</v>
      </c>
    </row>
    <row r="9" spans="2:5" x14ac:dyDescent="0.25">
      <c r="C9" s="309" t="s">
        <v>130</v>
      </c>
    </row>
    <row r="10" spans="2:5" x14ac:dyDescent="0.25">
      <c r="C10" s="309" t="s">
        <v>358</v>
      </c>
    </row>
    <row r="11" spans="2:5" x14ac:dyDescent="0.25">
      <c r="C11" s="309" t="s">
        <v>336</v>
      </c>
    </row>
    <row r="12" spans="2:5" x14ac:dyDescent="0.25">
      <c r="C12" s="309" t="s">
        <v>207</v>
      </c>
    </row>
    <row r="13" spans="2:5" x14ac:dyDescent="0.25">
      <c r="C13" s="309" t="s">
        <v>311</v>
      </c>
    </row>
    <row r="14" spans="2:5" x14ac:dyDescent="0.25">
      <c r="C14" s="309" t="s">
        <v>410</v>
      </c>
    </row>
    <row r="15" spans="2:5" x14ac:dyDescent="0.25">
      <c r="C15" s="309" t="s">
        <v>506</v>
      </c>
    </row>
    <row r="16" spans="2:5" x14ac:dyDescent="0.25">
      <c r="C16" s="309" t="s">
        <v>572</v>
      </c>
      <c r="D16" s="317" t="s">
        <v>578</v>
      </c>
    </row>
    <row r="18" spans="2:5" ht="15.75" x14ac:dyDescent="0.25">
      <c r="C18" s="479" t="s">
        <v>341</v>
      </c>
      <c r="D18" s="419"/>
      <c r="E18" s="419"/>
    </row>
    <row r="19" spans="2:5" x14ac:dyDescent="0.25">
      <c r="C19" s="329" t="str">
        <f>IF(C21="L","fsensor","L")</f>
        <v>L</v>
      </c>
      <c r="D19" s="98">
        <v>3.7090000000000001</v>
      </c>
      <c r="E19" s="480" t="str">
        <f>IF(C19="fsensor","MHz","µH")</f>
        <v>µH</v>
      </c>
    </row>
    <row r="20" spans="2:5" x14ac:dyDescent="0.25">
      <c r="C20" s="329" t="str">
        <f>IF(C21="C","fsensor","C")</f>
        <v>C</v>
      </c>
      <c r="D20" s="98">
        <v>104</v>
      </c>
      <c r="E20" s="481" t="str">
        <f>IF(C20="fsensor","MHz","pF")</f>
        <v>pF</v>
      </c>
    </row>
    <row r="21" spans="2:5" x14ac:dyDescent="0.25">
      <c r="C21" s="97" t="s">
        <v>284</v>
      </c>
      <c r="D21" s="482">
        <f>IF(C21="fsensor",0.000001/(2*PI()*SQRT(D19*0.000001*D20*0.000000000001)),IF(C21="C",1000000000000/((D19*0.000001)*(2*PI()*D20*1000000)^2),1000000/((D20*0.000000000001)*(2*PI()*D19*1000000)^2)))</f>
        <v>8.1035449472598291</v>
      </c>
      <c r="E21" s="329" t="str">
        <f>IF(C21="fsensor","MHz",IF(C21="L","µH","pF"))</f>
        <v>MHz</v>
      </c>
    </row>
    <row r="22" spans="2:5" x14ac:dyDescent="0.25">
      <c r="C22" s="483"/>
    </row>
    <row r="23" spans="2:5" ht="15.75" x14ac:dyDescent="0.25">
      <c r="C23" s="479" t="s">
        <v>348</v>
      </c>
    </row>
    <row r="24" spans="2:5" x14ac:dyDescent="0.25">
      <c r="C24" s="484" t="s">
        <v>94</v>
      </c>
      <c r="D24" s="306">
        <v>3.7090000000000001</v>
      </c>
      <c r="E24" s="485" t="s">
        <v>146</v>
      </c>
    </row>
    <row r="25" spans="2:5" x14ac:dyDescent="0.25">
      <c r="C25" s="484" t="s">
        <v>29</v>
      </c>
      <c r="D25" s="306">
        <v>104</v>
      </c>
      <c r="E25" s="329" t="s">
        <v>30</v>
      </c>
    </row>
    <row r="26" spans="2:5" x14ac:dyDescent="0.25">
      <c r="C26" s="484" t="str">
        <f>IF(C27="Rp","Rs","Rp")</f>
        <v>Rs</v>
      </c>
      <c r="D26" s="306">
        <v>1</v>
      </c>
      <c r="E26" s="485" t="str">
        <f>IF(C27="Rp","Ω","kΩ")</f>
        <v>Ω</v>
      </c>
    </row>
    <row r="27" spans="2:5" x14ac:dyDescent="0.25">
      <c r="C27" s="477" t="s">
        <v>112</v>
      </c>
      <c r="D27" s="486">
        <f>1000/D26*D24/D25</f>
        <v>35.66346153846154</v>
      </c>
      <c r="E27" s="329" t="str">
        <f>IF(C27="Rp","kΩ","Ω")</f>
        <v>kΩ</v>
      </c>
    </row>
    <row r="28" spans="2:5" x14ac:dyDescent="0.25">
      <c r="C28" s="484" t="s">
        <v>284</v>
      </c>
      <c r="D28" s="328">
        <f>(0.000001/(2*PI()*SQRT(D24*0.000001*D25*0.000000000001)))</f>
        <v>8.1035449472598291</v>
      </c>
      <c r="E28" s="329" t="s">
        <v>0</v>
      </c>
    </row>
    <row r="29" spans="2:5" x14ac:dyDescent="0.25">
      <c r="C29" s="484" t="s">
        <v>114</v>
      </c>
      <c r="D29" s="331">
        <f>IF(C27="Rs",(1000/D27)*SQRT(D24/D25),(1000/D26)*SQRT(D24/D25))</f>
        <v>188.84772050109987</v>
      </c>
      <c r="E29" s="487"/>
    </row>
    <row r="31" spans="2:5" ht="15.75" x14ac:dyDescent="0.25">
      <c r="B31" s="1"/>
      <c r="C31" s="488" t="s">
        <v>338</v>
      </c>
    </row>
    <row r="32" spans="2:5" ht="45" x14ac:dyDescent="0.25">
      <c r="C32" s="489" t="s">
        <v>371</v>
      </c>
    </row>
    <row r="33" spans="3:8" ht="45" x14ac:dyDescent="0.25">
      <c r="C33" s="490" t="s">
        <v>372</v>
      </c>
    </row>
    <row r="34" spans="3:8" ht="45" x14ac:dyDescent="0.25">
      <c r="C34" s="491" t="s">
        <v>373</v>
      </c>
    </row>
    <row r="37" spans="3:8" x14ac:dyDescent="0.25">
      <c r="H37" s="492"/>
    </row>
    <row r="38" spans="3:8" x14ac:dyDescent="0.25">
      <c r="H38" s="492"/>
    </row>
    <row r="39" spans="3:8" x14ac:dyDescent="0.25">
      <c r="H39" s="492"/>
    </row>
    <row r="40" spans="3:8" x14ac:dyDescent="0.25">
      <c r="H40" s="385"/>
    </row>
  </sheetData>
  <sheetProtection sheet="1" objects="1" scenarios="1"/>
  <dataValidations count="5">
    <dataValidation type="list" allowBlank="1" showInputMessage="1" showErrorMessage="1" sqref="C21">
      <formula1>"fsensor,L,C"</formula1>
    </dataValidation>
    <dataValidation type="list" allowBlank="1" showInputMessage="1" showErrorMessage="1" sqref="C27">
      <formula1>"Rs,Rp"</formula1>
    </dataValidation>
    <dataValidation type="decimal" operator="greaterThan" allowBlank="1" showInputMessage="1" showErrorMessage="1" sqref="D24:D26">
      <formula1>0</formula1>
    </dataValidation>
    <dataValidation type="decimal" errorStyle="warning" allowBlank="1" showInputMessage="1" showErrorMessage="1" errorTitle="Extreme Value" error="Please verify the value is correct, note the units are μH, pF, and MHz." sqref="D19:D20">
      <formula1>0.001</formula1>
      <formula2>1000000</formula2>
    </dataValidation>
    <dataValidation allowBlank="1" showDropDown="1" showInputMessage="1" showErrorMessage="1" sqref="C28"/>
  </dataValidations>
  <hyperlinks>
    <hyperlink ref="C6" location="Spiral_Inductor_Designer!A1" display="Spiral Inductor Designer"/>
    <hyperlink ref="C5" location="'Spring Sensor'!A1" display="Spring Sensor Calculator Tool"/>
    <hyperlink ref="C8" location="'Remote Coil Length'!A1" display="Remote Coil Maximum Distance Calculator"/>
    <hyperlink ref="C9" location="Rotation_Calculator!A1" display="Rotation Speed Calculator"/>
    <hyperlink ref="C10" location="'LDC Operating Region'!A1" display="Sensor Region Graph"/>
    <hyperlink ref="C11" location="'Output Code Calculator'!A1" display="Inductance&amp;Frequency from Output Code"/>
    <hyperlink ref="C12" location="SkinDepth!A1" display="Skin Depth Calculation"/>
    <hyperlink ref="C13" location="LDC131x_Current!A1" display="LDC161x/LDC131x Current Consumption Estimator"/>
    <hyperlink ref="C7" location="SampleRateCalc!A1" display="Sample Rate Calculator"/>
    <hyperlink ref="C14" location="LDC1101_RP_Config!A1" display="LDC1101 RP Configuration"/>
    <hyperlink ref="C15" location="'LDC13-16_SensorSetup'!A1" display="LDC131x/LDC161x Sensor Configuration"/>
    <hyperlink ref="C16" location="LDC0851_calc!A1" display="LDC0851 Calculator Tool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theme="4" tint="0.59999389629810485"/>
  </sheetPr>
  <dimension ref="B2:L53"/>
  <sheetViews>
    <sheetView showGridLines="0" showRowColHeaders="0" topLeftCell="A10" zoomScaleNormal="100" workbookViewId="0"/>
  </sheetViews>
  <sheetFormatPr defaultRowHeight="15" x14ac:dyDescent="0.25"/>
  <cols>
    <col min="2" max="2" width="5.5703125" customWidth="1"/>
    <col min="3" max="3" width="23.28515625" customWidth="1"/>
    <col min="4" max="4" width="17.42578125" customWidth="1"/>
    <col min="5" max="5" width="7.42578125" customWidth="1"/>
    <col min="7" max="7" width="20.7109375" bestFit="1" customWidth="1"/>
    <col min="8" max="8" width="10" bestFit="1" customWidth="1"/>
    <col min="10" max="10" width="38.5703125" customWidth="1"/>
  </cols>
  <sheetData>
    <row r="2" spans="2:12" ht="18.75" x14ac:dyDescent="0.3">
      <c r="B2" s="4" t="s">
        <v>414</v>
      </c>
      <c r="E2" s="71" t="s">
        <v>252</v>
      </c>
      <c r="K2" s="60"/>
      <c r="L2" s="60"/>
    </row>
    <row r="3" spans="2:12" x14ac:dyDescent="0.25">
      <c r="B3" s="81"/>
      <c r="C3" s="82" t="s">
        <v>220</v>
      </c>
      <c r="D3" s="81"/>
      <c r="E3" s="81"/>
      <c r="F3" s="41"/>
      <c r="G3" s="81"/>
      <c r="H3" s="81"/>
      <c r="I3" s="81"/>
      <c r="J3" s="81"/>
      <c r="K3" s="60"/>
      <c r="L3" s="60"/>
    </row>
    <row r="4" spans="2:12" x14ac:dyDescent="0.25">
      <c r="B4" s="81"/>
      <c r="C4" s="82" t="s">
        <v>223</v>
      </c>
      <c r="D4" s="81"/>
      <c r="E4" s="81"/>
      <c r="F4" s="41"/>
      <c r="G4" s="81"/>
      <c r="H4" s="81"/>
      <c r="I4" s="81"/>
      <c r="J4" s="81"/>
      <c r="K4" s="60"/>
      <c r="L4" s="60"/>
    </row>
    <row r="5" spans="2:12" x14ac:dyDescent="0.25">
      <c r="B5" s="81"/>
      <c r="C5" s="82" t="s">
        <v>224</v>
      </c>
      <c r="D5" s="81"/>
      <c r="E5" s="81"/>
      <c r="F5" s="41"/>
      <c r="G5" s="81"/>
      <c r="H5" s="81"/>
      <c r="I5" s="81"/>
      <c r="J5" s="81"/>
      <c r="K5" s="60"/>
      <c r="L5" s="60"/>
    </row>
    <row r="6" spans="2:12" x14ac:dyDescent="0.25">
      <c r="B6" s="81"/>
      <c r="C6" s="82" t="s">
        <v>225</v>
      </c>
      <c r="D6" s="81"/>
      <c r="E6" s="81"/>
      <c r="F6" s="41"/>
      <c r="G6" s="81"/>
      <c r="H6" s="81"/>
      <c r="I6" s="81"/>
      <c r="J6" s="81"/>
      <c r="K6" s="60"/>
      <c r="L6" s="60"/>
    </row>
    <row r="7" spans="2:12" x14ac:dyDescent="0.25">
      <c r="B7" s="81"/>
      <c r="C7" s="82" t="s">
        <v>226</v>
      </c>
      <c r="D7" s="81"/>
      <c r="E7" s="81"/>
      <c r="F7" s="41"/>
      <c r="G7" s="81"/>
      <c r="H7" s="81"/>
      <c r="I7" s="81"/>
      <c r="J7" s="81"/>
      <c r="K7" s="60"/>
      <c r="L7" s="60"/>
    </row>
    <row r="8" spans="2:12" x14ac:dyDescent="0.25">
      <c r="B8" s="81"/>
      <c r="C8" s="282" t="s">
        <v>482</v>
      </c>
      <c r="D8" s="81"/>
      <c r="E8" s="81"/>
      <c r="F8" s="41"/>
      <c r="G8" s="81"/>
      <c r="H8" s="81"/>
      <c r="I8" s="81"/>
      <c r="J8" s="81"/>
      <c r="K8" s="60"/>
      <c r="L8" s="60"/>
    </row>
    <row r="9" spans="2:12" x14ac:dyDescent="0.25">
      <c r="B9" s="81"/>
      <c r="C9" s="88" t="s">
        <v>231</v>
      </c>
      <c r="D9" s="81"/>
      <c r="E9" s="81"/>
      <c r="F9" s="41"/>
      <c r="G9" s="81"/>
      <c r="H9" s="81"/>
      <c r="I9" s="81"/>
      <c r="J9" s="81"/>
      <c r="K9" s="60"/>
      <c r="L9" s="60"/>
    </row>
    <row r="10" spans="2:12" x14ac:dyDescent="0.25">
      <c r="B10" s="81"/>
      <c r="C10" s="88"/>
      <c r="D10" s="81"/>
      <c r="E10" s="81"/>
      <c r="F10" s="41"/>
      <c r="G10" s="81"/>
      <c r="H10" s="81"/>
      <c r="I10" s="81"/>
      <c r="J10" s="81"/>
      <c r="K10" s="60"/>
      <c r="L10" s="60"/>
    </row>
    <row r="11" spans="2:12" ht="15.75" customHeight="1" x14ac:dyDescent="0.25">
      <c r="B11" s="81"/>
      <c r="C11" s="81" t="s">
        <v>280</v>
      </c>
      <c r="D11" s="138" t="s">
        <v>281</v>
      </c>
      <c r="E11" s="81"/>
      <c r="F11" s="41"/>
      <c r="G11" s="81"/>
      <c r="H11" s="81"/>
      <c r="I11" s="81"/>
      <c r="J11" s="81"/>
      <c r="K11" s="60"/>
      <c r="L11" s="60"/>
    </row>
    <row r="12" spans="2:12" ht="15.75" customHeight="1" x14ac:dyDescent="0.25">
      <c r="B12" s="81"/>
      <c r="C12" s="81"/>
      <c r="D12" s="81"/>
      <c r="E12" s="81"/>
      <c r="F12" s="41"/>
      <c r="G12" s="81"/>
      <c r="H12" s="81"/>
      <c r="I12" s="81"/>
      <c r="J12" s="81"/>
      <c r="K12" s="60"/>
      <c r="L12" s="60"/>
    </row>
    <row r="13" spans="2:12" ht="18" customHeight="1" x14ac:dyDescent="0.25">
      <c r="B13" s="91" t="s">
        <v>118</v>
      </c>
      <c r="C13" s="91"/>
      <c r="D13" s="91"/>
      <c r="E13" s="91"/>
      <c r="G13" s="81"/>
      <c r="H13" s="81"/>
      <c r="I13" s="81"/>
      <c r="J13" s="81"/>
      <c r="K13" s="60"/>
      <c r="L13" s="60"/>
    </row>
    <row r="14" spans="2:12" x14ac:dyDescent="0.25">
      <c r="B14" s="41"/>
      <c r="C14" s="41"/>
      <c r="D14" s="41"/>
      <c r="E14" s="41"/>
    </row>
    <row r="15" spans="2:12" x14ac:dyDescent="0.25">
      <c r="B15" s="83" t="s">
        <v>221</v>
      </c>
      <c r="C15" s="41"/>
      <c r="D15" s="41"/>
      <c r="E15" s="41"/>
    </row>
    <row r="16" spans="2:12" x14ac:dyDescent="0.25">
      <c r="B16" s="84" t="s">
        <v>122</v>
      </c>
      <c r="C16" s="41" t="s">
        <v>123</v>
      </c>
      <c r="D16" s="525">
        <v>6</v>
      </c>
      <c r="E16" s="97" t="s">
        <v>40</v>
      </c>
    </row>
    <row r="17" spans="2:7" ht="15" hidden="1" customHeight="1" x14ac:dyDescent="0.25">
      <c r="B17" s="84"/>
      <c r="C17" s="41"/>
      <c r="D17" s="526">
        <f>IF(E16="mm",D16,IF(E16="inch",D16*25.4))</f>
        <v>6</v>
      </c>
      <c r="E17" s="527" t="s">
        <v>40</v>
      </c>
    </row>
    <row r="18" spans="2:7" x14ac:dyDescent="0.25">
      <c r="B18" s="84" t="s">
        <v>36</v>
      </c>
      <c r="C18" s="41" t="s">
        <v>124</v>
      </c>
      <c r="D18" s="525">
        <v>35</v>
      </c>
      <c r="E18" s="365"/>
    </row>
    <row r="19" spans="2:7" x14ac:dyDescent="0.25">
      <c r="B19" s="84" t="s">
        <v>104</v>
      </c>
      <c r="C19" s="41" t="s">
        <v>125</v>
      </c>
      <c r="D19" s="525">
        <v>8</v>
      </c>
      <c r="E19" s="97" t="s">
        <v>40</v>
      </c>
    </row>
    <row r="20" spans="2:7" ht="18.75" hidden="1" customHeight="1" x14ac:dyDescent="0.25">
      <c r="B20" s="84"/>
      <c r="C20" s="41"/>
      <c r="D20" s="174">
        <f>IF(E19="mm",D19,IF(E16="inch",D19*25.4))</f>
        <v>8</v>
      </c>
      <c r="E20" s="137" t="s">
        <v>40</v>
      </c>
    </row>
    <row r="21" spans="2:7" x14ac:dyDescent="0.25">
      <c r="B21" s="84" t="s">
        <v>94</v>
      </c>
      <c r="C21" s="41" t="s">
        <v>222</v>
      </c>
      <c r="D21" s="92">
        <f>((D16/1000)^2*D18^2)/((D19/1000)+0.45*(D16/1000))</f>
        <v>4.121495327102803</v>
      </c>
      <c r="E21" s="41" t="s">
        <v>210</v>
      </c>
    </row>
    <row r="22" spans="2:7" x14ac:dyDescent="0.25">
      <c r="B22" s="41"/>
      <c r="C22" s="41"/>
      <c r="D22" s="41"/>
      <c r="E22" s="41"/>
    </row>
    <row r="23" spans="2:7" x14ac:dyDescent="0.25">
      <c r="B23" s="83" t="s">
        <v>227</v>
      </c>
      <c r="C23" s="41"/>
      <c r="D23" s="41"/>
      <c r="E23" s="41"/>
    </row>
    <row r="24" spans="2:7" x14ac:dyDescent="0.25">
      <c r="B24" s="84" t="s">
        <v>122</v>
      </c>
      <c r="C24" s="41" t="s">
        <v>123</v>
      </c>
      <c r="D24" s="525">
        <v>6</v>
      </c>
      <c r="E24" s="97" t="s">
        <v>40</v>
      </c>
    </row>
    <row r="25" spans="2:7" ht="13.5" hidden="1" customHeight="1" x14ac:dyDescent="0.25">
      <c r="B25" s="84"/>
      <c r="C25" s="41"/>
      <c r="D25" s="528">
        <f>IF(E24="mm",D24,IF(E24="inch",D24*25.4))</f>
        <v>6</v>
      </c>
      <c r="E25" s="529" t="s">
        <v>40</v>
      </c>
    </row>
    <row r="26" spans="2:7" x14ac:dyDescent="0.25">
      <c r="B26" s="84" t="s">
        <v>36</v>
      </c>
      <c r="C26" s="41" t="s">
        <v>124</v>
      </c>
      <c r="D26" s="525">
        <v>35</v>
      </c>
      <c r="E26" s="365"/>
    </row>
    <row r="27" spans="2:7" x14ac:dyDescent="0.25">
      <c r="B27" s="84" t="s">
        <v>104</v>
      </c>
      <c r="C27" s="41" t="s">
        <v>125</v>
      </c>
      <c r="D27" s="525">
        <v>11</v>
      </c>
      <c r="E27" s="97" t="s">
        <v>40</v>
      </c>
    </row>
    <row r="28" spans="2:7" ht="15.75" hidden="1" customHeight="1" x14ac:dyDescent="0.25">
      <c r="B28" s="84"/>
      <c r="C28" s="41"/>
      <c r="D28" s="175">
        <f>IF(E27="mm",D27,IF(E24="inch",D27*25.4))</f>
        <v>11</v>
      </c>
      <c r="E28" s="85" t="s">
        <v>40</v>
      </c>
    </row>
    <row r="29" spans="2:7" x14ac:dyDescent="0.25">
      <c r="B29" s="84" t="s">
        <v>94</v>
      </c>
      <c r="C29" s="41" t="s">
        <v>222</v>
      </c>
      <c r="D29" s="92">
        <f>((D24/1000)^2*D26^2)/((D27/1000)+0.45*(D24/1000))</f>
        <v>3.218978102189781</v>
      </c>
      <c r="E29" s="41" t="s">
        <v>210</v>
      </c>
    </row>
    <row r="30" spans="2:7" x14ac:dyDescent="0.25">
      <c r="B30" s="84"/>
      <c r="C30" s="41"/>
      <c r="D30" s="86"/>
      <c r="E30" s="41"/>
      <c r="F30" s="41"/>
      <c r="G30" s="41"/>
    </row>
    <row r="31" spans="2:7" x14ac:dyDescent="0.25">
      <c r="C31" s="41"/>
      <c r="D31" s="41"/>
      <c r="E31" s="41"/>
      <c r="F31" s="41"/>
      <c r="G31" s="41"/>
    </row>
    <row r="32" spans="2:7" x14ac:dyDescent="0.25">
      <c r="C32" s="41" t="s">
        <v>209</v>
      </c>
      <c r="D32" s="525">
        <v>900</v>
      </c>
      <c r="E32" s="41" t="s">
        <v>30</v>
      </c>
      <c r="F32" s="41"/>
      <c r="G32" s="41"/>
    </row>
    <row r="33" spans="2:9" x14ac:dyDescent="0.25">
      <c r="C33" s="41" t="s">
        <v>228</v>
      </c>
      <c r="D33" s="127">
        <f>MIN(D21,D29)+D35</f>
        <v>3.218978102189781</v>
      </c>
      <c r="E33" s="41" t="s">
        <v>210</v>
      </c>
      <c r="F33" s="41" t="s">
        <v>230</v>
      </c>
      <c r="G33" s="41"/>
    </row>
    <row r="34" spans="2:9" x14ac:dyDescent="0.25">
      <c r="C34" s="41" t="s">
        <v>229</v>
      </c>
      <c r="D34" s="127">
        <f>MAX(D21,D29)+D35</f>
        <v>4.121495327102803</v>
      </c>
      <c r="E34" s="41" t="s">
        <v>210</v>
      </c>
      <c r="F34" s="41" t="s">
        <v>230</v>
      </c>
      <c r="G34" s="41"/>
    </row>
    <row r="35" spans="2:9" x14ac:dyDescent="0.25">
      <c r="C35" s="41" t="s">
        <v>119</v>
      </c>
      <c r="D35" s="530">
        <v>0</v>
      </c>
      <c r="E35" s="41" t="s">
        <v>210</v>
      </c>
      <c r="F35" s="83" t="s">
        <v>212</v>
      </c>
      <c r="G35" s="41"/>
    </row>
    <row r="36" spans="2:9" x14ac:dyDescent="0.25">
      <c r="C36" s="41" t="s">
        <v>120</v>
      </c>
      <c r="D36" s="92">
        <f>1/(2*PI()*SQRT((D33+D35)*0.000001*(D32+D35)*0.000000000001))/1000000</f>
        <v>2.9569219812671341</v>
      </c>
      <c r="E36" s="41" t="s">
        <v>0</v>
      </c>
      <c r="F36" s="41" t="str">
        <f>TEXT(H36*1000,0)&amp;"kHz &lt;= fSENSOR &lt;="&amp;TEXT(I36,0)&amp;"MHz"</f>
        <v>10kHz &lt;= fSENSOR &lt;=10MHz</v>
      </c>
      <c r="G36" s="41"/>
      <c r="H36" s="95">
        <f>IF(D11="LDC1000/LDC1041",0.005,0.01)</f>
        <v>0.01</v>
      </c>
      <c r="I36" s="96">
        <f>IF(D11="LDC1000/LDC1041",5,10)</f>
        <v>10</v>
      </c>
    </row>
    <row r="37" spans="2:9" x14ac:dyDescent="0.25">
      <c r="C37" s="41" t="s">
        <v>121</v>
      </c>
      <c r="D37" s="92">
        <f>1/(2*PI()*SQRT((D34+D35)*0.000001*(D32+D35)*0.000000000001))/1000000</f>
        <v>2.6131929089181876</v>
      </c>
      <c r="E37" s="41" t="s">
        <v>0</v>
      </c>
      <c r="F37" s="41" t="str">
        <f>TEXT(H36*1000,0)&amp;"kHz &lt;= fSENSOR &lt;="&amp;TEXT(I36,0)&amp;"MHz"</f>
        <v>10kHz &lt;= fSENSOR &lt;=10MHz</v>
      </c>
      <c r="G37" s="41"/>
    </row>
    <row r="38" spans="2:9" x14ac:dyDescent="0.25">
      <c r="C38" s="41" t="s">
        <v>211</v>
      </c>
      <c r="D38" s="93">
        <f>(D37-D36)*1000</f>
        <v>-343.72907234894654</v>
      </c>
      <c r="E38" s="77" t="s">
        <v>102</v>
      </c>
      <c r="F38" s="41"/>
      <c r="G38" s="41"/>
    </row>
    <row r="39" spans="2:9" x14ac:dyDescent="0.25">
      <c r="C39" s="41"/>
      <c r="D39" s="41"/>
      <c r="E39" s="41"/>
      <c r="F39" s="41"/>
      <c r="G39" s="41"/>
    </row>
    <row r="40" spans="2:9" x14ac:dyDescent="0.25">
      <c r="B40" s="41"/>
      <c r="C40" s="41"/>
      <c r="D40" s="41"/>
      <c r="E40" s="41"/>
      <c r="F40" s="41"/>
      <c r="G40" s="41"/>
    </row>
    <row r="41" spans="2:9" x14ac:dyDescent="0.25">
      <c r="B41" s="41"/>
      <c r="C41" s="83" t="s">
        <v>232</v>
      </c>
      <c r="D41" s="41"/>
      <c r="E41" s="41"/>
      <c r="F41" s="41"/>
      <c r="G41" s="41"/>
    </row>
    <row r="42" spans="2:9" x14ac:dyDescent="0.25">
      <c r="B42" s="41"/>
      <c r="C42" s="41" t="s">
        <v>275</v>
      </c>
      <c r="D42" s="525">
        <v>6144</v>
      </c>
      <c r="E42" s="41"/>
      <c r="F42" t="s">
        <v>216</v>
      </c>
      <c r="G42" s="41"/>
    </row>
    <row r="43" spans="2:9" x14ac:dyDescent="0.25">
      <c r="B43" s="41"/>
      <c r="C43" s="41" t="s">
        <v>19</v>
      </c>
      <c r="D43" s="530">
        <v>8</v>
      </c>
      <c r="E43" s="41" t="s">
        <v>0</v>
      </c>
      <c r="F43" s="41"/>
      <c r="G43" s="41"/>
    </row>
    <row r="44" spans="2:9" ht="15.75" x14ac:dyDescent="0.25">
      <c r="B44" s="41"/>
      <c r="C44" s="41" t="s">
        <v>126</v>
      </c>
      <c r="D44" s="94">
        <f>ABS(FLOOR(0.333333*(D42*((D43/D36)-(D43/D37))),1))</f>
        <v>729</v>
      </c>
      <c r="E44" s="41"/>
      <c r="F44" s="41"/>
      <c r="G44" s="41"/>
    </row>
    <row r="45" spans="2:9" x14ac:dyDescent="0.25">
      <c r="B45" s="41"/>
      <c r="C45" s="77" t="s">
        <v>279</v>
      </c>
      <c r="D45" s="79">
        <f>1000*MIN(D36,D37)*3/D42</f>
        <v>1.2759731000577088</v>
      </c>
      <c r="E45" s="41" t="s">
        <v>258</v>
      </c>
      <c r="F45" s="41"/>
      <c r="G45" s="41"/>
    </row>
    <row r="46" spans="2:9" x14ac:dyDescent="0.25">
      <c r="B46" s="41"/>
      <c r="C46" s="77"/>
      <c r="D46" s="41"/>
      <c r="E46" s="41"/>
      <c r="F46" s="41"/>
      <c r="G46" s="41"/>
    </row>
    <row r="47" spans="2:9" x14ac:dyDescent="0.25">
      <c r="C47" s="136" t="s">
        <v>317</v>
      </c>
    </row>
    <row r="48" spans="2:9" x14ac:dyDescent="0.25">
      <c r="C48" s="77" t="s">
        <v>19</v>
      </c>
      <c r="D48" s="306">
        <v>40</v>
      </c>
      <c r="E48" t="s">
        <v>0</v>
      </c>
    </row>
    <row r="49" spans="3:5" x14ac:dyDescent="0.25">
      <c r="C49" s="77" t="s">
        <v>276</v>
      </c>
      <c r="D49" s="97">
        <v>26677</v>
      </c>
      <c r="E49" t="s">
        <v>282</v>
      </c>
    </row>
    <row r="50" spans="3:5" x14ac:dyDescent="0.25">
      <c r="C50" s="77" t="s">
        <v>445</v>
      </c>
      <c r="D50" s="247" t="str">
        <f>"0x"&amp;DEC2HEX(CEILING(D49/16,1),4)</f>
        <v>0x0684</v>
      </c>
      <c r="E50" t="s">
        <v>442</v>
      </c>
    </row>
    <row r="51" spans="3:5" x14ac:dyDescent="0.25">
      <c r="C51" s="77" t="s">
        <v>283</v>
      </c>
      <c r="D51" s="176">
        <f>4*D49*ABS(D38*1000)/D48/1000000</f>
        <v>916.96604630528475</v>
      </c>
    </row>
    <row r="52" spans="3:5" x14ac:dyDescent="0.25">
      <c r="C52" s="77" t="s">
        <v>277</v>
      </c>
      <c r="D52" s="87">
        <f>D49/D48</f>
        <v>666.92499999999995</v>
      </c>
      <c r="E52" s="69" t="s">
        <v>278</v>
      </c>
    </row>
    <row r="53" spans="3:5" x14ac:dyDescent="0.25">
      <c r="C53" s="77" t="s">
        <v>257</v>
      </c>
      <c r="D53" s="79">
        <f>D48*1000/D49</f>
        <v>1.4994189751471305</v>
      </c>
      <c r="E53" t="s">
        <v>258</v>
      </c>
    </row>
  </sheetData>
  <sheetProtection sheet="1" objects="1" scenarios="1"/>
  <dataValidations count="11">
    <dataValidation type="list" allowBlank="1" showInputMessage="1" showErrorMessage="1" sqref="E16 E19 E24 E27">
      <formula1>"mm,inch"</formula1>
    </dataValidation>
    <dataValidation type="decimal" operator="greaterThan" allowBlank="1" showInputMessage="1" showErrorMessage="1" sqref="D16 D24">
      <formula1>0</formula1>
    </dataValidation>
    <dataValidation type="decimal" operator="greaterThan" allowBlank="1" showInputMessage="1" showErrorMessage="1" sqref="D18 D26">
      <formula1>0.1</formula1>
    </dataValidation>
    <dataValidation type="decimal" operator="greaterThan" allowBlank="1" showInputMessage="1" showErrorMessage="1" sqref="D19 D27">
      <formula1>0.001</formula1>
    </dataValidation>
    <dataValidation type="decimal" operator="greaterThanOrEqual" allowBlank="1" showInputMessage="1" showErrorMessage="1" sqref="D35">
      <formula1>0</formula1>
    </dataValidation>
    <dataValidation type="list" allowBlank="1" showInputMessage="1" showErrorMessage="1" sqref="D42">
      <formula1>"192,384,768,1536,3072,6144"</formula1>
    </dataValidation>
    <dataValidation type="whole" errorStyle="warning" operator="lessThanOrEqual" allowBlank="1" showInputMessage="1" showErrorMessage="1" errorTitle="Reference frequency too High" error="The LDC1000/LDC1041 has a maximum TBCLK (Fref) frequency of 8MHz." sqref="D43">
      <formula1>8</formula1>
    </dataValidation>
    <dataValidation type="list" allowBlank="1" showInputMessage="1" showErrorMessage="1" sqref="D11">
      <formula1>"LDC1000/LDC1041,LDC131x/LDC161x"</formula1>
    </dataValidation>
    <dataValidation type="decimal" errorStyle="warning" allowBlank="1" showInputMessage="1" showErrorMessage="1" errorTitle="Possible Invalid Reference Freq" error="The Reference Frequency must be greater than the Sensor frequency and also must not exceed the 40MHz maximum." sqref="D48">
      <formula1>MAX(D36:D37)</formula1>
      <formula2>40</formula2>
    </dataValidation>
    <dataValidation type="decimal" errorStyle="warning" allowBlank="1" showInputMessage="1" showErrorMessage="1" errorTitle="Invalid Reference Count" error="The LDC131x/161x minimum reference count is 48 and the maximum reference count is 1048560." sqref="D49">
      <formula1>64</formula1>
      <formula2>65535*16</formula2>
    </dataValidation>
    <dataValidation errorStyle="warning" allowBlank="1" showInputMessage="1" showErrorMessage="1" errorTitle="Invalid Reference Count" error="The LDC131x/161x minimum reference count is 48 and the maximum reference count is 1048560." sqref="D51 D50"/>
  </dataValidations>
  <hyperlinks>
    <hyperlink ref="E2" location="Contents!A1" display="Return to Main page"/>
  </hyperlink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8197" r:id="rId4">
          <objectPr defaultSize="0" r:id="rId5">
            <anchor moveWithCells="1">
              <from>
                <xdr:col>5</xdr:col>
                <xdr:colOff>285750</xdr:colOff>
                <xdr:row>13</xdr:row>
                <xdr:rowOff>28575</xdr:rowOff>
              </from>
              <to>
                <xdr:col>8</xdr:col>
                <xdr:colOff>152400</xdr:colOff>
                <xdr:row>31</xdr:row>
                <xdr:rowOff>161925</xdr:rowOff>
              </to>
            </anchor>
          </objectPr>
        </oleObject>
      </mc:Choice>
      <mc:Fallback>
        <oleObject progId="Visio.Drawing.11" shapeId="8197" r:id="rId4"/>
      </mc:Fallback>
    </mc:AlternateContent>
  </oleObjec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9A5B8E8-8070-4521-9B4D-72CF95A788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$H$36</xm:f>
              </x14:cfvo>
              <x14:cfIcon iconSet="3TrafficLights1" iconId="0"/>
              <x14:cfIcon iconSet="3TrafficLights1" iconId="2"/>
              <x14:cfIcon iconSet="3TrafficLights1" iconId="0"/>
            </x14:iconSet>
          </x14:cfRule>
          <xm:sqref>D36</xm:sqref>
        </x14:conditionalFormatting>
        <x14:conditionalFormatting xmlns:xm="http://schemas.microsoft.com/office/excel/2006/main">
          <x14:cfRule type="iconSet" priority="1" id="{6DA65A5A-2F21-47FE-819C-A6BF9D3283AA}">
            <x14:iconSet custom="1">
              <x14:cfvo type="percent">
                <xm:f>0</xm:f>
              </x14:cfvo>
              <x14:cfvo type="num">
                <xm:f>$H$36</xm:f>
              </x14:cfvo>
              <x14:cfvo type="num">
                <xm:f>$I$36</xm:f>
              </x14:cfvo>
              <x14:cfIcon iconSet="3TrafficLights1" iconId="0"/>
              <x14:cfIcon iconSet="3TrafficLights1" iconId="2"/>
              <x14:cfIcon iconSet="3TrafficLights1" iconId="0"/>
            </x14:iconSet>
          </x14:cfRule>
          <xm:sqref>D36:D37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theme="4" tint="0.59999389629810485"/>
  </sheetPr>
  <dimension ref="B2:I59"/>
  <sheetViews>
    <sheetView showGridLines="0" showRowColHeaders="0" zoomScaleNormal="100" workbookViewId="0">
      <selection activeCell="C11" sqref="C11"/>
    </sheetView>
  </sheetViews>
  <sheetFormatPr defaultRowHeight="15" x14ac:dyDescent="0.25"/>
  <cols>
    <col min="1" max="1" width="5.85546875" style="2" customWidth="1"/>
    <col min="2" max="2" width="25.85546875" style="2" customWidth="1"/>
    <col min="3" max="3" width="12" style="2" bestFit="1" customWidth="1"/>
    <col min="4" max="8" width="9.140625" style="2"/>
    <col min="9" max="10" width="9.140625" style="2" customWidth="1"/>
    <col min="11" max="11" width="10" style="2" bestFit="1" customWidth="1"/>
    <col min="12" max="16384" width="9.140625" style="2"/>
  </cols>
  <sheetData>
    <row r="2" spans="2:6" ht="18.75" x14ac:dyDescent="0.3">
      <c r="B2" s="308" t="s">
        <v>4</v>
      </c>
      <c r="F2" s="309" t="s">
        <v>251</v>
      </c>
    </row>
    <row r="3" spans="2:6" ht="15.75" x14ac:dyDescent="0.25">
      <c r="B3" s="310" t="s">
        <v>272</v>
      </c>
    </row>
    <row r="4" spans="2:6" ht="15.75" x14ac:dyDescent="0.25">
      <c r="B4" s="310" t="s">
        <v>274</v>
      </c>
    </row>
    <row r="5" spans="2:6" ht="15.75" x14ac:dyDescent="0.25">
      <c r="B5" s="310" t="s">
        <v>273</v>
      </c>
    </row>
    <row r="6" spans="2:6" ht="15.75" x14ac:dyDescent="0.25">
      <c r="B6" s="311" t="s">
        <v>11</v>
      </c>
    </row>
    <row r="7" spans="2:6" ht="18.75" x14ac:dyDescent="0.3">
      <c r="B7" s="308"/>
    </row>
    <row r="8" spans="2:6" x14ac:dyDescent="0.25">
      <c r="B8" s="531" t="s">
        <v>6</v>
      </c>
    </row>
    <row r="9" spans="2:6" x14ac:dyDescent="0.25">
      <c r="B9" s="1" t="s">
        <v>7</v>
      </c>
      <c r="C9" s="129" t="s">
        <v>419</v>
      </c>
    </row>
    <row r="10" spans="2:6" x14ac:dyDescent="0.25">
      <c r="B10" s="2" t="s">
        <v>260</v>
      </c>
      <c r="C10" s="106">
        <f>INDEX(C40:C45,MATCH(C9,B40:B45,0))</f>
        <v>10</v>
      </c>
      <c r="D10" s="2" t="s">
        <v>0</v>
      </c>
    </row>
    <row r="11" spans="2:6" x14ac:dyDescent="0.25">
      <c r="B11" s="2" t="s">
        <v>261</v>
      </c>
      <c r="C11" s="532">
        <f>INDEX(D40:D45,MATCH(C9,B40:B45,0))</f>
        <v>0.5</v>
      </c>
      <c r="D11" s="2" t="s">
        <v>0</v>
      </c>
    </row>
    <row r="12" spans="2:6" x14ac:dyDescent="0.25">
      <c r="B12" s="2" t="s">
        <v>262</v>
      </c>
      <c r="C12" s="97">
        <v>0.75</v>
      </c>
      <c r="D12" s="2" t="s">
        <v>16</v>
      </c>
    </row>
    <row r="13" spans="2:6" hidden="1" x14ac:dyDescent="0.25">
      <c r="B13" s="3"/>
      <c r="C13" s="545">
        <v>299790000</v>
      </c>
      <c r="D13" s="3"/>
    </row>
    <row r="14" spans="2:6" x14ac:dyDescent="0.25">
      <c r="B14" s="2" t="s">
        <v>263</v>
      </c>
      <c r="C14" s="98">
        <v>8</v>
      </c>
      <c r="D14" s="2" t="s">
        <v>0</v>
      </c>
    </row>
    <row r="15" spans="2:6" hidden="1" x14ac:dyDescent="0.25">
      <c r="B15" s="3"/>
      <c r="C15" s="177">
        <f>INDEX(E40:E45,MATCH(C9,B40:B45,0))</f>
        <v>5</v>
      </c>
      <c r="D15" s="249"/>
    </row>
    <row r="16" spans="2:6" hidden="1" x14ac:dyDescent="0.25">
      <c r="B16" s="3"/>
      <c r="C16" s="177">
        <f>INDEX(F40:F45,MATCH(C9,B40:B45,0))</f>
        <v>20</v>
      </c>
      <c r="D16" s="249"/>
    </row>
    <row r="17" spans="2:4" hidden="1" x14ac:dyDescent="0.25">
      <c r="B17" s="3"/>
      <c r="C17" s="177">
        <f>C16/360/(C14*1000000)</f>
        <v>6.9444444444444443E-9</v>
      </c>
      <c r="D17" s="249"/>
    </row>
    <row r="18" spans="2:4" hidden="1" x14ac:dyDescent="0.25">
      <c r="B18" s="3"/>
      <c r="C18" s="177">
        <f>(C17-(C15*0.000000001))/2</f>
        <v>9.722222222222221E-10</v>
      </c>
      <c r="D18" s="3"/>
    </row>
    <row r="19" spans="2:4" ht="15.75" x14ac:dyDescent="0.25">
      <c r="B19" s="1" t="s">
        <v>5</v>
      </c>
      <c r="C19" s="104">
        <f>MAX(50*C18*C12*C13,1)</f>
        <v>10.92984375</v>
      </c>
      <c r="D19" s="2" t="s">
        <v>3</v>
      </c>
    </row>
    <row r="21" spans="2:4" x14ac:dyDescent="0.25">
      <c r="B21" s="533" t="s">
        <v>8</v>
      </c>
    </row>
    <row r="22" spans="2:4" x14ac:dyDescent="0.25">
      <c r="B22" s="338" t="s">
        <v>264</v>
      </c>
      <c r="C22" s="128">
        <v>4</v>
      </c>
      <c r="D22" s="338" t="s">
        <v>3</v>
      </c>
    </row>
    <row r="23" spans="2:4" hidden="1" x14ac:dyDescent="0.25">
      <c r="B23" s="534"/>
      <c r="C23" s="535">
        <f>0.02*C22/C13</f>
        <v>2.6685346409153074E-10</v>
      </c>
      <c r="D23" s="534"/>
    </row>
    <row r="24" spans="2:4" hidden="1" x14ac:dyDescent="0.25">
      <c r="B24" s="534"/>
      <c r="C24" s="535">
        <f>C23*2/C12</f>
        <v>7.1160923757741527E-10</v>
      </c>
      <c r="D24" s="534"/>
    </row>
    <row r="25" spans="2:4" hidden="1" x14ac:dyDescent="0.25">
      <c r="B25" s="534"/>
      <c r="C25" s="535">
        <f>C24+(C15*0.000000001)</f>
        <v>5.7116092375774153E-9</v>
      </c>
      <c r="D25" s="534"/>
    </row>
    <row r="26" spans="2:4" hidden="1" x14ac:dyDescent="0.25">
      <c r="B26" s="534"/>
      <c r="C26" s="535">
        <f>C16/(360*C25)</f>
        <v>9726778.083845159</v>
      </c>
      <c r="D26" s="534"/>
    </row>
    <row r="27" spans="2:4" ht="15.75" x14ac:dyDescent="0.25">
      <c r="B27" s="536" t="s">
        <v>9</v>
      </c>
      <c r="C27" s="537">
        <f>C26*0.000001</f>
        <v>9.7267780838451579</v>
      </c>
      <c r="D27" s="338" t="s">
        <v>0</v>
      </c>
    </row>
    <row r="29" spans="2:4" x14ac:dyDescent="0.25">
      <c r="B29" s="317" t="s">
        <v>259</v>
      </c>
    </row>
    <row r="30" spans="2:4" x14ac:dyDescent="0.25">
      <c r="B30" s="317" t="s">
        <v>12</v>
      </c>
    </row>
    <row r="31" spans="2:4" x14ac:dyDescent="0.25">
      <c r="B31" s="317" t="s">
        <v>129</v>
      </c>
    </row>
    <row r="32" spans="2:4" x14ac:dyDescent="0.25">
      <c r="B32" s="2" t="s">
        <v>417</v>
      </c>
    </row>
    <row r="38" spans="2:9" x14ac:dyDescent="0.25">
      <c r="B38" s="1"/>
    </row>
    <row r="39" spans="2:9" x14ac:dyDescent="0.25">
      <c r="B39" s="538"/>
    </row>
    <row r="40" spans="2:9" ht="18.75" hidden="1" x14ac:dyDescent="0.3">
      <c r="B40" s="539" t="s">
        <v>15</v>
      </c>
      <c r="C40" s="540" t="s">
        <v>13</v>
      </c>
      <c r="D40" s="540" t="s">
        <v>14</v>
      </c>
      <c r="E40" s="541"/>
      <c r="F40" s="541"/>
    </row>
    <row r="41" spans="2:9" hidden="1" x14ac:dyDescent="0.25">
      <c r="B41" s="542" t="s">
        <v>10</v>
      </c>
      <c r="C41" s="543">
        <v>5</v>
      </c>
      <c r="D41" s="543">
        <v>5.0000000000000001E-3</v>
      </c>
      <c r="E41" s="543">
        <v>5</v>
      </c>
      <c r="F41" s="543">
        <v>10</v>
      </c>
    </row>
    <row r="42" spans="2:9" hidden="1" x14ac:dyDescent="0.25">
      <c r="B42" s="542" t="s">
        <v>233</v>
      </c>
      <c r="C42" s="543">
        <v>5</v>
      </c>
      <c r="D42" s="543">
        <v>5.0000000000000001E-3</v>
      </c>
      <c r="E42" s="543">
        <v>5</v>
      </c>
      <c r="F42" s="543">
        <v>10</v>
      </c>
    </row>
    <row r="43" spans="2:9" hidden="1" x14ac:dyDescent="0.25">
      <c r="B43" s="542" t="s">
        <v>270</v>
      </c>
      <c r="C43" s="543">
        <v>10</v>
      </c>
      <c r="D43" s="543">
        <v>1E-3</v>
      </c>
      <c r="E43" s="543">
        <v>6</v>
      </c>
      <c r="F43" s="543">
        <v>14</v>
      </c>
    </row>
    <row r="44" spans="2:9" hidden="1" x14ac:dyDescent="0.25">
      <c r="B44" s="542" t="s">
        <v>271</v>
      </c>
      <c r="C44" s="543">
        <v>10</v>
      </c>
      <c r="D44" s="543">
        <v>1E-3</v>
      </c>
      <c r="E44" s="543">
        <v>6</v>
      </c>
      <c r="F44" s="543">
        <v>14</v>
      </c>
      <c r="H44" s="544"/>
      <c r="I44" s="544"/>
    </row>
    <row r="45" spans="2:9" hidden="1" x14ac:dyDescent="0.25">
      <c r="B45" s="543" t="s">
        <v>419</v>
      </c>
      <c r="C45" s="543">
        <v>10</v>
      </c>
      <c r="D45" s="543">
        <v>0.5</v>
      </c>
      <c r="E45" s="543">
        <v>5</v>
      </c>
      <c r="F45" s="543">
        <v>20</v>
      </c>
      <c r="H45" s="379"/>
      <c r="I45" s="379"/>
    </row>
    <row r="46" spans="2:9" x14ac:dyDescent="0.25">
      <c r="H46" s="379"/>
      <c r="I46" s="379"/>
    </row>
    <row r="47" spans="2:9" x14ac:dyDescent="0.25">
      <c r="H47" s="379"/>
      <c r="I47" s="379"/>
    </row>
    <row r="48" spans="2:9" x14ac:dyDescent="0.25">
      <c r="H48" s="379"/>
      <c r="I48" s="379"/>
    </row>
    <row r="49" spans="8:9" x14ac:dyDescent="0.25">
      <c r="H49" s="379"/>
      <c r="I49" s="379"/>
    </row>
    <row r="50" spans="8:9" x14ac:dyDescent="0.25">
      <c r="H50" s="379"/>
      <c r="I50" s="379"/>
    </row>
    <row r="51" spans="8:9" x14ac:dyDescent="0.25">
      <c r="H51" s="379"/>
      <c r="I51" s="379"/>
    </row>
    <row r="52" spans="8:9" x14ac:dyDescent="0.25">
      <c r="H52" s="379"/>
      <c r="I52" s="379"/>
    </row>
    <row r="53" spans="8:9" x14ac:dyDescent="0.25">
      <c r="H53" s="379"/>
      <c r="I53" s="379"/>
    </row>
    <row r="54" spans="8:9" x14ac:dyDescent="0.25">
      <c r="H54" s="379"/>
      <c r="I54" s="379"/>
    </row>
    <row r="55" spans="8:9" x14ac:dyDescent="0.25">
      <c r="H55" s="379"/>
      <c r="I55" s="379"/>
    </row>
    <row r="56" spans="8:9" x14ac:dyDescent="0.25">
      <c r="H56" s="379"/>
      <c r="I56" s="379"/>
    </row>
    <row r="57" spans="8:9" x14ac:dyDescent="0.25">
      <c r="H57" s="379"/>
      <c r="I57" s="379"/>
    </row>
    <row r="58" spans="8:9" x14ac:dyDescent="0.25">
      <c r="H58" s="379"/>
      <c r="I58" s="379"/>
    </row>
    <row r="59" spans="8:9" x14ac:dyDescent="0.25">
      <c r="H59" s="379"/>
      <c r="I59" s="379"/>
    </row>
  </sheetData>
  <sheetProtection sheet="1" objects="1" scenarios="1"/>
  <dataValidations count="3">
    <dataValidation type="decimal" allowBlank="1" showInputMessage="1" showErrorMessage="1" sqref="C12">
      <formula1>0.000001</formula1>
      <formula2>1</formula2>
    </dataValidation>
    <dataValidation type="list" allowBlank="1" showInputMessage="1" showErrorMessage="1" sqref="C9">
      <formula1>$B$41:$B$45</formula1>
    </dataValidation>
    <dataValidation type="decimal" errorStyle="warning" allowBlank="1" showInputMessage="1" showErrorMessage="1" errorTitle="Sensor Frequency too high" error="The Sensor frequency cannot exceed the IC Max Frequency" sqref="C14">
      <formula1>C11</formula1>
      <formula2>C10</formula2>
    </dataValidation>
  </dataValidations>
  <hyperlinks>
    <hyperlink ref="F2" location="Contents!A1" display="Return to Main Page"/>
  </hyperlinks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4" tint="0.59999389629810485"/>
  </sheetPr>
  <dimension ref="A2:J112"/>
  <sheetViews>
    <sheetView showGridLines="0" showRowColHeaders="0" zoomScale="85" zoomScaleNormal="85" workbookViewId="0">
      <selection activeCell="Z96" sqref="Z96"/>
    </sheetView>
  </sheetViews>
  <sheetFormatPr defaultRowHeight="15" x14ac:dyDescent="0.25"/>
  <cols>
    <col min="2" max="2" width="13.42578125" customWidth="1"/>
    <col min="3" max="3" width="12.85546875" bestFit="1" customWidth="1"/>
    <col min="4" max="4" width="14.140625" customWidth="1"/>
    <col min="5" max="5" width="13.85546875" bestFit="1" customWidth="1"/>
    <col min="6" max="6" width="11.7109375" bestFit="1" customWidth="1"/>
    <col min="7" max="7" width="12.42578125" customWidth="1"/>
    <col min="8" max="8" width="11.85546875" customWidth="1"/>
  </cols>
  <sheetData>
    <row r="2" spans="1:10" ht="18.75" x14ac:dyDescent="0.3">
      <c r="B2" s="4" t="s">
        <v>234</v>
      </c>
      <c r="G2" s="71" t="s">
        <v>251</v>
      </c>
    </row>
    <row r="3" spans="1:10" ht="15.75" x14ac:dyDescent="0.25">
      <c r="A3" s="7"/>
      <c r="B3" s="5" t="s">
        <v>249</v>
      </c>
    </row>
    <row r="4" spans="1:10" ht="15.75" x14ac:dyDescent="0.25">
      <c r="A4" s="7"/>
      <c r="B4" s="5" t="s">
        <v>253</v>
      </c>
    </row>
    <row r="5" spans="1:10" ht="15.75" x14ac:dyDescent="0.25">
      <c r="A5" s="7"/>
      <c r="B5" s="5" t="s">
        <v>254</v>
      </c>
    </row>
    <row r="6" spans="1:10" ht="15.75" x14ac:dyDescent="0.25">
      <c r="A6" s="7"/>
      <c r="B6" s="5" t="s">
        <v>255</v>
      </c>
    </row>
    <row r="7" spans="1:10" ht="15.75" x14ac:dyDescent="0.25">
      <c r="B7" s="73" t="s">
        <v>343</v>
      </c>
      <c r="F7" s="71" t="s">
        <v>344</v>
      </c>
    </row>
    <row r="8" spans="1:10" x14ac:dyDescent="0.25">
      <c r="D8" s="68" t="s">
        <v>250</v>
      </c>
    </row>
    <row r="9" spans="1:10" x14ac:dyDescent="0.25">
      <c r="C9" s="10" t="s">
        <v>131</v>
      </c>
      <c r="D9" s="62">
        <v>5000</v>
      </c>
      <c r="E9" s="62">
        <v>10000</v>
      </c>
      <c r="F9" s="62">
        <v>100000</v>
      </c>
      <c r="G9" s="62">
        <v>1000000</v>
      </c>
      <c r="H9" s="62">
        <v>10000000</v>
      </c>
      <c r="J9" s="152" t="s">
        <v>485</v>
      </c>
    </row>
    <row r="10" spans="1:10" x14ac:dyDescent="0.25">
      <c r="C10" s="10" t="s">
        <v>132</v>
      </c>
      <c r="D10" s="179" t="str">
        <f>"F= " &amp; IF( D9&gt;999000,D9/1000000 &amp; "M",D9/1000 &amp;"k") &amp; "Hz"</f>
        <v>F= 5kHz</v>
      </c>
      <c r="E10" s="179" t="str">
        <f t="shared" ref="E10:H10" si="0">"F= " &amp; IF( E9&gt;999000,E9/1000000 &amp; "M",E9/1000 &amp;"k") &amp; "Hz"</f>
        <v>F= 10kHz</v>
      </c>
      <c r="F10" s="179" t="str">
        <f t="shared" si="0"/>
        <v>F= 100kHz</v>
      </c>
      <c r="G10" s="179" t="str">
        <f t="shared" si="0"/>
        <v>F= 1MHz</v>
      </c>
      <c r="H10" s="179" t="str">
        <f t="shared" si="0"/>
        <v>F= 10MHz</v>
      </c>
    </row>
    <row r="11" spans="1:10" x14ac:dyDescent="0.25">
      <c r="C11" s="63">
        <v>1E-3</v>
      </c>
      <c r="D11" s="130">
        <f>1000000/($C11*0.000000001*(2*PI()*D$9)*(2*PI()*D$9))</f>
        <v>1013211836.4233775</v>
      </c>
      <c r="E11" s="130">
        <f t="shared" ref="E11:H14" si="1">1000000/($C11*0.000000001*(2*PI()*E$9)*(2*PI()*E$9))</f>
        <v>253302959.10584438</v>
      </c>
      <c r="F11" s="130">
        <f t="shared" si="1"/>
        <v>2533029.5910584447</v>
      </c>
      <c r="G11" s="130">
        <f t="shared" si="1"/>
        <v>25330.295910584438</v>
      </c>
      <c r="H11" s="130">
        <f t="shared" si="1"/>
        <v>253.30295910584437</v>
      </c>
    </row>
    <row r="12" spans="1:10" hidden="1" x14ac:dyDescent="0.25">
      <c r="C12" s="159">
        <f>C11*100</f>
        <v>0.1</v>
      </c>
      <c r="D12" s="180">
        <f>1000000/($C12*0.000000001*(2*PI()*D$9)*(2*PI()*D$9))</f>
        <v>10132118.364233775</v>
      </c>
      <c r="E12" s="180">
        <f t="shared" si="1"/>
        <v>2533029.5910584438</v>
      </c>
      <c r="F12" s="180">
        <f t="shared" si="1"/>
        <v>25330.295910584446</v>
      </c>
      <c r="G12" s="180">
        <f t="shared" si="1"/>
        <v>253.30295910584442</v>
      </c>
      <c r="H12" s="180">
        <f t="shared" si="1"/>
        <v>2.5330295910584439</v>
      </c>
    </row>
    <row r="13" spans="1:10" hidden="1" x14ac:dyDescent="0.25">
      <c r="C13" s="159">
        <f>C14/100</f>
        <v>10</v>
      </c>
      <c r="D13" s="180">
        <f>1000000/($C13*0.000000001*(2*PI()*D$9)*(2*PI()*D$9))</f>
        <v>101321.18364233778</v>
      </c>
      <c r="E13" s="180">
        <f t="shared" si="1"/>
        <v>25330.295910584446</v>
      </c>
      <c r="F13" s="180">
        <f t="shared" si="1"/>
        <v>253.30295910584451</v>
      </c>
      <c r="G13" s="180">
        <f t="shared" si="1"/>
        <v>2.5330295910584444</v>
      </c>
      <c r="H13" s="180">
        <f t="shared" si="1"/>
        <v>2.533029591058444E-2</v>
      </c>
    </row>
    <row r="14" spans="1:10" x14ac:dyDescent="0.25">
      <c r="C14" s="63">
        <v>1000</v>
      </c>
      <c r="D14" s="130">
        <f>1000000/($C14*0.000000001*(2*PI()*D$9)*(2*PI()*D$9))</f>
        <v>1013.2118364233777</v>
      </c>
      <c r="E14" s="130">
        <f t="shared" si="1"/>
        <v>253.30295910584442</v>
      </c>
      <c r="F14" s="130">
        <f t="shared" si="1"/>
        <v>2.5330295910584444</v>
      </c>
      <c r="G14" s="130">
        <f t="shared" si="1"/>
        <v>2.533029591058444E-2</v>
      </c>
      <c r="H14" s="130">
        <f t="shared" si="1"/>
        <v>2.533029591058444E-4</v>
      </c>
    </row>
    <row r="15" spans="1:10" x14ac:dyDescent="0.25">
      <c r="C15" s="38"/>
    </row>
    <row r="16" spans="1:10" hidden="1" x14ac:dyDescent="0.25">
      <c r="C16" s="10" t="s">
        <v>133</v>
      </c>
      <c r="D16" s="10" t="s">
        <v>134</v>
      </c>
    </row>
    <row r="17" spans="1:5" hidden="1" x14ac:dyDescent="0.25">
      <c r="B17" s="10" t="s">
        <v>135</v>
      </c>
      <c r="C17" s="58">
        <v>0.05</v>
      </c>
      <c r="D17" s="61">
        <f>1000000/($C17*0.000000001*(2*PI()*D$9)*(2*PI()*D$9))</f>
        <v>20264236.72846755</v>
      </c>
    </row>
    <row r="18" spans="1:5" hidden="1" x14ac:dyDescent="0.25">
      <c r="C18" s="64">
        <f>C17</f>
        <v>0.05</v>
      </c>
      <c r="D18" s="61">
        <f>1000000/($C18*0.000000001*(2*PI()*H$9)*(2*PI()*H$9))</f>
        <v>5.0660591821168879</v>
      </c>
    </row>
    <row r="19" spans="1:5" hidden="1" x14ac:dyDescent="0.25">
      <c r="C19" s="10" t="s">
        <v>136</v>
      </c>
      <c r="D19" s="10" t="s">
        <v>137</v>
      </c>
    </row>
    <row r="20" spans="1:5" hidden="1" x14ac:dyDescent="0.25">
      <c r="B20" s="10" t="s">
        <v>138</v>
      </c>
      <c r="C20" s="58">
        <v>470</v>
      </c>
      <c r="D20" s="61">
        <f>1000000/($C20*0.000000001*(2*PI()*D$9)*(2*PI()*D$9))</f>
        <v>2155.7698647305906</v>
      </c>
    </row>
    <row r="21" spans="1:5" hidden="1" x14ac:dyDescent="0.25">
      <c r="C21" s="64">
        <f>C20</f>
        <v>470</v>
      </c>
      <c r="D21" s="61">
        <f>1000000/($C21*0.000000001*(2*PI()*H$9)*(2*PI()*H$9))</f>
        <v>5.3894246618264765E-4</v>
      </c>
    </row>
    <row r="22" spans="1:5" hidden="1" x14ac:dyDescent="0.25"/>
    <row r="23" spans="1:5" hidden="1" x14ac:dyDescent="0.25"/>
    <row r="24" spans="1:5" hidden="1" x14ac:dyDescent="0.25">
      <c r="B24" s="10" t="s">
        <v>139</v>
      </c>
    </row>
    <row r="25" spans="1:5" hidden="1" x14ac:dyDescent="0.25">
      <c r="C25" s="10" t="s">
        <v>29</v>
      </c>
      <c r="D25" s="10" t="s">
        <v>94</v>
      </c>
    </row>
    <row r="26" spans="1:5" hidden="1" x14ac:dyDescent="0.25">
      <c r="B26" s="65" t="s">
        <v>140</v>
      </c>
      <c r="C26" s="65">
        <v>1.01E-3</v>
      </c>
      <c r="D26" s="66">
        <v>95000</v>
      </c>
      <c r="E26" s="66"/>
    </row>
    <row r="27" spans="1:5" hidden="1" x14ac:dyDescent="0.25">
      <c r="B27" s="65" t="s">
        <v>141</v>
      </c>
      <c r="C27" s="65">
        <f>C17</f>
        <v>0.05</v>
      </c>
      <c r="D27" s="66">
        <f>D26</f>
        <v>95000</v>
      </c>
    </row>
    <row r="28" spans="1:5" hidden="1" x14ac:dyDescent="0.25">
      <c r="B28" s="65" t="s">
        <v>142</v>
      </c>
      <c r="C28" s="65">
        <f>C27</f>
        <v>0.05</v>
      </c>
      <c r="D28" s="66">
        <f>1000000/($C28*0.000000001*(2*PI()*H$9)*(2*PI()*H$9))</f>
        <v>5.0660591821168879</v>
      </c>
    </row>
    <row r="29" spans="1:5" hidden="1" x14ac:dyDescent="0.25">
      <c r="B29" s="65" t="s">
        <v>143</v>
      </c>
      <c r="C29" s="65">
        <f>C26</f>
        <v>1.01E-3</v>
      </c>
      <c r="D29" s="66">
        <f>1000000/($C29*0.000000001*(2*PI()*H$9)*(2*PI()*H$9))</f>
        <v>250.7950090156875</v>
      </c>
    </row>
    <row r="30" spans="1:5" hidden="1" x14ac:dyDescent="0.25">
      <c r="B30" s="65"/>
      <c r="C30" s="65">
        <f>C26</f>
        <v>1.01E-3</v>
      </c>
      <c r="D30" s="66">
        <f>D26</f>
        <v>95000</v>
      </c>
    </row>
    <row r="31" spans="1:5" hidden="1" x14ac:dyDescent="0.25">
      <c r="D31" s="61"/>
    </row>
    <row r="32" spans="1:5" ht="17.25" hidden="1" x14ac:dyDescent="0.3">
      <c r="A32" s="67" t="s">
        <v>144</v>
      </c>
      <c r="D32" s="61"/>
    </row>
    <row r="33" spans="1:6" ht="17.25" hidden="1" x14ac:dyDescent="0.3">
      <c r="A33" s="67" t="s">
        <v>145</v>
      </c>
    </row>
    <row r="34" spans="1:6" x14ac:dyDescent="0.25">
      <c r="A34" s="10" t="s">
        <v>114</v>
      </c>
      <c r="B34" s="10" t="s">
        <v>112</v>
      </c>
      <c r="C34" s="135" t="s">
        <v>136</v>
      </c>
      <c r="D34" s="135" t="s">
        <v>134</v>
      </c>
      <c r="E34" s="38"/>
      <c r="F34" s="38"/>
    </row>
    <row r="35" spans="1:6" x14ac:dyDescent="0.25">
      <c r="A35" s="63">
        <v>25</v>
      </c>
      <c r="B35" s="63">
        <v>798</v>
      </c>
      <c r="C35" s="184">
        <f>1000000000/(D35*0.000001*(2*PI()*$H$9)^2)</f>
        <v>0.49860571144077481</v>
      </c>
      <c r="D35" s="161">
        <f>1000000*B35/(2*PI()*H$9*A35)</f>
        <v>0.50802257834932996</v>
      </c>
      <c r="E35" s="185" t="str">
        <f>H10</f>
        <v>F= 10MHz</v>
      </c>
      <c r="F35" s="186" t="str">
        <f>"Q="&amp;A35&amp;", RP="&amp;B35&amp;"Ω"</f>
        <v>Q=25, RP=798Ω</v>
      </c>
    </row>
    <row r="36" spans="1:6" x14ac:dyDescent="0.25">
      <c r="A36" s="157">
        <f>A35</f>
        <v>25</v>
      </c>
      <c r="B36" s="157">
        <f>B35</f>
        <v>798</v>
      </c>
      <c r="C36" s="184">
        <f>1000000000/(D36*0.000001*(2*PI()*$D$9)^2)</f>
        <v>997.21142288154977</v>
      </c>
      <c r="D36" s="161">
        <f>1000000*B36/(2*PI()*D$9*A36)</f>
        <v>1016.0451566986599</v>
      </c>
      <c r="E36" s="185" t="str">
        <f>D10</f>
        <v>F= 5kHz</v>
      </c>
      <c r="F36" s="157"/>
    </row>
    <row r="37" spans="1:6" x14ac:dyDescent="0.25">
      <c r="C37" s="38"/>
      <c r="D37" s="187"/>
      <c r="E37" s="153"/>
      <c r="F37" s="38"/>
    </row>
    <row r="38" spans="1:6" x14ac:dyDescent="0.25">
      <c r="A38" s="10" t="s">
        <v>114</v>
      </c>
      <c r="B38" s="10" t="s">
        <v>112</v>
      </c>
      <c r="C38" s="135" t="s">
        <v>136</v>
      </c>
      <c r="D38" s="135" t="s">
        <v>134</v>
      </c>
      <c r="E38" s="153"/>
      <c r="F38" s="38"/>
    </row>
    <row r="39" spans="1:6" x14ac:dyDescent="0.25">
      <c r="A39" s="63">
        <v>5</v>
      </c>
      <c r="B39" s="63">
        <v>798</v>
      </c>
      <c r="C39" s="165">
        <f>1000000000/(D39*0.000001*(2*PI()*$H$9)^2)</f>
        <v>9.9721142288154985E-2</v>
      </c>
      <c r="D39" s="161">
        <f>1000000*B39/(2*PI()*H$9*A39)</f>
        <v>2.5401128917466496</v>
      </c>
      <c r="E39" s="182" t="str">
        <f>H10</f>
        <v>F= 10MHz</v>
      </c>
      <c r="F39" s="183" t="str">
        <f>"Q="&amp;A39&amp;", RP="&amp;B39&amp;"Ω"</f>
        <v>Q=5, RP=798Ω</v>
      </c>
    </row>
    <row r="40" spans="1:6" x14ac:dyDescent="0.25">
      <c r="A40" s="181">
        <f>A39</f>
        <v>5</v>
      </c>
      <c r="B40" s="181">
        <f>B39</f>
        <v>798</v>
      </c>
      <c r="C40" s="165">
        <f>1000000000/(D40*0.000001*(2*PI()*$D$9)^2)</f>
        <v>199.44228457630996</v>
      </c>
      <c r="D40" s="161">
        <f>1000000*B40/(2*PI()*D$9*A40)</f>
        <v>5080.2257834932989</v>
      </c>
      <c r="E40" s="182" t="str">
        <f>D10</f>
        <v>F= 5kHz</v>
      </c>
      <c r="F40" s="156"/>
    </row>
    <row r="44" spans="1:6" x14ac:dyDescent="0.25">
      <c r="B44" s="19"/>
      <c r="C44" s="19"/>
      <c r="D44" s="19"/>
    </row>
    <row r="45" spans="1:6" x14ac:dyDescent="0.25">
      <c r="D45" s="69"/>
    </row>
    <row r="46" spans="1:6" x14ac:dyDescent="0.25">
      <c r="B46" s="19"/>
      <c r="C46" s="19"/>
      <c r="D46" s="70"/>
    </row>
    <row r="47" spans="1:6" x14ac:dyDescent="0.25">
      <c r="B47" s="19"/>
      <c r="C47" s="19"/>
      <c r="D47" s="70"/>
    </row>
    <row r="48" spans="1:6" x14ac:dyDescent="0.25">
      <c r="C48" s="59"/>
    </row>
    <row r="66" spans="1:8" ht="18.75" x14ac:dyDescent="0.3">
      <c r="B66" s="4" t="s">
        <v>313</v>
      </c>
      <c r="G66" s="71" t="s">
        <v>251</v>
      </c>
    </row>
    <row r="67" spans="1:8" ht="15.75" x14ac:dyDescent="0.25">
      <c r="A67" s="7"/>
      <c r="B67" s="5" t="s">
        <v>249</v>
      </c>
    </row>
    <row r="68" spans="1:8" ht="15.75" x14ac:dyDescent="0.25">
      <c r="A68" s="7"/>
      <c r="B68" s="5" t="s">
        <v>314</v>
      </c>
    </row>
    <row r="69" spans="1:8" ht="15.75" x14ac:dyDescent="0.25">
      <c r="A69" s="7"/>
      <c r="B69" s="5" t="s">
        <v>315</v>
      </c>
    </row>
    <row r="70" spans="1:8" ht="15.75" x14ac:dyDescent="0.25">
      <c r="A70" s="7"/>
      <c r="B70" s="5" t="s">
        <v>316</v>
      </c>
    </row>
    <row r="71" spans="1:8" ht="15.75" x14ac:dyDescent="0.25">
      <c r="B71" s="73"/>
    </row>
    <row r="72" spans="1:8" x14ac:dyDescent="0.25">
      <c r="D72" s="68" t="s">
        <v>250</v>
      </c>
    </row>
    <row r="73" spans="1:8" x14ac:dyDescent="0.25">
      <c r="C73" s="10" t="s">
        <v>131</v>
      </c>
      <c r="D73" s="62">
        <v>10000</v>
      </c>
      <c r="E73" s="62">
        <v>10000</v>
      </c>
      <c r="F73" s="62">
        <v>100000</v>
      </c>
      <c r="G73" s="62">
        <v>1000000</v>
      </c>
      <c r="H73" s="62">
        <v>10000000</v>
      </c>
    </row>
    <row r="74" spans="1:8" x14ac:dyDescent="0.25">
      <c r="C74" s="10" t="s">
        <v>132</v>
      </c>
      <c r="D74" s="179" t="str">
        <f>"F= " &amp; IF( D73&gt;999000,D73/1000000 &amp; "M",D73/1000 &amp;"k") &amp; "Hz"</f>
        <v>F= 10kHz</v>
      </c>
      <c r="E74" s="179" t="str">
        <f t="shared" ref="E74:H74" si="2">"F= " &amp; IF( E73&gt;999000,E73/1000000 &amp; "M",E73/1000 &amp;"k") &amp; "Hz"</f>
        <v>F= 10kHz</v>
      </c>
      <c r="F74" s="179" t="str">
        <f t="shared" si="2"/>
        <v>F= 100kHz</v>
      </c>
      <c r="G74" s="179" t="str">
        <f t="shared" si="2"/>
        <v>F= 1MHz</v>
      </c>
      <c r="H74" s="179" t="str">
        <f t="shared" si="2"/>
        <v>F= 10MHz</v>
      </c>
    </row>
    <row r="75" spans="1:8" x14ac:dyDescent="0.25">
      <c r="C75" s="63">
        <v>1E-3</v>
      </c>
      <c r="D75" s="130">
        <f>1000000/($C75*0.000000001*(2*PI()*D$9)*(2*PI()*D$9))</f>
        <v>1013211836.4233775</v>
      </c>
      <c r="E75" s="130">
        <f t="shared" ref="E75:H78" si="3">1000000/($C75*0.000000001*(2*PI()*E$9)*(2*PI()*E$9))</f>
        <v>253302959.10584438</v>
      </c>
      <c r="F75" s="130">
        <f t="shared" si="3"/>
        <v>2533029.5910584447</v>
      </c>
      <c r="G75" s="130">
        <f t="shared" si="3"/>
        <v>25330.295910584438</v>
      </c>
      <c r="H75" s="130">
        <f t="shared" si="3"/>
        <v>253.30295910584437</v>
      </c>
    </row>
    <row r="76" spans="1:8" hidden="1" x14ac:dyDescent="0.25">
      <c r="C76" s="159">
        <f>C75*100</f>
        <v>0.1</v>
      </c>
      <c r="D76" s="180">
        <f>1000000/($C76*0.000000001*(2*PI()*D$9)*(2*PI()*D$9))</f>
        <v>10132118.364233775</v>
      </c>
      <c r="E76" s="180">
        <f t="shared" si="3"/>
        <v>2533029.5910584438</v>
      </c>
      <c r="F76" s="180">
        <f t="shared" si="3"/>
        <v>25330.295910584446</v>
      </c>
      <c r="G76" s="180">
        <f t="shared" si="3"/>
        <v>253.30295910584442</v>
      </c>
      <c r="H76" s="180">
        <f t="shared" si="3"/>
        <v>2.5330295910584439</v>
      </c>
    </row>
    <row r="77" spans="1:8" hidden="1" x14ac:dyDescent="0.25">
      <c r="C77" s="159">
        <f>C78/100</f>
        <v>10</v>
      </c>
      <c r="D77" s="180">
        <f>1000000/($C77*0.000000001*(2*PI()*D$9)*(2*PI()*D$9))</f>
        <v>101321.18364233778</v>
      </c>
      <c r="E77" s="180">
        <f t="shared" si="3"/>
        <v>25330.295910584446</v>
      </c>
      <c r="F77" s="180">
        <f t="shared" si="3"/>
        <v>253.30295910584451</v>
      </c>
      <c r="G77" s="180">
        <f t="shared" si="3"/>
        <v>2.5330295910584444</v>
      </c>
      <c r="H77" s="180">
        <f t="shared" si="3"/>
        <v>2.533029591058444E-2</v>
      </c>
    </row>
    <row r="78" spans="1:8" x14ac:dyDescent="0.25">
      <c r="C78" s="63">
        <v>1000</v>
      </c>
      <c r="D78" s="130">
        <f>1000000/($C78*0.000000001*(2*PI()*D$9)*(2*PI()*D$9))</f>
        <v>1013.2118364233777</v>
      </c>
      <c r="E78" s="130">
        <f t="shared" si="3"/>
        <v>253.30295910584442</v>
      </c>
      <c r="F78" s="130">
        <f t="shared" si="3"/>
        <v>2.5330295910584444</v>
      </c>
      <c r="G78" s="130">
        <f t="shared" si="3"/>
        <v>2.533029591058444E-2</v>
      </c>
      <c r="H78" s="130">
        <f t="shared" si="3"/>
        <v>2.533029591058444E-4</v>
      </c>
    </row>
    <row r="79" spans="1:8" x14ac:dyDescent="0.25">
      <c r="C79" s="38"/>
    </row>
    <row r="80" spans="1:8" hidden="1" x14ac:dyDescent="0.25">
      <c r="C80" s="10" t="s">
        <v>133</v>
      </c>
      <c r="D80" s="10" t="s">
        <v>134</v>
      </c>
    </row>
    <row r="81" spans="1:5" hidden="1" x14ac:dyDescent="0.25">
      <c r="B81" s="10" t="s">
        <v>135</v>
      </c>
      <c r="C81" s="58">
        <v>0.05</v>
      </c>
      <c r="D81" s="61">
        <f>1000000/($C81*0.000000001*(2*PI()*D$9)*(2*PI()*D$9))</f>
        <v>20264236.72846755</v>
      </c>
    </row>
    <row r="82" spans="1:5" hidden="1" x14ac:dyDescent="0.25">
      <c r="C82" s="64">
        <f>C81</f>
        <v>0.05</v>
      </c>
      <c r="D82" s="61">
        <f>1000000/($C82*0.000000001*(2*PI()*H$9)*(2*PI()*H$9))</f>
        <v>5.0660591821168879</v>
      </c>
    </row>
    <row r="83" spans="1:5" hidden="1" x14ac:dyDescent="0.25">
      <c r="C83" s="10" t="s">
        <v>136</v>
      </c>
      <c r="D83" s="10" t="s">
        <v>137</v>
      </c>
    </row>
    <row r="84" spans="1:5" hidden="1" x14ac:dyDescent="0.25">
      <c r="B84" s="10" t="s">
        <v>138</v>
      </c>
      <c r="C84" s="58">
        <v>470</v>
      </c>
      <c r="D84" s="61">
        <f>1000000/($C84*0.000000001*(2*PI()*D$9)*(2*PI()*D$9))</f>
        <v>2155.7698647305906</v>
      </c>
    </row>
    <row r="85" spans="1:5" hidden="1" x14ac:dyDescent="0.25">
      <c r="C85" s="64">
        <f>C84</f>
        <v>470</v>
      </c>
      <c r="D85" s="61">
        <f>1000000/($C85*0.000000001*(2*PI()*H$9)*(2*PI()*H$9))</f>
        <v>5.3894246618264765E-4</v>
      </c>
    </row>
    <row r="86" spans="1:5" ht="15.75" hidden="1" customHeight="1" x14ac:dyDescent="0.25"/>
    <row r="87" spans="1:5" hidden="1" x14ac:dyDescent="0.25"/>
    <row r="88" spans="1:5" hidden="1" x14ac:dyDescent="0.25">
      <c r="B88" s="10" t="s">
        <v>139</v>
      </c>
    </row>
    <row r="89" spans="1:5" hidden="1" x14ac:dyDescent="0.25">
      <c r="C89" s="10" t="s">
        <v>29</v>
      </c>
      <c r="D89" s="10" t="s">
        <v>94</v>
      </c>
    </row>
    <row r="90" spans="1:5" hidden="1" x14ac:dyDescent="0.25">
      <c r="B90" s="65" t="s">
        <v>140</v>
      </c>
      <c r="C90" s="65">
        <v>1.01E-3</v>
      </c>
      <c r="D90" s="66">
        <v>95000</v>
      </c>
      <c r="E90" s="66"/>
    </row>
    <row r="91" spans="1:5" hidden="1" x14ac:dyDescent="0.25">
      <c r="B91" s="65" t="s">
        <v>141</v>
      </c>
      <c r="C91" s="65">
        <f>C81</f>
        <v>0.05</v>
      </c>
      <c r="D91" s="66">
        <f>D90</f>
        <v>95000</v>
      </c>
    </row>
    <row r="92" spans="1:5" hidden="1" x14ac:dyDescent="0.25">
      <c r="B92" s="65" t="s">
        <v>142</v>
      </c>
      <c r="C92" s="65">
        <f>C91</f>
        <v>0.05</v>
      </c>
      <c r="D92" s="66">
        <f>1000000/($C92*0.000000001*(2*PI()*H$9)*(2*PI()*H$9))</f>
        <v>5.0660591821168879</v>
      </c>
    </row>
    <row r="93" spans="1:5" hidden="1" x14ac:dyDescent="0.25">
      <c r="B93" s="65" t="s">
        <v>143</v>
      </c>
      <c r="C93" s="65">
        <f>C90</f>
        <v>1.01E-3</v>
      </c>
      <c r="D93" s="66">
        <f>1000000/($C93*0.000000001*(2*PI()*H$9)*(2*PI()*H$9))</f>
        <v>250.7950090156875</v>
      </c>
    </row>
    <row r="94" spans="1:5" hidden="1" x14ac:dyDescent="0.25">
      <c r="B94" s="65"/>
      <c r="C94" s="65">
        <f>C90</f>
        <v>1.01E-3</v>
      </c>
      <c r="D94" s="66">
        <f>D90</f>
        <v>95000</v>
      </c>
    </row>
    <row r="95" spans="1:5" x14ac:dyDescent="0.25">
      <c r="D95" s="61"/>
    </row>
    <row r="96" spans="1:5" ht="17.25" x14ac:dyDescent="0.3">
      <c r="A96" s="67" t="s">
        <v>144</v>
      </c>
      <c r="D96" s="61"/>
    </row>
    <row r="97" spans="1:6" ht="17.25" x14ac:dyDescent="0.3">
      <c r="A97" s="67" t="s">
        <v>145</v>
      </c>
    </row>
    <row r="98" spans="1:6" x14ac:dyDescent="0.25">
      <c r="A98" s="10" t="s">
        <v>114</v>
      </c>
      <c r="B98" s="10" t="s">
        <v>112</v>
      </c>
      <c r="C98" s="135" t="s">
        <v>136</v>
      </c>
      <c r="D98" s="135" t="s">
        <v>134</v>
      </c>
      <c r="E98" s="38"/>
      <c r="F98" s="38"/>
    </row>
    <row r="99" spans="1:6" x14ac:dyDescent="0.25">
      <c r="A99" s="63">
        <v>25</v>
      </c>
      <c r="B99" s="63">
        <v>1000</v>
      </c>
      <c r="C99" s="165">
        <f>1000000000/(D99*0.000001*(2*PI()*$H$9)^2)</f>
        <v>0.39788735772973832</v>
      </c>
      <c r="D99" s="161">
        <f>1000000*B99/(2*PI()*H$9*A99)</f>
        <v>0.63661977236758138</v>
      </c>
      <c r="E99" s="182" t="str">
        <f>H74</f>
        <v>F= 10MHz</v>
      </c>
      <c r="F99" s="183" t="str">
        <f>"Q="&amp;A99&amp;", RP="&amp;B99&amp;"Ω"</f>
        <v>Q=25, RP=1000Ω</v>
      </c>
    </row>
    <row r="100" spans="1:6" x14ac:dyDescent="0.25">
      <c r="A100" s="157">
        <f>A99</f>
        <v>25</v>
      </c>
      <c r="B100" s="157">
        <f>B99</f>
        <v>1000</v>
      </c>
      <c r="C100" s="165">
        <f>1000000000/(D100*0.000001*(2*PI()*$D$9)^2)</f>
        <v>795.77471545947662</v>
      </c>
      <c r="D100" s="161">
        <f>1000000*B100/(2*PI()*D$9*A100)</f>
        <v>1273.2395447351628</v>
      </c>
      <c r="E100" s="182" t="str">
        <f>D74</f>
        <v>F= 10kHz</v>
      </c>
      <c r="F100" s="156"/>
    </row>
    <row r="101" spans="1:6" x14ac:dyDescent="0.25">
      <c r="C101" s="38"/>
      <c r="D101" s="187"/>
      <c r="E101" s="153"/>
      <c r="F101" s="38"/>
    </row>
    <row r="102" spans="1:6" x14ac:dyDescent="0.25">
      <c r="A102" s="10" t="s">
        <v>114</v>
      </c>
      <c r="B102" s="10" t="s">
        <v>112</v>
      </c>
      <c r="C102" s="135" t="s">
        <v>136</v>
      </c>
      <c r="D102" s="135" t="s">
        <v>134</v>
      </c>
      <c r="E102" s="153"/>
      <c r="F102" s="38"/>
    </row>
    <row r="103" spans="1:6" x14ac:dyDescent="0.25">
      <c r="A103" s="63">
        <v>5</v>
      </c>
      <c r="B103" s="63">
        <v>1000</v>
      </c>
      <c r="C103" s="165">
        <f>1000000000/(D103*0.000001*(2*PI()*$H$9)^2)</f>
        <v>7.9577471545947687E-2</v>
      </c>
      <c r="D103" s="161">
        <f>1000000*B103/(2*PI()*H$9*A103)</f>
        <v>3.1830988618379066</v>
      </c>
      <c r="E103" s="182" t="str">
        <f>H74</f>
        <v>F= 10MHz</v>
      </c>
      <c r="F103" s="183" t="str">
        <f>"Q="&amp;A103&amp;", RP="&amp;B103&amp;"Ω"</f>
        <v>Q=5, RP=1000Ω</v>
      </c>
    </row>
    <row r="104" spans="1:6" x14ac:dyDescent="0.25">
      <c r="A104" s="157">
        <f>A103</f>
        <v>5</v>
      </c>
      <c r="B104" s="157">
        <f>B103</f>
        <v>1000</v>
      </c>
      <c r="C104" s="165">
        <f>1000000000/(D104*0.000001*(2*PI()*$D$9)^2)</f>
        <v>159.15494309189538</v>
      </c>
      <c r="D104" s="161">
        <f>1000000*B104/(2*PI()*D$9*A104)</f>
        <v>6366.197723675813</v>
      </c>
      <c r="E104" s="182" t="str">
        <f>D74</f>
        <v>F= 10kHz</v>
      </c>
      <c r="F104" s="156"/>
    </row>
    <row r="108" spans="1:6" x14ac:dyDescent="0.25">
      <c r="B108" s="19"/>
      <c r="C108" s="19"/>
      <c r="D108" s="19"/>
    </row>
    <row r="109" spans="1:6" x14ac:dyDescent="0.25">
      <c r="D109" s="69"/>
    </row>
    <row r="110" spans="1:6" x14ac:dyDescent="0.25">
      <c r="B110" s="19"/>
      <c r="C110" s="19"/>
      <c r="D110" s="70"/>
    </row>
    <row r="111" spans="1:6" x14ac:dyDescent="0.25">
      <c r="B111" s="19"/>
      <c r="C111" s="19"/>
      <c r="D111" s="70"/>
    </row>
    <row r="112" spans="1:6" x14ac:dyDescent="0.25">
      <c r="C112" s="59"/>
    </row>
  </sheetData>
  <dataValidations count="8">
    <dataValidation type="decimal" allowBlank="1" showInputMessage="1" showErrorMessage="1" sqref="D9:G9">
      <formula1>5000</formula1>
      <formula2>5000000</formula2>
    </dataValidation>
    <dataValidation type="decimal" operator="greaterThan" allowBlank="1" showInputMessage="1" showErrorMessage="1" sqref="A35 A39 A99 A103">
      <formula1>0</formula1>
    </dataValidation>
    <dataValidation type="decimal" errorStyle="warning" operator="greaterThanOrEqual" allowBlank="1" showInputMessage="1" showErrorMessage="1" errorTitle="RP too Low" error="The minimum RP spec for the LDC1000/LDC1041/LDC1051 is 798ohms." sqref="B35">
      <formula1>798</formula1>
    </dataValidation>
    <dataValidation type="decimal" errorStyle="warning" operator="greaterThanOrEqual" allowBlank="1" showInputMessage="1" showErrorMessage="1" errorTitle="RP too low" error="The Minimum RP value for the LDC1000/LDC1041/LDC1051 is 798ohms." sqref="B39">
      <formula1>798</formula1>
    </dataValidation>
    <dataValidation type="decimal" allowBlank="1" showInputMessage="1" showErrorMessage="1" sqref="D73:H73">
      <formula1>10000</formula1>
      <formula2>10000000</formula2>
    </dataValidation>
    <dataValidation type="decimal" errorStyle="warning" operator="greaterThanOrEqual" allowBlank="1" showInputMessage="1" showErrorMessage="1" errorTitle="RP too Low" error="The minimum RP spec for the LDC131x/161x is 1000ohms; the high drive mode on channel 0 can support 250ohms." sqref="B99">
      <formula1>1000</formula1>
    </dataValidation>
    <dataValidation type="decimal" errorStyle="warning" operator="greaterThanOrEqual" allowBlank="1" showInputMessage="1" showErrorMessage="1" errorTitle="RP too low" error="The minimum RP spec for the LDC131x/161x is 1000ohms; the high drive mode on channel 0 can support 250ohms." sqref="B103">
      <formula1>1000</formula1>
    </dataValidation>
    <dataValidation type="decimal" errorStyle="warning" allowBlank="1" showInputMessage="1" showErrorMessage="1" errorTitle="LDC1000 has a maximum of 5MHz" error="LDC1000 has a maximum of 5MHz and minimum of 5kHz." sqref="H9">
      <formula1>5000</formula1>
      <formula2>10000000</formula2>
    </dataValidation>
  </dataValidations>
  <hyperlinks>
    <hyperlink ref="G2" location="Contents!A1" display="Return to Main Page"/>
    <hyperlink ref="G66" location="Contents!A1" display="Return to Main Page"/>
    <hyperlink ref="F7" r:id="rId1"/>
  </hyperlinks>
  <pageMargins left="0.7" right="0.7" top="0.75" bottom="0.75" header="0.3" footer="0.3"/>
  <pageSetup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59999389629810485"/>
  </sheetPr>
  <dimension ref="A2:U79"/>
  <sheetViews>
    <sheetView showGridLines="0" showRowColHeaders="0" topLeftCell="A17" zoomScale="90" zoomScaleNormal="90" workbookViewId="0">
      <selection activeCell="G2" sqref="G2"/>
    </sheetView>
  </sheetViews>
  <sheetFormatPr defaultRowHeight="15" x14ac:dyDescent="0.25"/>
  <cols>
    <col min="1" max="1" width="6.7109375" style="2" customWidth="1"/>
    <col min="2" max="2" width="42.140625" style="2" customWidth="1"/>
    <col min="3" max="3" width="9.140625" style="2"/>
    <col min="4" max="4" width="17.42578125" style="366" customWidth="1"/>
    <col min="5" max="5" width="8.5703125" style="366" customWidth="1"/>
    <col min="6" max="6" width="21.140625" style="366" hidden="1" customWidth="1"/>
    <col min="7" max="7" width="44.85546875" style="369" customWidth="1"/>
    <col min="8" max="9" width="9.140625" style="2"/>
    <col min="10" max="10" width="3.140625" style="2" customWidth="1"/>
    <col min="11" max="11" width="3.85546875" style="2" customWidth="1"/>
    <col min="12" max="12" width="8.5703125" style="2" customWidth="1"/>
    <col min="13" max="13" width="8.85546875" style="2" customWidth="1"/>
    <col min="14" max="14" width="7.42578125" style="2" customWidth="1"/>
    <col min="15" max="15" width="8.28515625" style="2" customWidth="1"/>
    <col min="16" max="16" width="8" style="2" customWidth="1"/>
    <col min="17" max="17" width="8.140625" style="2" customWidth="1"/>
    <col min="18" max="18" width="9" style="2" customWidth="1"/>
    <col min="19" max="19" width="9.140625" style="2" customWidth="1"/>
    <col min="20" max="20" width="8.5703125" style="2" customWidth="1"/>
    <col min="21" max="21" width="11.42578125" style="2" customWidth="1"/>
    <col min="22" max="16384" width="9.140625" style="2"/>
  </cols>
  <sheetData>
    <row r="2" spans="2:8" ht="18.75" x14ac:dyDescent="0.3">
      <c r="B2" s="308" t="s">
        <v>335</v>
      </c>
      <c r="G2" s="367" t="s">
        <v>252</v>
      </c>
      <c r="H2" s="2" t="s">
        <v>117</v>
      </c>
    </row>
    <row r="3" spans="2:8" x14ac:dyDescent="0.25">
      <c r="B3" s="368" t="s">
        <v>617</v>
      </c>
    </row>
    <row r="4" spans="2:8" ht="18.75" x14ac:dyDescent="0.3">
      <c r="G4" s="370" t="s">
        <v>21</v>
      </c>
    </row>
    <row r="16" spans="2:8" x14ac:dyDescent="0.25">
      <c r="B16" s="371" t="s">
        <v>22</v>
      </c>
      <c r="C16" s="372"/>
    </row>
    <row r="17" spans="2:12" x14ac:dyDescent="0.25">
      <c r="B17" s="373" t="s">
        <v>23</v>
      </c>
      <c r="C17" s="374"/>
    </row>
    <row r="18" spans="2:12" ht="15.75" thickBot="1" x14ac:dyDescent="0.3"/>
    <row r="19" spans="2:12" ht="16.5" thickTop="1" x14ac:dyDescent="0.25">
      <c r="B19" s="567" t="s">
        <v>539</v>
      </c>
      <c r="C19" s="568"/>
      <c r="D19" s="568"/>
      <c r="E19" s="568"/>
      <c r="F19" s="569"/>
      <c r="G19" s="570"/>
    </row>
    <row r="20" spans="2:12" ht="15.75" x14ac:dyDescent="0.25">
      <c r="B20" s="375" t="s">
        <v>25</v>
      </c>
      <c r="C20" s="376" t="s">
        <v>26</v>
      </c>
      <c r="D20" s="349">
        <v>25</v>
      </c>
      <c r="E20" s="377" t="s">
        <v>27</v>
      </c>
      <c r="F20" s="375"/>
      <c r="G20" s="378" t="s">
        <v>28</v>
      </c>
    </row>
    <row r="21" spans="2:12" ht="18.75" x14ac:dyDescent="0.3">
      <c r="B21" s="375" t="s">
        <v>446</v>
      </c>
      <c r="C21" s="376" t="s">
        <v>29</v>
      </c>
      <c r="D21" s="350">
        <v>270</v>
      </c>
      <c r="E21" s="377" t="s">
        <v>30</v>
      </c>
      <c r="F21" s="375"/>
      <c r="G21" s="378" t="s">
        <v>31</v>
      </c>
      <c r="I21" s="379"/>
    </row>
    <row r="22" spans="2:12" ht="18.75" x14ac:dyDescent="0.3">
      <c r="B22" s="380" t="s">
        <v>32</v>
      </c>
      <c r="C22" s="376" t="s">
        <v>33</v>
      </c>
      <c r="D22" s="351">
        <v>4</v>
      </c>
      <c r="E22" s="377" t="s">
        <v>32</v>
      </c>
      <c r="F22" s="375"/>
      <c r="G22" s="378" t="s">
        <v>34</v>
      </c>
    </row>
    <row r="23" spans="2:12" ht="18.75" x14ac:dyDescent="0.3">
      <c r="B23" s="314" t="s">
        <v>35</v>
      </c>
      <c r="C23" s="381" t="s">
        <v>36</v>
      </c>
      <c r="D23" s="352">
        <v>7</v>
      </c>
      <c r="E23" s="382" t="s">
        <v>35</v>
      </c>
      <c r="F23" s="383"/>
      <c r="G23" s="384" t="s">
        <v>37</v>
      </c>
      <c r="L23" s="385"/>
    </row>
    <row r="24" spans="2:12" ht="19.5" x14ac:dyDescent="0.35">
      <c r="B24" s="314" t="s">
        <v>514</v>
      </c>
      <c r="C24" s="381" t="s">
        <v>596</v>
      </c>
      <c r="D24" s="353">
        <v>4</v>
      </c>
      <c r="E24" s="354" t="s">
        <v>40</v>
      </c>
      <c r="F24" s="386"/>
      <c r="G24" s="384" t="s">
        <v>41</v>
      </c>
      <c r="L24" s="385"/>
    </row>
    <row r="25" spans="2:12" ht="18.75" hidden="1" x14ac:dyDescent="0.3">
      <c r="B25" s="314" t="s">
        <v>367</v>
      </c>
      <c r="C25" s="381"/>
      <c r="D25" s="355">
        <f>IF(E24="mm",D24,D24*0.0254)</f>
        <v>4</v>
      </c>
      <c r="E25" s="388" t="s">
        <v>40</v>
      </c>
      <c r="F25" s="386"/>
      <c r="G25" s="384"/>
    </row>
    <row r="26" spans="2:12" ht="18.75" x14ac:dyDescent="0.3">
      <c r="B26" s="314" t="s">
        <v>515</v>
      </c>
      <c r="C26" s="381"/>
      <c r="D26" s="357">
        <v>1.6</v>
      </c>
      <c r="E26" s="389"/>
      <c r="F26" s="390"/>
      <c r="G26" s="384" t="s">
        <v>516</v>
      </c>
    </row>
    <row r="27" spans="2:12" ht="18.75" hidden="1" x14ac:dyDescent="0.3">
      <c r="B27" s="314" t="s">
        <v>517</v>
      </c>
      <c r="C27" s="381"/>
      <c r="D27" s="387">
        <f>1+(4*(D26-1)/PI())</f>
        <v>1.7639437268410978</v>
      </c>
      <c r="E27" s="388"/>
      <c r="F27" s="386"/>
      <c r="G27" s="384"/>
    </row>
    <row r="28" spans="2:12" ht="19.5" x14ac:dyDescent="0.35">
      <c r="B28" s="314" t="s">
        <v>597</v>
      </c>
      <c r="C28" s="381" t="s">
        <v>598</v>
      </c>
      <c r="D28" s="391">
        <f>D26*D24</f>
        <v>6.4</v>
      </c>
      <c r="E28" s="389" t="s">
        <v>40</v>
      </c>
      <c r="F28" s="386"/>
      <c r="G28" s="384"/>
      <c r="H28" s="385"/>
    </row>
    <row r="29" spans="2:12" ht="18.75" x14ac:dyDescent="0.3">
      <c r="B29" s="314" t="s">
        <v>44</v>
      </c>
      <c r="C29" s="381" t="s">
        <v>45</v>
      </c>
      <c r="D29" s="358">
        <v>4</v>
      </c>
      <c r="E29" s="354" t="s">
        <v>46</v>
      </c>
      <c r="F29" s="386">
        <f t="shared" ref="F29:F37" si="0">IF(E29="mm",D29,D29*0.0254)</f>
        <v>0.1016</v>
      </c>
      <c r="G29" s="384" t="s">
        <v>47</v>
      </c>
      <c r="I29" s="385"/>
    </row>
    <row r="30" spans="2:12" ht="18.75" x14ac:dyDescent="0.3">
      <c r="B30" s="314" t="s">
        <v>48</v>
      </c>
      <c r="C30" s="381" t="s">
        <v>49</v>
      </c>
      <c r="D30" s="358">
        <v>4</v>
      </c>
      <c r="E30" s="354" t="s">
        <v>46</v>
      </c>
      <c r="F30" s="386">
        <f t="shared" si="0"/>
        <v>0.1016</v>
      </c>
      <c r="G30" s="384" t="s">
        <v>50</v>
      </c>
    </row>
    <row r="31" spans="2:12" x14ac:dyDescent="0.25">
      <c r="B31" s="314" t="s">
        <v>235</v>
      </c>
      <c r="C31" s="381" t="s">
        <v>242</v>
      </c>
      <c r="D31" s="359">
        <v>8</v>
      </c>
      <c r="E31" s="354" t="s">
        <v>46</v>
      </c>
      <c r="F31" s="386">
        <f t="shared" si="0"/>
        <v>0.20319999999999999</v>
      </c>
      <c r="G31" s="384" t="s">
        <v>51</v>
      </c>
    </row>
    <row r="32" spans="2:12" x14ac:dyDescent="0.25">
      <c r="B32" s="314" t="s">
        <v>236</v>
      </c>
      <c r="C32" s="381" t="s">
        <v>243</v>
      </c>
      <c r="D32" s="359">
        <v>30</v>
      </c>
      <c r="E32" s="354" t="s">
        <v>46</v>
      </c>
      <c r="F32" s="386">
        <f t="shared" si="0"/>
        <v>0.76200000000000001</v>
      </c>
      <c r="G32" s="384" t="s">
        <v>52</v>
      </c>
    </row>
    <row r="33" spans="1:21" x14ac:dyDescent="0.25">
      <c r="B33" s="314" t="s">
        <v>237</v>
      </c>
      <c r="C33" s="381" t="s">
        <v>244</v>
      </c>
      <c r="D33" s="359">
        <v>8</v>
      </c>
      <c r="E33" s="354" t="s">
        <v>46</v>
      </c>
      <c r="F33" s="386">
        <f t="shared" si="0"/>
        <v>0.20319999999999999</v>
      </c>
      <c r="G33" s="384" t="s">
        <v>53</v>
      </c>
    </row>
    <row r="34" spans="1:21" ht="15.75" thickBot="1" x14ac:dyDescent="0.3">
      <c r="B34" s="314" t="s">
        <v>238</v>
      </c>
      <c r="C34" s="381" t="s">
        <v>245</v>
      </c>
      <c r="D34" s="359">
        <v>8</v>
      </c>
      <c r="E34" s="354" t="s">
        <v>40</v>
      </c>
      <c r="F34" s="386">
        <f t="shared" si="0"/>
        <v>8</v>
      </c>
      <c r="G34" s="384" t="s">
        <v>54</v>
      </c>
    </row>
    <row r="35" spans="1:21" ht="16.5" thickTop="1" thickBot="1" x14ac:dyDescent="0.3">
      <c r="B35" s="314" t="s">
        <v>239</v>
      </c>
      <c r="C35" s="381" t="s">
        <v>246</v>
      </c>
      <c r="D35" s="359">
        <v>8</v>
      </c>
      <c r="E35" s="354" t="s">
        <v>40</v>
      </c>
      <c r="F35" s="386">
        <f t="shared" si="0"/>
        <v>8</v>
      </c>
      <c r="G35" s="384" t="s">
        <v>55</v>
      </c>
      <c r="J35" s="571" t="s">
        <v>56</v>
      </c>
      <c r="K35" s="572"/>
      <c r="L35" s="572"/>
      <c r="M35" s="572"/>
      <c r="N35" s="572"/>
      <c r="O35" s="572"/>
      <c r="P35" s="572"/>
      <c r="Q35" s="572"/>
      <c r="R35" s="572"/>
      <c r="S35" s="572"/>
      <c r="T35" s="572"/>
      <c r="U35" s="573"/>
    </row>
    <row r="36" spans="1:21" ht="16.5" thickTop="1" thickBot="1" x14ac:dyDescent="0.3">
      <c r="B36" s="314" t="s">
        <v>240</v>
      </c>
      <c r="C36" s="381" t="s">
        <v>247</v>
      </c>
      <c r="D36" s="359">
        <f t="shared" ref="D36:D37" si="1">62*0.0254</f>
        <v>1.5748</v>
      </c>
      <c r="E36" s="354" t="s">
        <v>40</v>
      </c>
      <c r="F36" s="386">
        <f t="shared" si="0"/>
        <v>1.5748</v>
      </c>
      <c r="G36" s="384" t="s">
        <v>57</v>
      </c>
      <c r="J36" s="574" t="s">
        <v>58</v>
      </c>
      <c r="K36" s="575"/>
      <c r="L36" s="575"/>
      <c r="M36" s="578" t="s">
        <v>59</v>
      </c>
      <c r="N36" s="578"/>
      <c r="O36" s="578"/>
      <c r="P36" s="578"/>
      <c r="Q36" s="578"/>
      <c r="R36" s="578"/>
      <c r="S36" s="578"/>
      <c r="T36" s="578"/>
      <c r="U36" s="579" t="s">
        <v>60</v>
      </c>
    </row>
    <row r="37" spans="1:21" ht="15.75" thickBot="1" x14ac:dyDescent="0.3">
      <c r="B37" s="314" t="s">
        <v>241</v>
      </c>
      <c r="C37" s="381" t="s">
        <v>248</v>
      </c>
      <c r="D37" s="359">
        <f t="shared" si="1"/>
        <v>1.5748</v>
      </c>
      <c r="E37" s="354" t="s">
        <v>40</v>
      </c>
      <c r="F37" s="386">
        <f t="shared" si="0"/>
        <v>1.5748</v>
      </c>
      <c r="G37" s="384" t="s">
        <v>61</v>
      </c>
      <c r="J37" s="576"/>
      <c r="K37" s="577"/>
      <c r="L37" s="577"/>
      <c r="M37" s="392" t="s">
        <v>62</v>
      </c>
      <c r="N37" s="392" t="s">
        <v>63</v>
      </c>
      <c r="O37" s="392" t="s">
        <v>64</v>
      </c>
      <c r="P37" s="392" t="s">
        <v>65</v>
      </c>
      <c r="Q37" s="392" t="s">
        <v>66</v>
      </c>
      <c r="R37" s="392" t="s">
        <v>67</v>
      </c>
      <c r="S37" s="392" t="s">
        <v>68</v>
      </c>
      <c r="T37" s="392" t="s">
        <v>69</v>
      </c>
      <c r="U37" s="580"/>
    </row>
    <row r="38" spans="1:21" ht="15.75" thickBot="1" x14ac:dyDescent="0.3">
      <c r="B38" s="314" t="s">
        <v>70</v>
      </c>
      <c r="C38" s="381" t="s">
        <v>71</v>
      </c>
      <c r="D38" s="360">
        <v>0.25</v>
      </c>
      <c r="E38" s="354" t="s">
        <v>72</v>
      </c>
      <c r="F38" s="393">
        <f>IF(E38="mm",D38, IF(E38="mil",D38*0.0254,D38*0.0347))</f>
        <v>8.6750000000000004E-3</v>
      </c>
      <c r="G38" s="384" t="s">
        <v>73</v>
      </c>
      <c r="J38" s="576"/>
      <c r="K38" s="577"/>
      <c r="L38" s="577"/>
      <c r="M38" s="392">
        <v>0</v>
      </c>
      <c r="N38" s="392">
        <f>M38+F31</f>
        <v>0.20319999999999999</v>
      </c>
      <c r="O38" s="392">
        <f>N38+F32</f>
        <v>0.96520000000000006</v>
      </c>
      <c r="P38" s="392">
        <f>O38+F33</f>
        <v>1.1684000000000001</v>
      </c>
      <c r="Q38" s="392">
        <f>P38+F34</f>
        <v>9.1684000000000001</v>
      </c>
      <c r="R38" s="392">
        <f>Q38+F35</f>
        <v>17.168399999999998</v>
      </c>
      <c r="S38" s="392">
        <f>R38+F36</f>
        <v>18.743199999999998</v>
      </c>
      <c r="T38" s="392">
        <f>S38+F37</f>
        <v>20.317999999999998</v>
      </c>
      <c r="U38" s="580"/>
    </row>
    <row r="39" spans="1:21" ht="15.75" thickBot="1" x14ac:dyDescent="0.3">
      <c r="B39" s="394" t="s">
        <v>537</v>
      </c>
      <c r="C39" s="395" t="s">
        <v>75</v>
      </c>
      <c r="D39" s="361">
        <v>1.6800000000000002E-8</v>
      </c>
      <c r="E39" s="396" t="s">
        <v>76</v>
      </c>
      <c r="F39" s="397"/>
      <c r="G39" s="398"/>
      <c r="J39" s="581" t="s">
        <v>77</v>
      </c>
      <c r="K39" s="392" t="s">
        <v>62</v>
      </c>
      <c r="L39" s="392">
        <f>M38</f>
        <v>0</v>
      </c>
      <c r="M39" s="399">
        <f>IF($D$22&gt;0,1,0)</f>
        <v>1</v>
      </c>
      <c r="N39" s="399">
        <f>IF($D$22&gt;1,1.5625*$D$23^2/((0.184*ABS(N$38-$L39)^3-0.525*(N$38-$L39)^2+1.038*ABS(N$38-$L39)+1.001)*(1.67*$D$23^2-5.84*$D$23+65)),0)</f>
        <v>0.6063398761990505</v>
      </c>
      <c r="O39" s="399">
        <f>IF($D$22&gt;2,1.5625*$D$23^2/((0.184*ABS(O$38-$L39)^3-0.525*(O$38-$L39)^2+1.038*ABS(O$38-$L39)+1.001)*(1.67*$D$23^2-5.84*$D$23+65)),0)</f>
        <v>0.43033255223564187</v>
      </c>
      <c r="P39" s="399">
        <f>IF($D$22&gt;3,1.5625*$D$23^2/((0.184*ABS(P$38-$L39)^3-0.525*(P$38-$L39)^2+1.038*ABS(P$38-$L39)+1.001)*(1.67*$D$23^2-5.84*$D$23+65)),0)</f>
        <v>0.40357227365564008</v>
      </c>
      <c r="Q39" s="399">
        <f>IF($D$22&gt;4,1.5625*$D$23^2/((0.184*ABS(Q$38-$L39)^3-0.525*(Q$38-$L39)^2+1.038*ABS(Q$38-$L39)+1.001)*(1.67*$D$23^2-5.84*$D$23+65)),0)</f>
        <v>0</v>
      </c>
      <c r="R39" s="399">
        <f>IF($D$22&gt;5,1.5625*$D$23^2/((0.184*ABS(R$38-$L39)^3-0.525*(R$38-$L39)^2+1.038*ABS(R$38-$L39)+1.001)*(1.67*$D$23^2-5.84*$D$23+65)),0)</f>
        <v>0</v>
      </c>
      <c r="S39" s="399">
        <f t="shared" ref="S39:S44" si="2">IF($D$22&gt;6,1.5625*$D$23^2/((0.184*ABS(S$38-$L39)^3-0.525*(S$38-$L39)^2+1.038*ABS(S$38-$L39)+1.001)*(1.67*$D$23^2-5.84*$D$23+65)),0)</f>
        <v>0</v>
      </c>
      <c r="T39" s="399">
        <f t="shared" ref="T39:T45" si="3">IF($D$22&gt;7,1.5625*$D$23^2/((0.184*ABS(T$38-$L39)^3-0.525*(T$38-$L39)^2+1.038*ABS(T$38-$L39)+1.001)*(1.67*$D$23^2-5.84*$D$23+65)),0)</f>
        <v>0</v>
      </c>
      <c r="U39" s="400">
        <f>SUM(M39:T39)*$D$48</f>
        <v>0.53137531479726452</v>
      </c>
    </row>
    <row r="40" spans="1:21" ht="15.75" thickBot="1" x14ac:dyDescent="0.3">
      <c r="B40" s="394" t="s">
        <v>318</v>
      </c>
      <c r="C40" s="395" t="s">
        <v>78</v>
      </c>
      <c r="D40" s="362">
        <v>0.39300000000000002</v>
      </c>
      <c r="E40" s="396" t="s">
        <v>79</v>
      </c>
      <c r="F40" s="397"/>
      <c r="G40" s="398"/>
      <c r="J40" s="581"/>
      <c r="K40" s="392" t="s">
        <v>63</v>
      </c>
      <c r="L40" s="392">
        <f>N38</f>
        <v>0.20319999999999999</v>
      </c>
      <c r="M40" s="399">
        <f>IF($D$22&gt;1,1.5625*$D$23^2/((0.184*ABS(M$38-$L40)^3-0.525*(M$38-$L40)^2+1.038*ABS(M$38-$L40)+1.001)*(1.67*$D$23^2-5.84*$D$23+65)),0)</f>
        <v>0.6063398761990505</v>
      </c>
      <c r="N40" s="399">
        <f>IF($D$22&gt;1,1,0)</f>
        <v>1</v>
      </c>
      <c r="O40" s="399">
        <f>IF($D$22&gt;2,1.5625*$D$23^2/((0.184*ABS(O$38-$L40)^3-0.525*(O$38-$L40)^2+1.038*ABS(O$38-$L40)+1.001)*(1.67*$D$23^2-5.84*$D$23+65)),0)</f>
        <v>0.46070469522371782</v>
      </c>
      <c r="P40" s="399">
        <f>IF($D$22&gt;3,1.5625*$D$23^2/((0.184*ABS(P$38-$L40)^3-0.525*(P$38-$L40)^2+1.038*ABS(P$38-$L40)+1.001)*(1.67*$D$23^2-5.84*$D$23+65)),0)</f>
        <v>0.43033255223564187</v>
      </c>
      <c r="Q40" s="399">
        <f>IF($D$22&gt;4,1.5625*$D$23^2/((0.184*ABS(Q$38-$L40)^3-0.525*(Q$38-$L40)^2+1.038*ABS(Q$38-$L40)+1.001)*(1.67*$D$23^2-5.84*$D$23+65)),0)</f>
        <v>0</v>
      </c>
      <c r="R40" s="399">
        <f>IF($D$22&gt;5,1.5625*$D$23^2/((0.184*ABS(R$38-$L40)^3-0.525*(R$38-$L40)^2+1.038*ABS(R$38-$L40)+1.001)*(1.67*$D$23^2-5.84*$D$23+65)),0)</f>
        <v>0</v>
      </c>
      <c r="S40" s="399">
        <f t="shared" si="2"/>
        <v>0</v>
      </c>
      <c r="T40" s="399">
        <f t="shared" si="3"/>
        <v>0</v>
      </c>
      <c r="U40" s="400">
        <f t="shared" ref="U40:U46" si="4">SUM(M40:T40)*$D$48</f>
        <v>0.54381618126850895</v>
      </c>
    </row>
    <row r="41" spans="1:21" ht="15.75" thickBot="1" x14ac:dyDescent="0.3">
      <c r="B41" s="394" t="s">
        <v>80</v>
      </c>
      <c r="C41" s="395" t="s">
        <v>536</v>
      </c>
      <c r="D41" s="363">
        <v>1</v>
      </c>
      <c r="E41" s="396"/>
      <c r="F41" s="397"/>
      <c r="G41" s="398"/>
      <c r="J41" s="581"/>
      <c r="K41" s="392" t="s">
        <v>64</v>
      </c>
      <c r="L41" s="392">
        <f>O38</f>
        <v>0.96520000000000006</v>
      </c>
      <c r="M41" s="399">
        <f>IF($D$22&gt;2,1.5625*$D$23^2/((0.184*ABS(M$38-$L41)^3-0.525*(M$38-$L41)^2+1.038*ABS(M$38-$L41)+1.001)*(1.67*$D$23^2-5.84*$D$23+65)),0)</f>
        <v>0.43033255223564187</v>
      </c>
      <c r="N41" s="399">
        <f>IF($D$22&gt;2,1.5625*$D$23^2/((0.184*ABS(N$38-$L41)^3-0.525*(N$38-$L41)^2+1.038*ABS(N$38-$L41)+1.001)*(1.67*$D$23^2-5.84*$D$23+65)),0)</f>
        <v>0.46070469522371782</v>
      </c>
      <c r="O41" s="399">
        <f>IF($D$22&gt;2,1,0)</f>
        <v>1</v>
      </c>
      <c r="P41" s="399">
        <f>IF($D$22&gt;3,1.5625*$D$23^2/((0.184*ABS(P$38-$L41)^3-0.525*(P$38-$L41)^2+1.038*ABS(P$38-$L41)+1.001)*(1.67*$D$23^2-5.84*$D$23+65)),0)</f>
        <v>0.6063398761990505</v>
      </c>
      <c r="Q41" s="399">
        <f>IF($D$22&gt;4,1.5625*$D$23^2/((0.184*ABS(Q$38-$L41)^3-0.525*(Q$38-$L41)^2+1.038*ABS(Q$38-$L41)+1.001)*(1.67*$D$23^2-5.84*$D$23+65)),0)</f>
        <v>0</v>
      </c>
      <c r="R41" s="399">
        <f>IF($D$22&gt;5,1.5625*$D$23^2/((0.184*ABS(R$38-$L41)^3-0.525*(R$38-$L41)^2+1.038*ABS(R$38-$L41)+1.001)*(1.67*$D$23^2-5.84*$D$23+65)),0)</f>
        <v>0</v>
      </c>
      <c r="S41" s="399">
        <f t="shared" si="2"/>
        <v>0</v>
      </c>
      <c r="T41" s="399">
        <f t="shared" si="3"/>
        <v>0</v>
      </c>
      <c r="U41" s="400">
        <f t="shared" si="4"/>
        <v>0.54381618126850895</v>
      </c>
    </row>
    <row r="42" spans="1:21" ht="15.75" thickBot="1" x14ac:dyDescent="0.3">
      <c r="B42" s="401" t="s">
        <v>82</v>
      </c>
      <c r="C42" s="402" t="s">
        <v>83</v>
      </c>
      <c r="D42" s="364">
        <v>4</v>
      </c>
      <c r="E42" s="396" t="s">
        <v>30</v>
      </c>
      <c r="F42" s="397"/>
      <c r="G42" s="398" t="s">
        <v>84</v>
      </c>
      <c r="J42" s="581"/>
      <c r="K42" s="392" t="s">
        <v>65</v>
      </c>
      <c r="L42" s="392">
        <f>P38</f>
        <v>1.1684000000000001</v>
      </c>
      <c r="M42" s="399">
        <f>IF($D$22&gt;3,1.5625*$D$23^2/((0.184*ABS(M$38-$L42)^3-0.525*(M$38-$L42)^2+1.038*ABS(M$38-$L42)+1.001)*(1.67*$D$23^2-5.84*$D$23+65)),0)</f>
        <v>0.40357227365564008</v>
      </c>
      <c r="N42" s="399">
        <f>IF($D$22&gt;3,1.5625*$D$23^2/((0.184*ABS(N$38-$L42)^3-0.525*(N$38-$L42)^2+1.038*ABS(N$38-$L42)+1.001)*(1.67*$D$23^2-5.84*$D$23+65)),0)</f>
        <v>0.43033255223564187</v>
      </c>
      <c r="O42" s="399">
        <f>IF($D$22&gt;3,1.5625*$D$23^2/((0.184*ABS(O$38-$L42)^3-0.525*(O$38-$L42)^2+1.038*ABS(O$38-$L42)+1.001)*(1.67*$D$23^2-5.84*$D$23+65)),0)</f>
        <v>0.6063398761990505</v>
      </c>
      <c r="P42" s="399">
        <f>IF($D$22&gt;3,1,0)</f>
        <v>1</v>
      </c>
      <c r="Q42" s="399">
        <f>IF($D$22&gt;4,1.5625*$D$23^2/((0.184*ABS(Q$38-$L42)^3-0.525*(Q$38-$L42)^2+1.038*ABS(Q$38-$L42)+1.001)*(1.67*$D$23^2-5.84*$D$23+65)),0)</f>
        <v>0</v>
      </c>
      <c r="R42" s="399">
        <f>IF($D$22&gt;5,1.5625*$D$23^2/((0.184*ABS(R$38-$L42)^3-0.525*(R$38-$L42)^2+1.038*ABS(R$38-$L42)+1.001)*(1.67*$D$23^2-5.84*$D$23+65)),0)</f>
        <v>0</v>
      </c>
      <c r="S42" s="399">
        <f t="shared" si="2"/>
        <v>0</v>
      </c>
      <c r="T42" s="399">
        <f t="shared" si="3"/>
        <v>0</v>
      </c>
      <c r="U42" s="400">
        <f t="shared" si="4"/>
        <v>0.53137531479726452</v>
      </c>
    </row>
    <row r="43" spans="1:21" ht="15.75" hidden="1" thickBot="1" x14ac:dyDescent="0.3">
      <c r="B43" s="403" t="s">
        <v>85</v>
      </c>
      <c r="C43" s="404" t="s">
        <v>86</v>
      </c>
      <c r="D43" s="405">
        <f>D39*(1+(D40/100)*(D20-20))</f>
        <v>1.713012E-8</v>
      </c>
      <c r="E43" s="406" t="s">
        <v>87</v>
      </c>
      <c r="F43" s="386"/>
      <c r="G43" s="407"/>
      <c r="J43" s="581"/>
      <c r="K43" s="392" t="s">
        <v>66</v>
      </c>
      <c r="L43" s="392">
        <f>Q38</f>
        <v>9.1684000000000001</v>
      </c>
      <c r="M43" s="399">
        <f>IF($D$22&gt;4,1.5625*$D$23^2/((0.184*ABS(M$38-$L43)^3-0.525*(M$38-$L43)^2+1.038*ABS(M$38-$L43)+1.001)*(1.67*$D$23^2-5.84*$D$23+65)),0)</f>
        <v>0</v>
      </c>
      <c r="N43" s="399">
        <f>IF($D$22&gt;4,1.5625*$D$23^2/((0.184*ABS(N$38-$L43)^3-0.525*(N$38-$L43)^2+1.038*ABS(N$38-$L43)+1.001)*(1.67*$D$23^2-5.84*$D$23+65)),0)</f>
        <v>0</v>
      </c>
      <c r="O43" s="399">
        <f>IF($D$22&gt;4,1.5625*$D$23^2/((0.184*ABS(O$38-$L43)^3-0.525*(O$38-$L43)^2+1.038*ABS(O$38-$L43)+1.001)*(1.67*$D$23^2-5.84*$D$23+65)),0)</f>
        <v>0</v>
      </c>
      <c r="P43" s="399">
        <f>IF($D$22&gt;4,1.5625*$D$23^2/((0.184*ABS(P$38-$L43)^3-0.525*(P$38-$L43)^2+1.038*ABS(P$38-$L43)+1.001)*(1.67*$D$23^2-5.84*$D$23+65)),0)</f>
        <v>0</v>
      </c>
      <c r="Q43" s="399">
        <f>IF($D$22&gt;4,1,0)</f>
        <v>0</v>
      </c>
      <c r="R43" s="399">
        <f>IF($D$22&gt;5,1.5625*$D$23^2/((0.184*ABS(R$38-$L43)^3-0.525*(R$38-$L43)^2+1.038*ABS(R$38-$L43)+1.001)*(1.67*$D$23^2-5.84*$D$23+65)),0)</f>
        <v>0</v>
      </c>
      <c r="S43" s="399">
        <f t="shared" si="2"/>
        <v>0</v>
      </c>
      <c r="T43" s="399">
        <f t="shared" si="3"/>
        <v>0</v>
      </c>
      <c r="U43" s="400">
        <f t="shared" si="4"/>
        <v>0</v>
      </c>
    </row>
    <row r="44" spans="1:21" ht="15.75" thickBot="1" x14ac:dyDescent="0.3">
      <c r="A44" s="408"/>
      <c r="B44" s="409" t="s">
        <v>366</v>
      </c>
      <c r="C44" s="410" t="s">
        <v>368</v>
      </c>
      <c r="D44" s="411">
        <f>F47/D25</f>
        <v>0.2888</v>
      </c>
      <c r="E44" s="389"/>
      <c r="F44" s="386"/>
      <c r="G44" s="407" t="s">
        <v>518</v>
      </c>
      <c r="J44" s="581"/>
      <c r="K44" s="392" t="s">
        <v>67</v>
      </c>
      <c r="L44" s="392">
        <f>R38</f>
        <v>17.168399999999998</v>
      </c>
      <c r="M44" s="399">
        <f>IF($D$22&gt;5,1.5625*$D$23^2/((0.184*ABS(M$38-$L44)^3-0.525*(M$38-$L44)^2+1.038*ABS(M$38-$L44)+1.001)*(1.67*$D$23^2-5.84*$D$23+65)),0)</f>
        <v>0</v>
      </c>
      <c r="N44" s="399">
        <f>IF($D$22&gt;5,1.5625*$D$23^2/((0.184*ABS(N$38-$L44)^3-0.525*(N$38-$L44)^2+1.038*ABS(N$38-$L44)+1.001)*(1.67*$D$23^2-5.84*$D$23+65)),0)</f>
        <v>0</v>
      </c>
      <c r="O44" s="399">
        <f>IF($D$22&gt;5,1.5625*$D$23^2/((0.184*ABS(O$38-$L44)^3-0.525*(O$38-$L44)^2+1.038*ABS(O$38-$L44)+1.001)*(1.67*$D$23^2-5.84*$D$23+65)),0)</f>
        <v>0</v>
      </c>
      <c r="P44" s="399">
        <f>IF($D$22&gt;5,1.5625*$D$23^2/((0.184*ABS(P$38-$L44)^3-0.525*(P$38-$L44)^2+1.038*ABS(P$38-$L44)+1.001)*(1.67*$D$23^2-5.84*$D$23+65)),0)</f>
        <v>0</v>
      </c>
      <c r="Q44" s="399">
        <f>IF($D$22&gt;5,1.5625*$D$23^2/((0.184*ABS(Q$38-$L44)^3-0.525*(Q$38-$L44)^2+1.038*ABS(Q$38-$L44)+1.001)*(1.67*$D$23^2-5.84*$D$23+65)),0)</f>
        <v>0</v>
      </c>
      <c r="R44" s="399">
        <f>IF($D$22&gt;5,1,0)</f>
        <v>0</v>
      </c>
      <c r="S44" s="399">
        <f t="shared" si="2"/>
        <v>0</v>
      </c>
      <c r="T44" s="399">
        <f t="shared" si="3"/>
        <v>0</v>
      </c>
      <c r="U44" s="400">
        <f t="shared" si="4"/>
        <v>0</v>
      </c>
    </row>
    <row r="45" spans="1:21" ht="15.75" hidden="1" thickBot="1" x14ac:dyDescent="0.3">
      <c r="A45" s="408"/>
      <c r="B45" s="403" t="s">
        <v>88</v>
      </c>
      <c r="C45" s="404" t="s">
        <v>89</v>
      </c>
      <c r="D45" s="412">
        <f>D27*(F47+D25)/2</f>
        <v>4.5467413503056138</v>
      </c>
      <c r="E45" s="413" t="s">
        <v>40</v>
      </c>
      <c r="F45" s="386"/>
      <c r="G45" s="407"/>
      <c r="J45" s="581"/>
      <c r="K45" s="392" t="s">
        <v>68</v>
      </c>
      <c r="L45" s="392">
        <f>S38</f>
        <v>18.743199999999998</v>
      </c>
      <c r="M45" s="399">
        <f t="shared" ref="M45:R45" si="5">IF($D$22&gt;6,1.5625*$D$23^2/((0.184*ABS(M$38-$L45)^3-0.525*(M$38-$L45)^2+1.038*ABS(M$38-$L45)+1.001)*(1.67*$D$23^2-5.84*$D$23+65)),0)</f>
        <v>0</v>
      </c>
      <c r="N45" s="399">
        <f t="shared" si="5"/>
        <v>0</v>
      </c>
      <c r="O45" s="399">
        <f t="shared" si="5"/>
        <v>0</v>
      </c>
      <c r="P45" s="399">
        <f t="shared" si="5"/>
        <v>0</v>
      </c>
      <c r="Q45" s="399">
        <f t="shared" si="5"/>
        <v>0</v>
      </c>
      <c r="R45" s="399">
        <f t="shared" si="5"/>
        <v>0</v>
      </c>
      <c r="S45" s="399">
        <f>IF($D$22&gt;6,1,0)</f>
        <v>0</v>
      </c>
      <c r="T45" s="399">
        <f t="shared" si="3"/>
        <v>0</v>
      </c>
      <c r="U45" s="400">
        <f t="shared" si="4"/>
        <v>0</v>
      </c>
    </row>
    <row r="46" spans="1:21" ht="15.75" hidden="1" thickBot="1" x14ac:dyDescent="0.3">
      <c r="A46" s="408"/>
      <c r="B46" s="403" t="s">
        <v>90</v>
      </c>
      <c r="C46" s="404" t="s">
        <v>91</v>
      </c>
      <c r="D46" s="414">
        <f>(D25-F47)/(D25+F47)</f>
        <v>0.55183116076970828</v>
      </c>
      <c r="E46" s="413"/>
      <c r="F46" s="386"/>
      <c r="G46" s="407"/>
      <c r="J46" s="582"/>
      <c r="K46" s="415" t="s">
        <v>69</v>
      </c>
      <c r="L46" s="415">
        <f>T38</f>
        <v>20.317999999999998</v>
      </c>
      <c r="M46" s="416">
        <f t="shared" ref="M46:S46" si="6">IF($D$22&gt;7,1.5625*$D$23^2/((0.184*ABS(M$38-$L46)^3-0.525*(M$38-$L46)^2+1.038*ABS(M$38-$L46)+1.001)*(1.67*$D$23^2-5.84*$D$23+65)),0)</f>
        <v>0</v>
      </c>
      <c r="N46" s="416">
        <f t="shared" si="6"/>
        <v>0</v>
      </c>
      <c r="O46" s="416">
        <f t="shared" si="6"/>
        <v>0</v>
      </c>
      <c r="P46" s="416">
        <f t="shared" si="6"/>
        <v>0</v>
      </c>
      <c r="Q46" s="416">
        <f t="shared" si="6"/>
        <v>0</v>
      </c>
      <c r="R46" s="416">
        <f t="shared" si="6"/>
        <v>0</v>
      </c>
      <c r="S46" s="416">
        <f t="shared" si="6"/>
        <v>0</v>
      </c>
      <c r="T46" s="416">
        <f>IF($D$22&gt;7,1,0)</f>
        <v>0</v>
      </c>
      <c r="U46" s="417">
        <f t="shared" si="4"/>
        <v>0</v>
      </c>
    </row>
    <row r="47" spans="1:21" ht="15.75" thickBot="1" x14ac:dyDescent="0.3">
      <c r="A47" s="408"/>
      <c r="B47" s="403" t="s">
        <v>92</v>
      </c>
      <c r="C47" s="404" t="s">
        <v>42</v>
      </c>
      <c r="D47" s="418">
        <f>IF(E47="mm",F47,F47/0.0254)</f>
        <v>45.480314960629926</v>
      </c>
      <c r="E47" s="354" t="s">
        <v>46</v>
      </c>
      <c r="F47" s="386">
        <f>D25-(2*N+1)*F30-(2*N-1)*F29</f>
        <v>1.1552</v>
      </c>
      <c r="G47" s="384" t="s">
        <v>43</v>
      </c>
      <c r="I47" s="419"/>
      <c r="J47" s="420"/>
      <c r="K47" s="421"/>
      <c r="L47" s="421"/>
      <c r="M47" s="422"/>
      <c r="N47" s="422"/>
      <c r="O47" s="422"/>
      <c r="P47" s="422"/>
      <c r="Q47" s="422"/>
      <c r="R47" s="423"/>
      <c r="S47" s="424"/>
      <c r="T47" s="424"/>
      <c r="U47" s="425"/>
    </row>
    <row r="48" spans="1:21" ht="17.25" thickTop="1" thickBot="1" x14ac:dyDescent="0.3">
      <c r="A48" s="408"/>
      <c r="B48" s="409" t="s">
        <v>93</v>
      </c>
      <c r="C48" s="410" t="s">
        <v>94</v>
      </c>
      <c r="D48" s="426">
        <f>0.5*4*PI()*0.0001*D23*D23*D45*(LN(2.46/D46)+0.2*D46*D46)</f>
        <v>0.21775493020928777</v>
      </c>
      <c r="E48" s="382" t="s">
        <v>95</v>
      </c>
      <c r="F48" s="386"/>
      <c r="G48" s="427"/>
      <c r="J48" s="428"/>
      <c r="K48" s="428"/>
      <c r="L48" s="428"/>
      <c r="R48" s="565" t="s">
        <v>96</v>
      </c>
      <c r="S48" s="566"/>
      <c r="T48" s="566"/>
      <c r="U48" s="429">
        <f>SUM(U39:U46)</f>
        <v>2.1503829921315472</v>
      </c>
    </row>
    <row r="49" spans="1:7" ht="20.25" thickTop="1" x14ac:dyDescent="0.35">
      <c r="A49" s="408"/>
      <c r="B49" s="430" t="s">
        <v>97</v>
      </c>
      <c r="C49" s="410" t="s">
        <v>599</v>
      </c>
      <c r="D49" s="431">
        <f>IF(D47&gt;0,U48,"Error")</f>
        <v>2.1503829921315472</v>
      </c>
      <c r="E49" s="432" t="s">
        <v>99</v>
      </c>
      <c r="F49" s="386"/>
      <c r="G49" s="433" t="str">
        <f>IF(D49="Error","Too many turns or outer diameter too small!","")</f>
        <v/>
      </c>
    </row>
    <row r="50" spans="1:7" ht="15.75" hidden="1" x14ac:dyDescent="0.25">
      <c r="A50" s="408"/>
      <c r="B50" s="430" t="s">
        <v>100</v>
      </c>
      <c r="C50" s="410"/>
      <c r="D50" s="434">
        <f>1/(2*PI()*SQRT(D49*0.000001*(D21+D42)*0.000000000001))</f>
        <v>6556724.5922577577</v>
      </c>
      <c r="E50" s="432" t="s">
        <v>1</v>
      </c>
      <c r="F50" s="386"/>
      <c r="G50" s="433"/>
    </row>
    <row r="51" spans="1:7" ht="18.75" x14ac:dyDescent="0.3">
      <c r="A51" s="408"/>
      <c r="B51" s="430" t="s">
        <v>100</v>
      </c>
      <c r="C51" s="410" t="s">
        <v>101</v>
      </c>
      <c r="D51" s="431">
        <f>IF(D50&gt;300000,D50/1000000,D50/1000)</f>
        <v>6.5567245922577575</v>
      </c>
      <c r="E51" s="435" t="str">
        <f>IF(D50&gt;300000,"MHz","kHz")</f>
        <v>MHz</v>
      </c>
      <c r="F51" s="436"/>
      <c r="G51" s="433" t="str">
        <f>IF(D51&gt;(D58*1000),"Sensor Frequency is too high, reduce C","")</f>
        <v/>
      </c>
    </row>
    <row r="52" spans="1:7" hidden="1" x14ac:dyDescent="0.25">
      <c r="A52" s="408"/>
      <c r="B52" s="437" t="s">
        <v>103</v>
      </c>
      <c r="C52" s="438" t="s">
        <v>104</v>
      </c>
      <c r="D52" s="439">
        <f>(D26-1)*2*D25+PI()*D23*(D25+F47)/2</f>
        <v>61.484384567251354</v>
      </c>
      <c r="E52" s="440" t="s">
        <v>40</v>
      </c>
      <c r="F52" s="436"/>
      <c r="G52" s="407"/>
    </row>
    <row r="53" spans="1:7" hidden="1" x14ac:dyDescent="0.25">
      <c r="A53" s="408"/>
      <c r="B53" s="441" t="s">
        <v>105</v>
      </c>
      <c r="C53" s="442" t="s">
        <v>106</v>
      </c>
      <c r="D53" s="443">
        <f>D43*D52*0.001*D22/(F30*0.001*F38*0.001)</f>
        <v>4.7799354909944123</v>
      </c>
      <c r="E53" s="444" t="s">
        <v>107</v>
      </c>
      <c r="F53" s="436"/>
      <c r="G53" s="407"/>
    </row>
    <row r="54" spans="1:7" hidden="1" x14ac:dyDescent="0.25">
      <c r="A54" s="408"/>
      <c r="B54" s="441" t="s">
        <v>108</v>
      </c>
      <c r="C54" s="442" t="s">
        <v>109</v>
      </c>
      <c r="D54" s="443">
        <f>SQRT(D39/(3.14*4*3.14*0.0000001*D41*D50))*1000</f>
        <v>2.5488925394146589E-2</v>
      </c>
      <c r="E54" s="445" t="s">
        <v>40</v>
      </c>
      <c r="F54" s="436"/>
      <c r="G54" s="407"/>
    </row>
    <row r="55" spans="1:7" x14ac:dyDescent="0.25">
      <c r="A55" s="408"/>
      <c r="B55" s="327" t="s">
        <v>110</v>
      </c>
      <c r="C55" s="442" t="s">
        <v>519</v>
      </c>
      <c r="D55" s="446">
        <f>D53*F38/(D54*(1-EXP(-F38/D54)))</f>
        <v>5.6393974832310274</v>
      </c>
      <c r="E55" s="447" t="s">
        <v>107</v>
      </c>
      <c r="F55" s="436"/>
      <c r="G55" s="407"/>
    </row>
    <row r="56" spans="1:7" x14ac:dyDescent="0.25">
      <c r="A56" s="408"/>
      <c r="B56" s="448" t="s">
        <v>346</v>
      </c>
      <c r="C56" s="449" t="s">
        <v>112</v>
      </c>
      <c r="D56" s="450">
        <f>(1/D55)*(D49*0.000001/(D21*0.000000000001))</f>
        <v>1412.2752432367943</v>
      </c>
      <c r="E56" s="451" t="s">
        <v>107</v>
      </c>
      <c r="F56" s="436"/>
      <c r="G56" s="407"/>
    </row>
    <row r="57" spans="1:7" ht="15.75" x14ac:dyDescent="0.25">
      <c r="A57" s="408"/>
      <c r="B57" s="430" t="s">
        <v>113</v>
      </c>
      <c r="C57" s="410" t="s">
        <v>114</v>
      </c>
      <c r="D57" s="452">
        <f>(1/D55)*SQRT(D49*0.000001/((D21+D42)*0.000000000001))</f>
        <v>15.709049950874821</v>
      </c>
      <c r="E57" s="382"/>
      <c r="F57" s="436"/>
      <c r="G57" s="407"/>
    </row>
    <row r="58" spans="1:7" x14ac:dyDescent="0.25">
      <c r="A58" s="408"/>
      <c r="B58" s="409" t="s">
        <v>115</v>
      </c>
      <c r="C58" s="410" t="s">
        <v>116</v>
      </c>
      <c r="D58" s="426">
        <f>1/(2*PI()*SQRT(D49*0.000001*D42*0.000000000001))/1000000</f>
        <v>54.266551949079648</v>
      </c>
      <c r="E58" s="382" t="s">
        <v>0</v>
      </c>
      <c r="F58" s="436"/>
      <c r="G58" s="407"/>
    </row>
    <row r="59" spans="1:7" ht="18.75" x14ac:dyDescent="0.3">
      <c r="A59" s="408"/>
      <c r="B59" s="380" t="s">
        <v>520</v>
      </c>
      <c r="C59" s="453" t="s">
        <v>521</v>
      </c>
      <c r="D59" s="353">
        <v>0.5</v>
      </c>
      <c r="E59" s="454" t="s">
        <v>40</v>
      </c>
      <c r="F59" s="455"/>
      <c r="G59" s="456"/>
    </row>
    <row r="60" spans="1:7" hidden="1" x14ac:dyDescent="0.25">
      <c r="A60" s="408"/>
      <c r="B60" s="314" t="s">
        <v>522</v>
      </c>
      <c r="C60" s="381"/>
      <c r="D60" s="457">
        <f>D59/D25</f>
        <v>0.125</v>
      </c>
      <c r="E60" s="458"/>
      <c r="F60" s="457"/>
      <c r="G60" s="384"/>
    </row>
    <row r="61" spans="1:7" hidden="1" x14ac:dyDescent="0.25">
      <c r="A61" s="408"/>
      <c r="B61" s="314" t="s">
        <v>523</v>
      </c>
      <c r="C61" s="381"/>
      <c r="D61" s="457">
        <f xml:space="preserve"> 12.413*D60^4 - 11.107*D60^3 - 1.1159*D60^2 + 3.6107*D60+ 0.0669</f>
        <v>0.48213872070312502</v>
      </c>
      <c r="E61" s="458"/>
      <c r="F61" s="457"/>
      <c r="G61" s="384"/>
    </row>
    <row r="62" spans="1:7" hidden="1" x14ac:dyDescent="0.25">
      <c r="A62" s="408"/>
      <c r="B62" s="314" t="s">
        <v>524</v>
      </c>
      <c r="C62" s="381"/>
      <c r="D62" s="457">
        <f>MIN(D61,1)</f>
        <v>0.48213872070312502</v>
      </c>
      <c r="E62" s="458"/>
      <c r="F62" s="457"/>
      <c r="G62" s="384"/>
    </row>
    <row r="63" spans="1:7" hidden="1" x14ac:dyDescent="0.25">
      <c r="A63" s="408"/>
      <c r="B63" s="459" t="s">
        <v>525</v>
      </c>
      <c r="C63" s="460"/>
      <c r="D63" s="461">
        <v>1</v>
      </c>
      <c r="E63" s="462"/>
      <c r="F63" s="457"/>
      <c r="G63" s="384"/>
    </row>
    <row r="64" spans="1:7" hidden="1" x14ac:dyDescent="0.25">
      <c r="A64" s="408"/>
      <c r="B64" s="459" t="s">
        <v>526</v>
      </c>
      <c r="C64" s="460"/>
      <c r="D64" s="314">
        <f xml:space="preserve"> 4.0204*D60^5 - 13.839*D60^4 + 18.502*D60^3 - 12.097*D60^2 + 3.9604*D60 + 0.4499</f>
        <v>0.78881512451171876</v>
      </c>
      <c r="E64" s="462"/>
      <c r="F64" s="457"/>
      <c r="G64" s="384"/>
    </row>
    <row r="65" spans="1:21" hidden="1" x14ac:dyDescent="0.25">
      <c r="A65" s="408"/>
      <c r="B65" s="459" t="s">
        <v>527</v>
      </c>
      <c r="C65" s="460"/>
      <c r="D65" s="314">
        <f>IF(D64&lt;0.1,0.1,IF(D64&gt;1,1,D64))</f>
        <v>0.78881512451171876</v>
      </c>
      <c r="E65" s="462"/>
      <c r="F65" s="457"/>
      <c r="G65" s="384"/>
    </row>
    <row r="66" spans="1:21" ht="18.75" x14ac:dyDescent="0.3">
      <c r="A66" s="408"/>
      <c r="B66" s="463" t="s">
        <v>528</v>
      </c>
      <c r="C66" s="464" t="s">
        <v>529</v>
      </c>
      <c r="D66" s="465">
        <f>D65*D49</f>
        <v>1.6962546276861288</v>
      </c>
      <c r="E66" s="432" t="s">
        <v>99</v>
      </c>
      <c r="F66" s="457"/>
      <c r="G66" s="384"/>
    </row>
    <row r="67" spans="1:21" ht="18.75" x14ac:dyDescent="0.3">
      <c r="A67" s="408"/>
      <c r="B67" s="463" t="s">
        <v>530</v>
      </c>
      <c r="C67" s="464" t="s">
        <v>531</v>
      </c>
      <c r="D67" s="465">
        <f>1000/(2*PI()*SQRT(D21*D66))</f>
        <v>7.4369134425818695</v>
      </c>
      <c r="E67" s="466" t="s">
        <v>0</v>
      </c>
      <c r="F67" s="457"/>
      <c r="G67" s="384"/>
    </row>
    <row r="68" spans="1:21" ht="18.75" x14ac:dyDescent="0.3">
      <c r="A68" s="408"/>
      <c r="B68" s="467" t="s">
        <v>532</v>
      </c>
      <c r="C68" s="464" t="s">
        <v>533</v>
      </c>
      <c r="D68" s="468">
        <f>0.001*D56*D62/D63</f>
        <v>0.68091257905488267</v>
      </c>
      <c r="E68" s="469" t="s">
        <v>300</v>
      </c>
      <c r="F68" s="457"/>
      <c r="G68" s="384" t="s">
        <v>538</v>
      </c>
    </row>
    <row r="69" spans="1:21" x14ac:dyDescent="0.25">
      <c r="B69" s="312" t="s">
        <v>534</v>
      </c>
      <c r="C69" s="470" t="s">
        <v>535</v>
      </c>
      <c r="D69" s="471">
        <f>(D68)*SQRT(D21/D66)</f>
        <v>8.59068345466072</v>
      </c>
      <c r="E69" s="462"/>
      <c r="F69" s="457"/>
      <c r="G69" s="384"/>
    </row>
    <row r="70" spans="1:21" x14ac:dyDescent="0.25">
      <c r="B70" s="472"/>
      <c r="C70" s="472"/>
      <c r="D70" s="473"/>
      <c r="E70" s="473"/>
    </row>
    <row r="72" spans="1:21" ht="15.75" x14ac:dyDescent="0.25">
      <c r="B72" s="474"/>
      <c r="C72" s="475"/>
      <c r="D72" s="475"/>
      <c r="E72" s="475"/>
    </row>
    <row r="74" spans="1:21" x14ac:dyDescent="0.25">
      <c r="D74" s="476"/>
    </row>
    <row r="75" spans="1:21" x14ac:dyDescent="0.25">
      <c r="D75" s="476"/>
    </row>
    <row r="76" spans="1:21" x14ac:dyDescent="0.25">
      <c r="D76" s="476"/>
    </row>
    <row r="77" spans="1:21" s="366" customFormat="1" x14ac:dyDescent="0.25">
      <c r="B77" s="2"/>
      <c r="C77" s="2"/>
      <c r="D77" s="476"/>
      <c r="G77" s="369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s="366" customFormat="1" x14ac:dyDescent="0.25">
      <c r="B78" s="2"/>
      <c r="C78" s="2"/>
      <c r="D78" s="476"/>
      <c r="G78" s="369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s="366" customFormat="1" x14ac:dyDescent="0.25">
      <c r="B79" s="2"/>
      <c r="C79" s="2"/>
      <c r="D79" s="476"/>
      <c r="G79" s="369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</sheetData>
  <sheetProtection sheet="1" objects="1" scenarios="1"/>
  <mergeCells count="7">
    <mergeCell ref="R48:T48"/>
    <mergeCell ref="B19:G19"/>
    <mergeCell ref="J35:U35"/>
    <mergeCell ref="J36:L38"/>
    <mergeCell ref="M36:T36"/>
    <mergeCell ref="U36:U38"/>
    <mergeCell ref="J39:J46"/>
  </mergeCells>
  <conditionalFormatting sqref="D31">
    <cfRule type="expression" dxfId="15" priority="16">
      <formula>$D$22&gt;1</formula>
    </cfRule>
  </conditionalFormatting>
  <conditionalFormatting sqref="D32 M41:O41">
    <cfRule type="expression" dxfId="14" priority="15">
      <formula>$D$22&gt;2</formula>
    </cfRule>
  </conditionalFormatting>
  <conditionalFormatting sqref="D33 M42:P42">
    <cfRule type="expression" dxfId="13" priority="14">
      <formula>$D$22&gt;3</formula>
    </cfRule>
  </conditionalFormatting>
  <conditionalFormatting sqref="D34 M43:Q43">
    <cfRule type="expression" dxfId="12" priority="13">
      <formula>$D$22&gt;4</formula>
    </cfRule>
  </conditionalFormatting>
  <conditionalFormatting sqref="D35 M44:R44">
    <cfRule type="expression" dxfId="11" priority="12">
      <formula>$D$22&gt;5</formula>
    </cfRule>
  </conditionalFormatting>
  <conditionalFormatting sqref="D36 M45:S45">
    <cfRule type="expression" dxfId="10" priority="11">
      <formula>$D$22&gt;6</formula>
    </cfRule>
  </conditionalFormatting>
  <conditionalFormatting sqref="D37 M46:T47">
    <cfRule type="expression" dxfId="9" priority="10">
      <formula>$D$22&gt;7</formula>
    </cfRule>
  </conditionalFormatting>
  <conditionalFormatting sqref="M39">
    <cfRule type="expression" dxfId="8" priority="9">
      <formula>$D$22&gt;0</formula>
    </cfRule>
  </conditionalFormatting>
  <conditionalFormatting sqref="N39 M40:N40">
    <cfRule type="expression" dxfId="7" priority="8">
      <formula>$D$22&gt;1</formula>
    </cfRule>
  </conditionalFormatting>
  <conditionalFormatting sqref="O39:O40">
    <cfRule type="expression" dxfId="6" priority="7">
      <formula>$D$22&gt;2</formula>
    </cfRule>
  </conditionalFormatting>
  <conditionalFormatting sqref="P39:P41">
    <cfRule type="expression" dxfId="5" priority="6">
      <formula>$D$22&gt;3</formula>
    </cfRule>
  </conditionalFormatting>
  <conditionalFormatting sqref="Q39:Q42">
    <cfRule type="expression" dxfId="4" priority="5">
      <formula>$D$22&gt;4</formula>
    </cfRule>
  </conditionalFormatting>
  <conditionalFormatting sqref="R39:R43">
    <cfRule type="expression" dxfId="3" priority="4">
      <formula>$D$22&gt;5</formula>
    </cfRule>
  </conditionalFormatting>
  <conditionalFormatting sqref="S39:S44">
    <cfRule type="expression" dxfId="2" priority="3">
      <formula>$D$22&gt;6</formula>
    </cfRule>
  </conditionalFormatting>
  <conditionalFormatting sqref="T39:T45">
    <cfRule type="expression" dxfId="1" priority="2">
      <formula>$D$22&gt;7</formula>
    </cfRule>
  </conditionalFormatting>
  <conditionalFormatting sqref="D47">
    <cfRule type="cellIs" dxfId="0" priority="1" operator="lessThan">
      <formula>0</formula>
    </cfRule>
  </conditionalFormatting>
  <dataValidations count="11">
    <dataValidation showInputMessage="1" showErrorMessage="1" sqref="E44:E45"/>
    <dataValidation type="list" allowBlank="1" showInputMessage="1" showErrorMessage="1" errorTitle="Too Many layers" error="This tool can only calculate up to 8 Layers." sqref="D22">
      <formula1>"1,2,3,4,5,6,7,8"</formula1>
    </dataValidation>
    <dataValidation type="list" showInputMessage="1" showErrorMessage="1" sqref="E38">
      <formula1>"mm,mil,oz-Cu"</formula1>
    </dataValidation>
    <dataValidation type="list" showInputMessage="1" showErrorMessage="1" sqref="E47 E29:E37 E24">
      <formula1>"mm,mil"</formula1>
    </dataValidation>
    <dataValidation type="decimal" operator="greaterThan" allowBlank="1" showInputMessage="1" showErrorMessage="1" sqref="D23">
      <formula1>0.1</formula1>
    </dataValidation>
    <dataValidation type="list" errorStyle="information" allowBlank="1" showInputMessage="1" showErrorMessage="1" errorTitle="Capacitor" error="1.68e-8 is appropriate value for copper traces." sqref="D39">
      <formula1>"1.68e-8"</formula1>
    </dataValidation>
    <dataValidation type="list" errorStyle="information" allowBlank="1" showInputMessage="1" showErrorMessage="1" errorTitle="USe appropriate value" error="PCB traces should use 0.393 for copper." sqref="D40">
      <formula1>"0.393"</formula1>
    </dataValidation>
    <dataValidation type="decimal" operator="greaterThanOrEqual" allowBlank="1" showInputMessage="1" showErrorMessage="1" sqref="D42">
      <formula1>0</formula1>
    </dataValidation>
    <dataValidation type="list" errorStyle="information" allowBlank="1" showInputMessage="1" showErrorMessage="1" errorTitle="Set appropriate vale" error="For Copper PCBs, 1.00 is appropriate value." sqref="D41">
      <formula1>"1.0"</formula1>
    </dataValidation>
    <dataValidation type="list" showInputMessage="1" showErrorMessage="1" sqref="E25:E28">
      <formula1>"mm"</formula1>
    </dataValidation>
    <dataValidation type="decimal" operator="greaterThanOrEqual" allowBlank="1" showInputMessage="1" showErrorMessage="1" errorTitle="Incorrect value" error="This value cannot be less than 1.0" sqref="D26">
      <formula1>1</formula1>
    </dataValidation>
  </dataValidations>
  <hyperlinks>
    <hyperlink ref="G2" location="Contents!A1" display="Return to Main page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37889" r:id="rId4">
          <objectPr defaultSize="0" autoPict="0" r:id="rId5">
            <anchor moveWithCells="1">
              <from>
                <xdr:col>1</xdr:col>
                <xdr:colOff>419100</xdr:colOff>
                <xdr:row>5</xdr:row>
                <xdr:rowOff>38100</xdr:rowOff>
              </from>
              <to>
                <xdr:col>4</xdr:col>
                <xdr:colOff>228600</xdr:colOff>
                <xdr:row>13</xdr:row>
                <xdr:rowOff>76200</xdr:rowOff>
              </to>
            </anchor>
          </objectPr>
        </oleObject>
      </mc:Choice>
      <mc:Fallback>
        <oleObject progId="Visio.Drawing.11" shapeId="3788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 tint="0.59999389629810485"/>
  </sheetPr>
  <dimension ref="B2:U69"/>
  <sheetViews>
    <sheetView showGridLines="0" showRowColHeaders="0" topLeftCell="A4" zoomScale="85" zoomScaleNormal="85" workbookViewId="0">
      <selection activeCell="D28" sqref="D28"/>
    </sheetView>
  </sheetViews>
  <sheetFormatPr defaultRowHeight="15" x14ac:dyDescent="0.25"/>
  <cols>
    <col min="1" max="1" width="6.7109375" customWidth="1"/>
    <col min="2" max="2" width="42.140625" customWidth="1"/>
    <col min="4" max="4" width="13.7109375" style="11" customWidth="1"/>
    <col min="5" max="5" width="8.5703125" style="11" customWidth="1"/>
    <col min="6" max="6" width="21.140625" style="11" hidden="1" customWidth="1"/>
    <col min="7" max="7" width="44.85546875" style="12" customWidth="1"/>
    <col min="10" max="10" width="3.140625" customWidth="1"/>
    <col min="11" max="11" width="3.85546875" customWidth="1"/>
    <col min="12" max="12" width="8.5703125" customWidth="1"/>
    <col min="13" max="13" width="8.85546875" customWidth="1"/>
    <col min="14" max="14" width="7.42578125" customWidth="1"/>
    <col min="15" max="15" width="8.28515625" customWidth="1"/>
    <col min="16" max="16" width="8" customWidth="1"/>
    <col min="17" max="17" width="8.140625" customWidth="1"/>
    <col min="18" max="18" width="9" customWidth="1"/>
    <col min="19" max="19" width="9.140625" customWidth="1"/>
    <col min="20" max="20" width="8.5703125" customWidth="1"/>
    <col min="21" max="21" width="11.42578125" customWidth="1"/>
  </cols>
  <sheetData>
    <row r="2" spans="2:8" ht="18.75" x14ac:dyDescent="0.3">
      <c r="B2" s="4" t="s">
        <v>335</v>
      </c>
      <c r="G2" s="126" t="s">
        <v>252</v>
      </c>
      <c r="H2" t="s">
        <v>117</v>
      </c>
    </row>
    <row r="3" spans="2:8" x14ac:dyDescent="0.25">
      <c r="B3" s="13" t="s">
        <v>20</v>
      </c>
    </row>
    <row r="4" spans="2:8" ht="18.75" x14ac:dyDescent="0.3">
      <c r="G4" s="14" t="s">
        <v>21</v>
      </c>
    </row>
    <row r="16" spans="2:8" x14ac:dyDescent="0.25">
      <c r="B16" s="207" t="s">
        <v>22</v>
      </c>
      <c r="C16" s="58"/>
    </row>
    <row r="17" spans="2:21" x14ac:dyDescent="0.25">
      <c r="B17" s="15" t="s">
        <v>23</v>
      </c>
      <c r="C17" s="16"/>
    </row>
    <row r="18" spans="2:21" ht="15.75" thickBot="1" x14ac:dyDescent="0.3"/>
    <row r="19" spans="2:21" ht="16.5" thickTop="1" x14ac:dyDescent="0.25">
      <c r="B19" s="549" t="s">
        <v>24</v>
      </c>
      <c r="C19" s="550"/>
      <c r="D19" s="550"/>
      <c r="E19" s="550"/>
      <c r="F19" s="551"/>
      <c r="G19" s="552"/>
    </row>
    <row r="20" spans="2:21" ht="15.75" x14ac:dyDescent="0.25">
      <c r="B20" s="17" t="s">
        <v>25</v>
      </c>
      <c r="C20" s="17" t="s">
        <v>26</v>
      </c>
      <c r="D20" s="349">
        <v>25</v>
      </c>
      <c r="E20" s="124" t="s">
        <v>27</v>
      </c>
      <c r="F20" s="17"/>
      <c r="G20" s="18" t="s">
        <v>28</v>
      </c>
    </row>
    <row r="21" spans="2:21" ht="18.75" x14ac:dyDescent="0.3">
      <c r="B21" s="17" t="s">
        <v>446</v>
      </c>
      <c r="C21" s="17" t="s">
        <v>29</v>
      </c>
      <c r="D21" s="350">
        <v>200</v>
      </c>
      <c r="E21" s="124" t="s">
        <v>30</v>
      </c>
      <c r="F21" s="17"/>
      <c r="G21" s="18" t="s">
        <v>31</v>
      </c>
      <c r="I21" s="19"/>
    </row>
    <row r="22" spans="2:21" ht="18.75" x14ac:dyDescent="0.3">
      <c r="B22" s="20" t="s">
        <v>32</v>
      </c>
      <c r="C22" s="20" t="s">
        <v>33</v>
      </c>
      <c r="D22" s="351">
        <v>4</v>
      </c>
      <c r="E22" s="124" t="s">
        <v>32</v>
      </c>
      <c r="F22" s="17"/>
      <c r="G22" s="18" t="s">
        <v>34</v>
      </c>
    </row>
    <row r="23" spans="2:21" ht="18.75" x14ac:dyDescent="0.3">
      <c r="B23" s="21" t="s">
        <v>35</v>
      </c>
      <c r="C23" s="21" t="s">
        <v>36</v>
      </c>
      <c r="D23" s="352">
        <v>8</v>
      </c>
      <c r="E23" s="125" t="s">
        <v>35</v>
      </c>
      <c r="F23" s="22"/>
      <c r="G23" s="23" t="s">
        <v>37</v>
      </c>
    </row>
    <row r="24" spans="2:21" ht="18.75" x14ac:dyDescent="0.3">
      <c r="B24" s="21" t="s">
        <v>38</v>
      </c>
      <c r="C24" s="21" t="s">
        <v>39</v>
      </c>
      <c r="D24" s="353">
        <v>5.22</v>
      </c>
      <c r="E24" s="354" t="s">
        <v>40</v>
      </c>
      <c r="F24" s="167"/>
      <c r="G24" s="23" t="s">
        <v>41</v>
      </c>
    </row>
    <row r="25" spans="2:21" ht="18.75" hidden="1" x14ac:dyDescent="0.3">
      <c r="B25" s="21" t="s">
        <v>367</v>
      </c>
      <c r="C25" s="21"/>
      <c r="D25" s="355">
        <f>IF(E24="mm",D24,D24*0.0254)</f>
        <v>5.22</v>
      </c>
      <c r="E25" s="356" t="s">
        <v>40</v>
      </c>
      <c r="F25" s="167"/>
      <c r="G25" s="23"/>
    </row>
    <row r="26" spans="2:21" ht="18.75" x14ac:dyDescent="0.3">
      <c r="B26" s="21" t="s">
        <v>44</v>
      </c>
      <c r="C26" s="21" t="s">
        <v>45</v>
      </c>
      <c r="D26" s="358">
        <v>0.1</v>
      </c>
      <c r="E26" s="354" t="s">
        <v>40</v>
      </c>
      <c r="F26" s="167">
        <f t="shared" ref="F26:F34" si="0">IF(E26="mm",D26,D26*0.0254)</f>
        <v>0.1</v>
      </c>
      <c r="G26" s="23" t="s">
        <v>47</v>
      </c>
    </row>
    <row r="27" spans="2:21" ht="18.75" x14ac:dyDescent="0.3">
      <c r="B27" s="21" t="s">
        <v>48</v>
      </c>
      <c r="C27" s="21" t="s">
        <v>49</v>
      </c>
      <c r="D27" s="358">
        <v>0.10199999999999999</v>
      </c>
      <c r="E27" s="354" t="s">
        <v>40</v>
      </c>
      <c r="F27" s="167">
        <f t="shared" si="0"/>
        <v>0.10199999999999999</v>
      </c>
      <c r="G27" s="23" t="s">
        <v>50</v>
      </c>
    </row>
    <row r="28" spans="2:21" x14ac:dyDescent="0.25">
      <c r="B28" s="21" t="s">
        <v>235</v>
      </c>
      <c r="C28" s="21" t="s">
        <v>242</v>
      </c>
      <c r="D28" s="359">
        <v>0.32</v>
      </c>
      <c r="E28" s="354" t="s">
        <v>40</v>
      </c>
      <c r="F28" s="167">
        <f t="shared" si="0"/>
        <v>0.32</v>
      </c>
      <c r="G28" s="23" t="s">
        <v>51</v>
      </c>
    </row>
    <row r="29" spans="2:21" x14ac:dyDescent="0.25">
      <c r="B29" s="21" t="s">
        <v>236</v>
      </c>
      <c r="C29" s="21" t="s">
        <v>243</v>
      </c>
      <c r="D29" s="359">
        <v>0.32</v>
      </c>
      <c r="E29" s="354" t="s">
        <v>40</v>
      </c>
      <c r="F29" s="167">
        <f t="shared" si="0"/>
        <v>0.32</v>
      </c>
      <c r="G29" s="23" t="s">
        <v>52</v>
      </c>
    </row>
    <row r="30" spans="2:21" x14ac:dyDescent="0.25">
      <c r="B30" s="21" t="s">
        <v>237</v>
      </c>
      <c r="C30" s="21" t="s">
        <v>244</v>
      </c>
      <c r="D30" s="359">
        <v>0.32</v>
      </c>
      <c r="E30" s="354" t="s">
        <v>40</v>
      </c>
      <c r="F30" s="167">
        <f t="shared" si="0"/>
        <v>0.32</v>
      </c>
      <c r="G30" s="23" t="s">
        <v>53</v>
      </c>
    </row>
    <row r="31" spans="2:21" ht="15.75" thickBot="1" x14ac:dyDescent="0.3">
      <c r="B31" s="21" t="s">
        <v>238</v>
      </c>
      <c r="C31" s="21" t="s">
        <v>245</v>
      </c>
      <c r="D31" s="359">
        <v>8</v>
      </c>
      <c r="E31" s="354" t="s">
        <v>40</v>
      </c>
      <c r="F31" s="167">
        <f t="shared" si="0"/>
        <v>8</v>
      </c>
      <c r="G31" s="23" t="s">
        <v>54</v>
      </c>
    </row>
    <row r="32" spans="2:21" ht="16.5" thickTop="1" thickBot="1" x14ac:dyDescent="0.3">
      <c r="B32" s="21" t="s">
        <v>239</v>
      </c>
      <c r="C32" s="21" t="s">
        <v>246</v>
      </c>
      <c r="D32" s="359">
        <v>8</v>
      </c>
      <c r="E32" s="354" t="s">
        <v>40</v>
      </c>
      <c r="F32" s="167">
        <f t="shared" si="0"/>
        <v>8</v>
      </c>
      <c r="G32" s="23" t="s">
        <v>55</v>
      </c>
      <c r="J32" s="553" t="s">
        <v>56</v>
      </c>
      <c r="K32" s="554"/>
      <c r="L32" s="554"/>
      <c r="M32" s="554"/>
      <c r="N32" s="554"/>
      <c r="O32" s="554"/>
      <c r="P32" s="554"/>
      <c r="Q32" s="554"/>
      <c r="R32" s="554"/>
      <c r="S32" s="554"/>
      <c r="T32" s="554"/>
      <c r="U32" s="555"/>
    </row>
    <row r="33" spans="2:21" ht="16.5" thickTop="1" thickBot="1" x14ac:dyDescent="0.3">
      <c r="B33" s="21" t="s">
        <v>240</v>
      </c>
      <c r="C33" s="21" t="s">
        <v>247</v>
      </c>
      <c r="D33" s="359">
        <f t="shared" ref="D33:D34" si="1">62*0.0254</f>
        <v>1.5748</v>
      </c>
      <c r="E33" s="354" t="s">
        <v>40</v>
      </c>
      <c r="F33" s="167">
        <f t="shared" si="0"/>
        <v>1.5748</v>
      </c>
      <c r="G33" s="23" t="s">
        <v>57</v>
      </c>
      <c r="J33" s="556" t="s">
        <v>58</v>
      </c>
      <c r="K33" s="557"/>
      <c r="L33" s="557"/>
      <c r="M33" s="560" t="s">
        <v>59</v>
      </c>
      <c r="N33" s="560"/>
      <c r="O33" s="560"/>
      <c r="P33" s="560"/>
      <c r="Q33" s="560"/>
      <c r="R33" s="560"/>
      <c r="S33" s="560"/>
      <c r="T33" s="560"/>
      <c r="U33" s="561" t="s">
        <v>60</v>
      </c>
    </row>
    <row r="34" spans="2:21" ht="15.75" thickBot="1" x14ac:dyDescent="0.3">
      <c r="B34" s="21" t="s">
        <v>241</v>
      </c>
      <c r="C34" s="21" t="s">
        <v>248</v>
      </c>
      <c r="D34" s="359">
        <f t="shared" si="1"/>
        <v>1.5748</v>
      </c>
      <c r="E34" s="354" t="s">
        <v>40</v>
      </c>
      <c r="F34" s="167">
        <f t="shared" si="0"/>
        <v>1.5748</v>
      </c>
      <c r="G34" s="23" t="s">
        <v>61</v>
      </c>
      <c r="J34" s="558"/>
      <c r="K34" s="559"/>
      <c r="L34" s="559"/>
      <c r="M34" s="172" t="s">
        <v>62</v>
      </c>
      <c r="N34" s="172" t="s">
        <v>63</v>
      </c>
      <c r="O34" s="172" t="s">
        <v>64</v>
      </c>
      <c r="P34" s="172" t="s">
        <v>65</v>
      </c>
      <c r="Q34" s="172" t="s">
        <v>66</v>
      </c>
      <c r="R34" s="172" t="s">
        <v>67</v>
      </c>
      <c r="S34" s="172" t="s">
        <v>68</v>
      </c>
      <c r="T34" s="172" t="s">
        <v>69</v>
      </c>
      <c r="U34" s="562"/>
    </row>
    <row r="35" spans="2:21" ht="15.75" thickBot="1" x14ac:dyDescent="0.3">
      <c r="B35" s="21" t="s">
        <v>70</v>
      </c>
      <c r="C35" s="21" t="s">
        <v>71</v>
      </c>
      <c r="D35" s="360">
        <v>3.5999999999999997E-2</v>
      </c>
      <c r="E35" s="354" t="s">
        <v>40</v>
      </c>
      <c r="F35" s="168">
        <f>IF(E35="mm",D35, IF(E35="mil",D35*0.0254,D35*0.0347))</f>
        <v>3.5999999999999997E-2</v>
      </c>
      <c r="G35" s="23" t="s">
        <v>73</v>
      </c>
      <c r="J35" s="558"/>
      <c r="K35" s="559"/>
      <c r="L35" s="559"/>
      <c r="M35" s="172">
        <v>0</v>
      </c>
      <c r="N35" s="172">
        <f>M35+F28</f>
        <v>0.32</v>
      </c>
      <c r="O35" s="172">
        <f>N35+F29</f>
        <v>0.64</v>
      </c>
      <c r="P35" s="172">
        <f>O35+F30</f>
        <v>0.96</v>
      </c>
      <c r="Q35" s="172">
        <f>P35+F31</f>
        <v>8.9600000000000009</v>
      </c>
      <c r="R35" s="172">
        <f>Q35+F32</f>
        <v>16.96</v>
      </c>
      <c r="S35" s="172">
        <f>R35+F33</f>
        <v>18.534800000000001</v>
      </c>
      <c r="T35" s="172">
        <f>S35+F34</f>
        <v>20.1096</v>
      </c>
      <c r="U35" s="562"/>
    </row>
    <row r="36" spans="2:21" ht="15.75" thickBot="1" x14ac:dyDescent="0.3">
      <c r="B36" s="111" t="s">
        <v>74</v>
      </c>
      <c r="C36" s="111" t="s">
        <v>75</v>
      </c>
      <c r="D36" s="493">
        <v>1.6800000000000002E-8</v>
      </c>
      <c r="E36" s="112" t="s">
        <v>76</v>
      </c>
      <c r="F36" s="169"/>
      <c r="G36" s="110"/>
      <c r="J36" s="563" t="s">
        <v>77</v>
      </c>
      <c r="K36" s="172" t="s">
        <v>62</v>
      </c>
      <c r="L36" s="172">
        <f>M35</f>
        <v>0</v>
      </c>
      <c r="M36" s="24">
        <f>IF($D$22&gt;0,1,0)</f>
        <v>1</v>
      </c>
      <c r="N36" s="24">
        <f>IF($D$22&gt;1,1.5625*$D$23^2/((0.184*ABS(N$35-$L36)^3-0.525*(N$35-$L36)^2+1.038*ABS(N$35-$L36)+1.001)*(1.67*$D$23^2-5.84*$D$23+65)),0)</f>
        <v>0.62156456336077648</v>
      </c>
      <c r="O36" s="24">
        <f>IF($D$22&gt;2,1.5625*$D$23^2/((0.184*ABS(O$35-$L36)^3-0.525*(O$35-$L36)^2+1.038*ABS(O$35-$L36)+1.001)*(1.67*$D$23^2-5.84*$D$23+65)),0)</f>
        <v>0.53317956628190211</v>
      </c>
      <c r="P36" s="24">
        <f>IF($D$22&gt;3,1.5625*$D$23^2/((0.184*ABS(P$35-$L36)^3-0.525*(P$35-$L36)^2+1.038*ABS(P$35-$L36)+1.001)*(1.67*$D$23^2-5.84*$D$23+65)),0)</f>
        <v>0.47659409004517866</v>
      </c>
      <c r="Q36" s="24">
        <f>IF($D$22&gt;4,1.5625*$D$23^2/((0.184*ABS(Q$35-$L36)^3-0.525*(Q$35-$L36)^2+1.038*ABS(Q$35-$L36)+1.001)*(1.67*$D$23^2-5.84*$D$23+65)),0)</f>
        <v>0</v>
      </c>
      <c r="R36" s="24">
        <f>IF($D$22&gt;5,1.5625*$D$23^2/((0.184*ABS(R$35-$L36)^3-0.525*(R$35-$L36)^2+1.038*ABS(R$35-$L36)+1.001)*(1.67*$D$23^2-5.84*$D$23+65)),0)</f>
        <v>0</v>
      </c>
      <c r="S36" s="24">
        <f t="shared" ref="S36:S41" si="2">IF($D$22&gt;6,1.5625*$D$23^2/((0.184*ABS(S$35-$L36)^3-0.525*(S$35-$L36)^2+1.038*ABS(S$35-$L36)+1.001)*(1.67*$D$23^2-5.84*$D$23+65)),0)</f>
        <v>0</v>
      </c>
      <c r="T36" s="24">
        <f t="shared" ref="T36:T42" si="3">IF($D$22&gt;7,1.5625*$D$23^2/((0.184*ABS(T$35-$L36)^3-0.525*(T$35-$L36)^2+1.038*ABS(T$35-$L36)+1.001)*(1.67*$D$23^2-5.84*$D$23+65)),0)</f>
        <v>0</v>
      </c>
      <c r="U36" s="25">
        <f>SUM(M36:T36)*$D$45</f>
        <v>0.6639858328925683</v>
      </c>
    </row>
    <row r="37" spans="2:21" ht="15.75" thickBot="1" x14ac:dyDescent="0.3">
      <c r="B37" s="111" t="s">
        <v>318</v>
      </c>
      <c r="C37" s="111" t="s">
        <v>78</v>
      </c>
      <c r="D37" s="494">
        <v>0.39300000000000002</v>
      </c>
      <c r="E37" s="112" t="s">
        <v>79</v>
      </c>
      <c r="F37" s="169"/>
      <c r="G37" s="110"/>
      <c r="J37" s="563"/>
      <c r="K37" s="172" t="s">
        <v>63</v>
      </c>
      <c r="L37" s="172">
        <f>N35</f>
        <v>0.32</v>
      </c>
      <c r="M37" s="24">
        <f>IF($D$22&gt;1,1.5625*$D$23^2/((0.184*ABS(M$35-$L37)^3-0.525*(M$35-$L37)^2+1.038*ABS(M$35-$L37)+1.001)*(1.67*$D$23^2-5.84*$D$23+65)),0)</f>
        <v>0.62156456336077648</v>
      </c>
      <c r="N37" s="24">
        <f>IF($D$22&gt;1,1,0)</f>
        <v>1</v>
      </c>
      <c r="O37" s="24">
        <f>IF($D$22&gt;2,1.5625*$D$23^2/((0.184*ABS(O$35-$L37)^3-0.525*(O$35-$L37)^2+1.038*ABS(O$35-$L37)+1.001)*(1.67*$D$23^2-5.84*$D$23+65)),0)</f>
        <v>0.62156456336077648</v>
      </c>
      <c r="P37" s="24">
        <f>IF($D$22&gt;3,1.5625*$D$23^2/((0.184*ABS(P$35-$L37)^3-0.525*(P$35-$L37)^2+1.038*ABS(P$35-$L37)+1.001)*(1.67*$D$23^2-5.84*$D$23+65)),0)</f>
        <v>0.53317956628190211</v>
      </c>
      <c r="Q37" s="24">
        <f>IF($D$22&gt;4,1.5625*$D$23^2/((0.184*ABS(Q$35-$L37)^3-0.525*(Q$35-$L37)^2+1.038*ABS(Q$35-$L37)+1.001)*(1.67*$D$23^2-5.84*$D$23+65)),0)</f>
        <v>0</v>
      </c>
      <c r="R37" s="24">
        <f>IF($D$22&gt;5,1.5625*$D$23^2/((0.184*ABS(R$35-$L37)^3-0.525*(R$35-$L37)^2+1.038*ABS(R$35-$L37)+1.001)*(1.67*$D$23^2-5.84*$D$23+65)),0)</f>
        <v>0</v>
      </c>
      <c r="S37" s="24">
        <f t="shared" si="2"/>
        <v>0</v>
      </c>
      <c r="T37" s="24">
        <f t="shared" si="3"/>
        <v>0</v>
      </c>
      <c r="U37" s="25">
        <f t="shared" ref="U37:U43" si="4">SUM(M37:T37)*$D$45</f>
        <v>0.70056734862060166</v>
      </c>
    </row>
    <row r="38" spans="2:21" ht="15.75" thickBot="1" x14ac:dyDescent="0.3">
      <c r="B38" s="111" t="s">
        <v>80</v>
      </c>
      <c r="C38" s="111" t="s">
        <v>81</v>
      </c>
      <c r="D38" s="495">
        <v>1</v>
      </c>
      <c r="E38" s="112"/>
      <c r="F38" s="169"/>
      <c r="G38" s="110"/>
      <c r="J38" s="563"/>
      <c r="K38" s="172" t="s">
        <v>64</v>
      </c>
      <c r="L38" s="172">
        <f>O35</f>
        <v>0.64</v>
      </c>
      <c r="M38" s="24">
        <f>IF($D$22&gt;2,1.5625*$D$23^2/((0.184*ABS(M$35-$L38)^3-0.525*(M$35-$L38)^2+1.038*ABS(M$35-$L38)+1.001)*(1.67*$D$23^2-5.84*$D$23+65)),0)</f>
        <v>0.53317956628190211</v>
      </c>
      <c r="N38" s="24">
        <f>IF($D$22&gt;2,1.5625*$D$23^2/((0.184*ABS(N$35-$L38)^3-0.525*(N$35-$L38)^2+1.038*ABS(N$35-$L38)+1.001)*(1.67*$D$23^2-5.84*$D$23+65)),0)</f>
        <v>0.62156456336077648</v>
      </c>
      <c r="O38" s="24">
        <f>IF($D$22&gt;2,1,0)</f>
        <v>1</v>
      </c>
      <c r="P38" s="24">
        <f>IF($D$22&gt;3,1.5625*$D$23^2/((0.184*ABS(P$35-$L38)^3-0.525*(P$35-$L38)^2+1.038*ABS(P$35-$L38)+1.001)*(1.67*$D$23^2-5.84*$D$23+65)),0)</f>
        <v>0.62156456336077648</v>
      </c>
      <c r="Q38" s="24">
        <f>IF($D$22&gt;4,1.5625*$D$23^2/((0.184*ABS(Q$35-$L38)^3-0.525*(Q$35-$L38)^2+1.038*ABS(Q$35-$L38)+1.001)*(1.67*$D$23^2-5.84*$D$23+65)),0)</f>
        <v>0</v>
      </c>
      <c r="R38" s="24">
        <f>IF($D$22&gt;5,1.5625*$D$23^2/((0.184*ABS(R$35-$L38)^3-0.525*(R$35-$L38)^2+1.038*ABS(R$35-$L38)+1.001)*(1.67*$D$23^2-5.84*$D$23+65)),0)</f>
        <v>0</v>
      </c>
      <c r="S38" s="24">
        <f t="shared" si="2"/>
        <v>0</v>
      </c>
      <c r="T38" s="24">
        <f t="shared" si="3"/>
        <v>0</v>
      </c>
      <c r="U38" s="25">
        <f t="shared" si="4"/>
        <v>0.70056734862060177</v>
      </c>
    </row>
    <row r="39" spans="2:21" ht="15.75" thickBot="1" x14ac:dyDescent="0.3">
      <c r="B39" s="111" t="s">
        <v>82</v>
      </c>
      <c r="C39" s="111" t="s">
        <v>83</v>
      </c>
      <c r="D39" s="364">
        <v>4</v>
      </c>
      <c r="E39" s="112" t="s">
        <v>30</v>
      </c>
      <c r="F39" s="169"/>
      <c r="G39" s="110" t="s">
        <v>84</v>
      </c>
      <c r="J39" s="563"/>
      <c r="K39" s="172" t="s">
        <v>65</v>
      </c>
      <c r="L39" s="172">
        <f>P35</f>
        <v>0.96</v>
      </c>
      <c r="M39" s="24">
        <f>IF($D$22&gt;3,1.5625*$D$23^2/((0.184*ABS(M$35-$L39)^3-0.525*(M$35-$L39)^2+1.038*ABS(M$35-$L39)+1.001)*(1.67*$D$23^2-5.84*$D$23+65)),0)</f>
        <v>0.47659409004517866</v>
      </c>
      <c r="N39" s="24">
        <f>IF($D$22&gt;3,1.5625*$D$23^2/((0.184*ABS(N$35-$L39)^3-0.525*(N$35-$L39)^2+1.038*ABS(N$35-$L39)+1.001)*(1.67*$D$23^2-5.84*$D$23+65)),0)</f>
        <v>0.53317956628190211</v>
      </c>
      <c r="O39" s="24">
        <f>IF($D$22&gt;3,1.5625*$D$23^2/((0.184*ABS(O$35-$L39)^3-0.525*(O$35-$L39)^2+1.038*ABS(O$35-$L39)+1.001)*(1.67*$D$23^2-5.84*$D$23+65)),0)</f>
        <v>0.62156456336077648</v>
      </c>
      <c r="P39" s="24">
        <f>IF($D$22&gt;3,1,0)</f>
        <v>1</v>
      </c>
      <c r="Q39" s="24">
        <f>IF($D$22&gt;4,1.5625*$D$23^2/((0.184*ABS(Q$35-$L39)^3-0.525*(Q$35-$L39)^2+1.038*ABS(Q$35-$L39)+1.001)*(1.67*$D$23^2-5.84*$D$23+65)),0)</f>
        <v>0</v>
      </c>
      <c r="R39" s="24">
        <f>IF($D$22&gt;5,1.5625*$D$23^2/((0.184*ABS(R$35-$L39)^3-0.525*(R$35-$L39)^2+1.038*ABS(R$35-$L39)+1.001)*(1.67*$D$23^2-5.84*$D$23+65)),0)</f>
        <v>0</v>
      </c>
      <c r="S39" s="24">
        <f t="shared" si="2"/>
        <v>0</v>
      </c>
      <c r="T39" s="24">
        <f t="shared" si="3"/>
        <v>0</v>
      </c>
      <c r="U39" s="25">
        <f t="shared" si="4"/>
        <v>0.66398583289256818</v>
      </c>
    </row>
    <row r="40" spans="2:21" ht="15.75" thickBot="1" x14ac:dyDescent="0.3">
      <c r="B40" s="26" t="s">
        <v>85</v>
      </c>
      <c r="C40" s="26" t="s">
        <v>86</v>
      </c>
      <c r="D40" s="107">
        <f>D36*(1+(D37/100)*(D20-20))</f>
        <v>1.713012E-8</v>
      </c>
      <c r="E40" s="27" t="s">
        <v>87</v>
      </c>
      <c r="F40" s="167"/>
      <c r="G40" s="28"/>
      <c r="J40" s="563"/>
      <c r="K40" s="172" t="s">
        <v>66</v>
      </c>
      <c r="L40" s="172">
        <f>Q35</f>
        <v>8.9600000000000009</v>
      </c>
      <c r="M40" s="24">
        <f>IF($D$22&gt;4,1.5625*$D$23^2/((0.184*ABS(M$35-$L40)^3-0.525*(M$35-$L40)^2+1.038*ABS(M$35-$L40)+1.001)*(1.67*$D$23^2-5.84*$D$23+65)),0)</f>
        <v>0</v>
      </c>
      <c r="N40" s="24">
        <f>IF($D$22&gt;4,1.5625*$D$23^2/((0.184*ABS(N$35-$L40)^3-0.525*(N$35-$L40)^2+1.038*ABS(N$35-$L40)+1.001)*(1.67*$D$23^2-5.84*$D$23+65)),0)</f>
        <v>0</v>
      </c>
      <c r="O40" s="24">
        <f>IF($D$22&gt;4,1.5625*$D$23^2/((0.184*ABS(O$35-$L40)^3-0.525*(O$35-$L40)^2+1.038*ABS(O$35-$L40)+1.001)*(1.67*$D$23^2-5.84*$D$23+65)),0)</f>
        <v>0</v>
      </c>
      <c r="P40" s="24">
        <f>IF($D$22&gt;4,1.5625*$D$23^2/((0.184*ABS(P$35-$L40)^3-0.525*(P$35-$L40)^2+1.038*ABS(P$35-$L40)+1.001)*(1.67*$D$23^2-5.84*$D$23+65)),0)</f>
        <v>0</v>
      </c>
      <c r="Q40" s="24">
        <f>IF($D$22&gt;4,1,0)</f>
        <v>0</v>
      </c>
      <c r="R40" s="24">
        <f>IF($D$22&gt;5,1.5625*$D$23^2/((0.184*ABS(R$35-$L40)^3-0.525*(R$35-$L40)^2+1.038*ABS(R$35-$L40)+1.001)*(1.67*$D$23^2-5.84*$D$23+65)),0)</f>
        <v>0</v>
      </c>
      <c r="S40" s="24">
        <f t="shared" si="2"/>
        <v>0</v>
      </c>
      <c r="T40" s="24">
        <f t="shared" si="3"/>
        <v>0</v>
      </c>
      <c r="U40" s="25">
        <f t="shared" si="4"/>
        <v>0</v>
      </c>
    </row>
    <row r="41" spans="2:21" ht="15.75" thickBot="1" x14ac:dyDescent="0.3">
      <c r="B41" s="29" t="s">
        <v>366</v>
      </c>
      <c r="C41" s="30" t="s">
        <v>368</v>
      </c>
      <c r="D41" s="211">
        <f>F44/D25</f>
        <v>0.38045977011494247</v>
      </c>
      <c r="E41" s="206"/>
      <c r="F41" s="170"/>
      <c r="G41" s="203" t="s">
        <v>416</v>
      </c>
      <c r="J41" s="563"/>
      <c r="K41" s="172" t="s">
        <v>67</v>
      </c>
      <c r="L41" s="172">
        <f>R35</f>
        <v>16.96</v>
      </c>
      <c r="M41" s="24">
        <f>IF($D$22&gt;5,1.5625*$D$23^2/((0.184*ABS(M$35-$L41)^3-0.525*(M$35-$L41)^2+1.038*ABS(M$35-$L41)+1.001)*(1.67*$D$23^2-5.84*$D$23+65)),0)</f>
        <v>0</v>
      </c>
      <c r="N41" s="24">
        <f>IF($D$22&gt;5,1.5625*$D$23^2/((0.184*ABS(N$35-$L41)^3-0.525*(N$35-$L41)^2+1.038*ABS(N$35-$L41)+1.001)*(1.67*$D$23^2-5.84*$D$23+65)),0)</f>
        <v>0</v>
      </c>
      <c r="O41" s="24">
        <f>IF($D$22&gt;5,1.5625*$D$23^2/((0.184*ABS(O$35-$L41)^3-0.525*(O$35-$L41)^2+1.038*ABS(O$35-$L41)+1.001)*(1.67*$D$23^2-5.84*$D$23+65)),0)</f>
        <v>0</v>
      </c>
      <c r="P41" s="24">
        <f>IF($D$22&gt;5,1.5625*$D$23^2/((0.184*ABS(P$35-$L41)^3-0.525*(P$35-$L41)^2+1.038*ABS(P$35-$L41)+1.001)*(1.67*$D$23^2-5.84*$D$23+65)),0)</f>
        <v>0</v>
      </c>
      <c r="Q41" s="24">
        <f>IF($D$22&gt;5,1.5625*$D$23^2/((0.184*ABS(Q$35-$L41)^3-0.525*(Q$35-$L41)^2+1.038*ABS(Q$35-$L41)+1.001)*(1.67*$D$23^2-5.84*$D$23+65)),0)</f>
        <v>0</v>
      </c>
      <c r="R41" s="24">
        <f>IF($D$22&gt;5,1,0)</f>
        <v>0</v>
      </c>
      <c r="S41" s="24">
        <f t="shared" si="2"/>
        <v>0</v>
      </c>
      <c r="T41" s="24">
        <f t="shared" si="3"/>
        <v>0</v>
      </c>
      <c r="U41" s="25">
        <f t="shared" si="4"/>
        <v>0</v>
      </c>
    </row>
    <row r="42" spans="2:21" ht="15.75" hidden="1" thickBot="1" x14ac:dyDescent="0.3">
      <c r="B42" s="31" t="s">
        <v>88</v>
      </c>
      <c r="C42" s="32" t="s">
        <v>89</v>
      </c>
      <c r="D42" s="204">
        <f>(F44+D25)/2</f>
        <v>3.6029999999999998</v>
      </c>
      <c r="E42" s="33" t="s">
        <v>40</v>
      </c>
      <c r="F42" s="171"/>
      <c r="G42" s="35"/>
      <c r="J42" s="563"/>
      <c r="K42" s="172" t="s">
        <v>68</v>
      </c>
      <c r="L42" s="172">
        <f>S35</f>
        <v>18.534800000000001</v>
      </c>
      <c r="M42" s="24">
        <f t="shared" ref="M42:R42" si="5">IF($D$22&gt;6,1.5625*$D$23^2/((0.184*ABS(M$35-$L42)^3-0.525*(M$35-$L42)^2+1.038*ABS(M$35-$L42)+1.001)*(1.67*$D$23^2-5.84*$D$23+65)),0)</f>
        <v>0</v>
      </c>
      <c r="N42" s="24">
        <f t="shared" si="5"/>
        <v>0</v>
      </c>
      <c r="O42" s="24">
        <f t="shared" si="5"/>
        <v>0</v>
      </c>
      <c r="P42" s="24">
        <f t="shared" si="5"/>
        <v>0</v>
      </c>
      <c r="Q42" s="24">
        <f t="shared" si="5"/>
        <v>0</v>
      </c>
      <c r="R42" s="24">
        <f t="shared" si="5"/>
        <v>0</v>
      </c>
      <c r="S42" s="24">
        <f>IF($D$22&gt;6,1,0)</f>
        <v>0</v>
      </c>
      <c r="T42" s="24">
        <f t="shared" si="3"/>
        <v>0</v>
      </c>
      <c r="U42" s="25">
        <f t="shared" si="4"/>
        <v>0</v>
      </c>
    </row>
    <row r="43" spans="2:21" ht="15.75" hidden="1" thickBot="1" x14ac:dyDescent="0.3">
      <c r="B43" s="31" t="s">
        <v>90</v>
      </c>
      <c r="C43" s="32" t="s">
        <v>91</v>
      </c>
      <c r="D43" s="205">
        <f>(D25-F44)/(D25+F44)</f>
        <v>0.44879267277268947</v>
      </c>
      <c r="E43" s="33"/>
      <c r="F43" s="171"/>
      <c r="G43" s="35"/>
      <c r="J43" s="564"/>
      <c r="K43" s="173" t="s">
        <v>69</v>
      </c>
      <c r="L43" s="173">
        <f>T35</f>
        <v>20.1096</v>
      </c>
      <c r="M43" s="36">
        <f t="shared" ref="M43:S43" si="6">IF($D$22&gt;7,1.5625*$D$23^2/((0.184*ABS(M$35-$L43)^3-0.525*(M$35-$L43)^2+1.038*ABS(M$35-$L43)+1.001)*(1.67*$D$23^2-5.84*$D$23+65)),0)</f>
        <v>0</v>
      </c>
      <c r="N43" s="36">
        <f t="shared" si="6"/>
        <v>0</v>
      </c>
      <c r="O43" s="36">
        <f t="shared" si="6"/>
        <v>0</v>
      </c>
      <c r="P43" s="36">
        <f t="shared" si="6"/>
        <v>0</v>
      </c>
      <c r="Q43" s="36">
        <f t="shared" si="6"/>
        <v>0</v>
      </c>
      <c r="R43" s="36">
        <f t="shared" si="6"/>
        <v>0</v>
      </c>
      <c r="S43" s="36">
        <f t="shared" si="6"/>
        <v>0</v>
      </c>
      <c r="T43" s="36">
        <f>IF($D$22&gt;7,1,0)</f>
        <v>0</v>
      </c>
      <c r="U43" s="37">
        <f t="shared" si="4"/>
        <v>0</v>
      </c>
    </row>
    <row r="44" spans="2:21" ht="15.75" thickBot="1" x14ac:dyDescent="0.3">
      <c r="B44" s="31" t="s">
        <v>92</v>
      </c>
      <c r="C44" s="32" t="s">
        <v>42</v>
      </c>
      <c r="D44" s="100">
        <f>IF(E44="mm",F44,F44/0.0254)</f>
        <v>1.9859999999999998</v>
      </c>
      <c r="E44" s="496" t="s">
        <v>40</v>
      </c>
      <c r="F44" s="171">
        <f>D25-(2*N+1)*F27-(2*N-1)*F26</f>
        <v>1.9859999999999998</v>
      </c>
      <c r="G44" s="23" t="s">
        <v>43</v>
      </c>
      <c r="I44" s="38"/>
      <c r="J44" s="39"/>
      <c r="K44" s="40"/>
      <c r="L44" s="40"/>
      <c r="M44" s="41"/>
      <c r="N44" s="41"/>
      <c r="O44" s="41"/>
      <c r="P44" s="41"/>
      <c r="Q44" s="41"/>
      <c r="R44" s="42"/>
      <c r="S44" s="43"/>
      <c r="T44" s="43"/>
      <c r="U44" s="44"/>
    </row>
    <row r="45" spans="2:21" ht="17.25" thickTop="1" thickBot="1" x14ac:dyDescent="0.3">
      <c r="B45" s="45" t="s">
        <v>93</v>
      </c>
      <c r="C45" s="46" t="s">
        <v>94</v>
      </c>
      <c r="D45" s="101">
        <f>0.5*4*PI()*0.0001*D23*D23*D42*(LN(2.46/D43)+0.2*D43*D43)</f>
        <v>0.25233769947343887</v>
      </c>
      <c r="E45" s="47" t="s">
        <v>95</v>
      </c>
      <c r="F45" s="171"/>
      <c r="G45" s="35"/>
      <c r="J45" s="48"/>
      <c r="K45" s="48"/>
      <c r="L45" s="48"/>
      <c r="R45" s="547" t="s">
        <v>96</v>
      </c>
      <c r="S45" s="548"/>
      <c r="T45" s="548"/>
      <c r="U45" s="49">
        <f>SUM(U36:U43)</f>
        <v>2.7291063630263399</v>
      </c>
    </row>
    <row r="46" spans="2:21" ht="19.5" thickBot="1" x14ac:dyDescent="0.35">
      <c r="B46" s="114" t="s">
        <v>97</v>
      </c>
      <c r="C46" s="46" t="s">
        <v>98</v>
      </c>
      <c r="D46" s="102">
        <f>IF(D44&gt;0,U45,"Error")</f>
        <v>2.7291063630263399</v>
      </c>
      <c r="E46" s="50" t="s">
        <v>99</v>
      </c>
      <c r="F46" s="171"/>
      <c r="G46" s="51" t="str">
        <f>IF(D46="Error","Too many turns or outer diameter too small!","")</f>
        <v/>
      </c>
    </row>
    <row r="47" spans="2:21" ht="16.5" hidden="1" thickBot="1" x14ac:dyDescent="0.3">
      <c r="B47" s="114" t="s">
        <v>100</v>
      </c>
      <c r="C47" s="46"/>
      <c r="D47" s="280">
        <f>1/(2*PI()*SQRT(D46*0.000001*(D21+D39)*0.000000000001))</f>
        <v>6745199.7761092428</v>
      </c>
      <c r="E47" s="50" t="s">
        <v>1</v>
      </c>
      <c r="F47" s="171"/>
      <c r="G47" s="51"/>
    </row>
    <row r="48" spans="2:21" ht="19.5" thickBot="1" x14ac:dyDescent="0.35">
      <c r="B48" s="114" t="s">
        <v>100</v>
      </c>
      <c r="C48" s="46" t="s">
        <v>101</v>
      </c>
      <c r="D48" s="102">
        <f>IF(D47&gt;300000,D47/1000000,D47/1000)</f>
        <v>6.745199776109243</v>
      </c>
      <c r="E48" s="281" t="str">
        <f>IF(D47&gt;300000,"MHz","kHz")</f>
        <v>MHz</v>
      </c>
      <c r="F48" s="34"/>
      <c r="G48" s="51" t="str">
        <f>IF(D48&gt;(D55*1000),"Sensor Frequency is too high, reduce C","")</f>
        <v/>
      </c>
    </row>
    <row r="49" spans="2:7" ht="15.75" thickBot="1" x14ac:dyDescent="0.3">
      <c r="B49" s="115" t="s">
        <v>103</v>
      </c>
      <c r="C49" s="116" t="s">
        <v>104</v>
      </c>
      <c r="D49" s="117">
        <f>PI()*D23*(D25+F44)/2</f>
        <v>90.553266647072192</v>
      </c>
      <c r="E49" s="118" t="s">
        <v>40</v>
      </c>
      <c r="F49" s="34"/>
      <c r="G49" s="35"/>
    </row>
    <row r="50" spans="2:7" ht="15.75" thickBot="1" x14ac:dyDescent="0.3">
      <c r="B50" s="119" t="s">
        <v>105</v>
      </c>
      <c r="C50" s="120" t="s">
        <v>106</v>
      </c>
      <c r="D50" s="121">
        <f>D40*D49*0.001*D22/(F27*0.001*F35*0.001)</f>
        <v>1.689747629691007</v>
      </c>
      <c r="E50" s="122" t="s">
        <v>107</v>
      </c>
      <c r="F50" s="34"/>
      <c r="G50" s="35"/>
    </row>
    <row r="51" spans="2:7" ht="15.75" thickBot="1" x14ac:dyDescent="0.3">
      <c r="B51" s="119" t="s">
        <v>108</v>
      </c>
      <c r="C51" s="120" t="s">
        <v>109</v>
      </c>
      <c r="D51" s="121">
        <f>SQRT(D36/(3.14*4*3.14*0.0000001*D38*D47))*1000</f>
        <v>2.5130295112028994E-2</v>
      </c>
      <c r="E51" s="123" t="s">
        <v>40</v>
      </c>
      <c r="F51" s="34"/>
      <c r="G51" s="35"/>
    </row>
    <row r="52" spans="2:7" ht="15.75" thickBot="1" x14ac:dyDescent="0.3">
      <c r="B52" s="269" t="s">
        <v>110</v>
      </c>
      <c r="C52" s="120" t="s">
        <v>111</v>
      </c>
      <c r="D52" s="270">
        <f>D50*F35/(D51*(1-EXP(-F35/D51)))</f>
        <v>3.1796023681811292</v>
      </c>
      <c r="E52" s="271" t="s">
        <v>107</v>
      </c>
      <c r="F52" s="34"/>
      <c r="G52" s="35"/>
    </row>
    <row r="53" spans="2:7" ht="19.5" thickBot="1" x14ac:dyDescent="0.35">
      <c r="B53" s="114" t="s">
        <v>346</v>
      </c>
      <c r="C53" s="46" t="s">
        <v>112</v>
      </c>
      <c r="D53" s="109">
        <f>(1/D52)*(D46*0.000001/(D21*0.000000000001))</f>
        <v>4291.5843665500652</v>
      </c>
      <c r="E53" s="113" t="s">
        <v>107</v>
      </c>
      <c r="F53" s="34"/>
      <c r="G53" s="35" t="s">
        <v>347</v>
      </c>
    </row>
    <row r="54" spans="2:7" ht="16.5" thickBot="1" x14ac:dyDescent="0.3">
      <c r="B54" s="114" t="s">
        <v>113</v>
      </c>
      <c r="C54" s="46" t="s">
        <v>114</v>
      </c>
      <c r="D54" s="108">
        <f>(1/D52)*SQRT(D46*0.000001/((D21+D39)*0.000000000001))</f>
        <v>36.376619344701375</v>
      </c>
      <c r="E54" s="47"/>
      <c r="F54" s="34"/>
      <c r="G54" s="35"/>
    </row>
    <row r="55" spans="2:7" ht="15.75" thickBot="1" x14ac:dyDescent="0.3">
      <c r="B55" s="52" t="s">
        <v>115</v>
      </c>
      <c r="C55" s="53" t="s">
        <v>116</v>
      </c>
      <c r="D55" s="103">
        <f>1/(2*PI()*SQRT(D46*0.000001*D39*0.000000000001))/1000000</f>
        <v>48.170361437307427</v>
      </c>
      <c r="E55" s="54" t="s">
        <v>0</v>
      </c>
      <c r="F55" s="55"/>
      <c r="G55" s="56"/>
    </row>
    <row r="56" spans="2:7" ht="15.75" thickTop="1" x14ac:dyDescent="0.25">
      <c r="B56" s="41"/>
      <c r="C56" s="41"/>
      <c r="D56" s="57"/>
      <c r="E56" s="57"/>
      <c r="F56" s="57"/>
      <c r="G56" s="48"/>
    </row>
    <row r="57" spans="2:7" x14ac:dyDescent="0.25">
      <c r="E57" s="189"/>
    </row>
    <row r="58" spans="2:7" x14ac:dyDescent="0.25">
      <c r="B58" s="208"/>
      <c r="C58" s="208"/>
      <c r="D58" s="209"/>
      <c r="E58" s="210"/>
    </row>
    <row r="59" spans="2:7" x14ac:dyDescent="0.25">
      <c r="B59" s="208"/>
      <c r="C59" s="208"/>
      <c r="D59" s="209"/>
      <c r="E59" s="210"/>
    </row>
    <row r="60" spans="2:7" x14ac:dyDescent="0.25">
      <c r="B60" s="208"/>
      <c r="C60" s="208"/>
      <c r="D60" s="212"/>
      <c r="E60" s="210"/>
    </row>
    <row r="61" spans="2:7" x14ac:dyDescent="0.25">
      <c r="B61" s="208"/>
      <c r="C61" s="208"/>
      <c r="D61" s="210"/>
      <c r="E61" s="210"/>
    </row>
    <row r="62" spans="2:7" x14ac:dyDescent="0.25">
      <c r="B62" s="208"/>
      <c r="C62" s="208"/>
      <c r="D62" s="210"/>
      <c r="E62" s="210"/>
    </row>
    <row r="64" spans="2:7" ht="15.75" x14ac:dyDescent="0.25">
      <c r="B64" s="213"/>
      <c r="C64" s="77"/>
      <c r="D64" s="77"/>
      <c r="E64" s="77"/>
    </row>
    <row r="65" spans="2:5" x14ac:dyDescent="0.25">
      <c r="B65" s="214"/>
      <c r="C65" s="215"/>
      <c r="D65" s="300"/>
      <c r="E65" s="77"/>
    </row>
    <row r="66" spans="2:5" x14ac:dyDescent="0.25">
      <c r="B66" s="214"/>
      <c r="C66" s="215"/>
      <c r="D66" s="77"/>
      <c r="E66" s="77"/>
    </row>
    <row r="67" spans="2:5" x14ac:dyDescent="0.25">
      <c r="B67" s="214"/>
      <c r="C67" s="215"/>
      <c r="D67" s="301"/>
      <c r="E67" s="77"/>
    </row>
    <row r="68" spans="2:5" x14ac:dyDescent="0.25">
      <c r="B68" s="214"/>
      <c r="C68" s="215"/>
      <c r="D68" s="77"/>
      <c r="E68" s="77"/>
    </row>
    <row r="69" spans="2:5" x14ac:dyDescent="0.25">
      <c r="B69" s="214"/>
      <c r="C69" s="215"/>
      <c r="D69" s="77"/>
      <c r="E69" s="77"/>
    </row>
  </sheetData>
  <sheetProtection sheet="1" objects="1" scenarios="1"/>
  <mergeCells count="7">
    <mergeCell ref="R45:T45"/>
    <mergeCell ref="B19:G19"/>
    <mergeCell ref="J32:U32"/>
    <mergeCell ref="J33:L35"/>
    <mergeCell ref="M33:T33"/>
    <mergeCell ref="U33:U35"/>
    <mergeCell ref="J36:J43"/>
  </mergeCells>
  <conditionalFormatting sqref="D28">
    <cfRule type="expression" dxfId="51" priority="16">
      <formula>$D$22&gt;1</formula>
    </cfRule>
  </conditionalFormatting>
  <conditionalFormatting sqref="D29 M38:O38">
    <cfRule type="expression" dxfId="50" priority="15">
      <formula>$D$22&gt;2</formula>
    </cfRule>
  </conditionalFormatting>
  <conditionalFormatting sqref="D30 M39:P39">
    <cfRule type="expression" dxfId="49" priority="14">
      <formula>$D$22&gt;3</formula>
    </cfRule>
  </conditionalFormatting>
  <conditionalFormatting sqref="D31 M40:Q40">
    <cfRule type="expression" dxfId="48" priority="13">
      <formula>$D$22&gt;4</formula>
    </cfRule>
  </conditionalFormatting>
  <conditionalFormatting sqref="D32 M41:R41">
    <cfRule type="expression" dxfId="47" priority="12">
      <formula>$D$22&gt;5</formula>
    </cfRule>
  </conditionalFormatting>
  <conditionalFormatting sqref="D33 M42:S42">
    <cfRule type="expression" dxfId="46" priority="11">
      <formula>$D$22&gt;6</formula>
    </cfRule>
  </conditionalFormatting>
  <conditionalFormatting sqref="D34 M43:T44">
    <cfRule type="expression" dxfId="45" priority="10">
      <formula>$D$22&gt;7</formula>
    </cfRule>
  </conditionalFormatting>
  <conditionalFormatting sqref="M36">
    <cfRule type="expression" dxfId="44" priority="9">
      <formula>$D$22&gt;0</formula>
    </cfRule>
  </conditionalFormatting>
  <conditionalFormatting sqref="N36 M37:N37">
    <cfRule type="expression" dxfId="43" priority="8">
      <formula>$D$22&gt;1</formula>
    </cfRule>
  </conditionalFormatting>
  <conditionalFormatting sqref="O36:O37">
    <cfRule type="expression" dxfId="42" priority="7">
      <formula>$D$22&gt;2</formula>
    </cfRule>
  </conditionalFormatting>
  <conditionalFormatting sqref="P36:P38">
    <cfRule type="expression" dxfId="41" priority="6">
      <formula>$D$22&gt;3</formula>
    </cfRule>
  </conditionalFormatting>
  <conditionalFormatting sqref="Q36:Q39">
    <cfRule type="expression" dxfId="40" priority="5">
      <formula>$D$22&gt;4</formula>
    </cfRule>
  </conditionalFormatting>
  <conditionalFormatting sqref="R36:R40">
    <cfRule type="expression" dxfId="39" priority="4">
      <formula>$D$22&gt;5</formula>
    </cfRule>
  </conditionalFormatting>
  <conditionalFormatting sqref="S36:S41">
    <cfRule type="expression" dxfId="38" priority="3">
      <formula>$D$22&gt;6</formula>
    </cfRule>
  </conditionalFormatting>
  <conditionalFormatting sqref="T36:T42">
    <cfRule type="expression" dxfId="37" priority="2">
      <formula>$D$22&gt;7</formula>
    </cfRule>
  </conditionalFormatting>
  <conditionalFormatting sqref="D44">
    <cfRule type="cellIs" dxfId="36" priority="1" operator="lessThan">
      <formula>0</formula>
    </cfRule>
  </conditionalFormatting>
  <dataValidations count="12">
    <dataValidation showInputMessage="1" showErrorMessage="1" sqref="E41:E42"/>
    <dataValidation type="list" allowBlank="1" showInputMessage="1" showErrorMessage="1" errorTitle="Too Many layers" error="This tool can only calculate up to 8 Layers." sqref="D22">
      <formula1>"1,2,3,4,5,6,7,8"</formula1>
    </dataValidation>
    <dataValidation type="list" showInputMessage="1" showErrorMessage="1" sqref="E35">
      <formula1>"mm,mil,oz-Cu"</formula1>
    </dataValidation>
    <dataValidation type="list" showInputMessage="1" showErrorMessage="1" sqref="E44 E26:E34 E24">
      <formula1>"mm,mil"</formula1>
    </dataValidation>
    <dataValidation type="decimal" operator="greaterThan" allowBlank="1" showInputMessage="1" showErrorMessage="1" sqref="D23">
      <formula1>0.1</formula1>
    </dataValidation>
    <dataValidation type="list" errorStyle="information" allowBlank="1" showInputMessage="1" showErrorMessage="1" errorTitle="Capacitor" error="1.68e-8 is appropriate value for copper traces." sqref="D36">
      <formula1>"1.68e-8"</formula1>
    </dataValidation>
    <dataValidation type="list" errorStyle="information" allowBlank="1" showInputMessage="1" showErrorMessage="1" errorTitle="USe appropriate value" error="PCB traces should use 0.393 for copper." sqref="D37">
      <formula1>"0.393"</formula1>
    </dataValidation>
    <dataValidation type="decimal" operator="greaterThanOrEqual" allowBlank="1" showInputMessage="1" showErrorMessage="1" sqref="D39">
      <formula1>0</formula1>
    </dataValidation>
    <dataValidation type="list" errorStyle="information" allowBlank="1" showInputMessage="1" showErrorMessage="1" errorTitle="Set appropriate vale" error="For Copper PCBs, 1.00 is appropriate value." sqref="D38">
      <formula1>"1.0"</formula1>
    </dataValidation>
    <dataValidation type="list" showInputMessage="1" showErrorMessage="1" sqref="E25">
      <formula1>"mm"</formula1>
    </dataValidation>
    <dataValidation type="decimal" operator="greaterThan" allowBlank="1" showInputMessage="1" showErrorMessage="1" sqref="C65:C67">
      <formula1>0</formula1>
    </dataValidation>
    <dataValidation type="list" allowBlank="1" showInputMessage="1" showErrorMessage="1" sqref="B68">
      <formula1>"Rs,Rp"</formula1>
    </dataValidation>
  </dataValidations>
  <hyperlinks>
    <hyperlink ref="G2" location="Contents!A1" display="Return to Main page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59999389629810485"/>
  </sheetPr>
  <dimension ref="B1:N94"/>
  <sheetViews>
    <sheetView showGridLines="0" showRowColHeaders="0" topLeftCell="A7" zoomScaleNormal="100" workbookViewId="0">
      <selection activeCell="D12" sqref="D12"/>
    </sheetView>
  </sheetViews>
  <sheetFormatPr defaultRowHeight="15" x14ac:dyDescent="0.25"/>
  <cols>
    <col min="1" max="1" width="3.85546875" customWidth="1"/>
    <col min="2" max="2" width="8.5703125" customWidth="1"/>
    <col min="3" max="3" width="23.85546875" customWidth="1"/>
    <col min="4" max="4" width="11.140625" style="232" customWidth="1"/>
    <col min="5" max="5" width="7.140625" style="232" customWidth="1"/>
    <col min="6" max="6" width="10.5703125" style="232" customWidth="1"/>
    <col min="8" max="8" width="21.85546875" customWidth="1"/>
    <col min="9" max="9" width="11.28515625" style="232" customWidth="1"/>
    <col min="10" max="10" width="6.5703125" style="232" customWidth="1"/>
    <col min="11" max="11" width="10.7109375" style="232" customWidth="1"/>
  </cols>
  <sheetData>
    <row r="1" spans="2:14" x14ac:dyDescent="0.25">
      <c r="D1" s="219"/>
      <c r="E1" s="219"/>
      <c r="F1" s="219"/>
      <c r="G1" s="38"/>
      <c r="H1" s="38"/>
      <c r="I1" s="219"/>
      <c r="J1" s="219"/>
      <c r="K1" s="219"/>
      <c r="L1" s="38"/>
    </row>
    <row r="2" spans="2:14" ht="18.75" x14ac:dyDescent="0.3">
      <c r="B2" s="218" t="s">
        <v>374</v>
      </c>
      <c r="D2"/>
      <c r="E2" s="219"/>
      <c r="F2" s="219"/>
      <c r="G2" s="38"/>
      <c r="H2" s="71" t="s">
        <v>251</v>
      </c>
      <c r="I2" s="219"/>
      <c r="J2" s="219"/>
      <c r="K2" s="219"/>
      <c r="L2" s="38"/>
    </row>
    <row r="3" spans="2:14" x14ac:dyDescent="0.25">
      <c r="C3" s="38" t="s">
        <v>450</v>
      </c>
      <c r="D3" s="38"/>
      <c r="E3" s="219"/>
      <c r="F3" s="219"/>
      <c r="G3" s="38"/>
      <c r="H3" s="38"/>
      <c r="I3" s="219"/>
      <c r="J3" s="219"/>
      <c r="K3" s="219"/>
      <c r="L3" s="38"/>
    </row>
    <row r="4" spans="2:14" x14ac:dyDescent="0.25">
      <c r="B4" s="38"/>
      <c r="C4" s="38" t="s">
        <v>375</v>
      </c>
      <c r="D4" s="38"/>
      <c r="E4" s="219"/>
      <c r="F4" s="219"/>
      <c r="G4" s="38"/>
      <c r="H4" s="38" t="s">
        <v>467</v>
      </c>
      <c r="I4" s="219"/>
      <c r="J4" s="219"/>
      <c r="K4" s="219"/>
      <c r="L4" s="38"/>
    </row>
    <row r="5" spans="2:14" x14ac:dyDescent="0.25">
      <c r="B5" s="38"/>
      <c r="C5" s="38" t="s">
        <v>459</v>
      </c>
      <c r="D5" s="219"/>
      <c r="E5" s="219"/>
      <c r="F5" s="219"/>
      <c r="G5" s="38"/>
      <c r="H5" s="38"/>
      <c r="I5" s="219"/>
      <c r="J5" s="219"/>
      <c r="K5" s="219"/>
      <c r="L5" s="38"/>
    </row>
    <row r="6" spans="2:14" x14ac:dyDescent="0.25">
      <c r="B6" s="38"/>
      <c r="C6" s="38" t="s">
        <v>460</v>
      </c>
      <c r="D6" s="219"/>
      <c r="E6" s="219"/>
      <c r="F6" s="219"/>
      <c r="G6" s="38"/>
      <c r="H6" s="38"/>
      <c r="I6" s="219"/>
      <c r="J6" s="219"/>
      <c r="K6" s="219"/>
      <c r="L6" s="38"/>
    </row>
    <row r="7" spans="2:14" x14ac:dyDescent="0.25">
      <c r="B7" s="38"/>
      <c r="C7" s="38"/>
      <c r="D7" s="220"/>
      <c r="E7" s="219"/>
      <c r="F7" s="219"/>
      <c r="G7" s="38"/>
      <c r="H7" s="38"/>
      <c r="I7" s="220"/>
      <c r="J7" s="219"/>
      <c r="K7" s="219"/>
      <c r="L7" s="219"/>
    </row>
    <row r="8" spans="2:14" ht="15.75" x14ac:dyDescent="0.25">
      <c r="B8" s="38"/>
      <c r="C8" s="221" t="s">
        <v>376</v>
      </c>
      <c r="D8" s="219"/>
      <c r="E8" s="219"/>
      <c r="F8" s="219"/>
      <c r="G8" s="38"/>
      <c r="H8" s="38"/>
      <c r="I8" s="219"/>
      <c r="J8" s="219"/>
      <c r="K8" s="219"/>
      <c r="L8" s="38"/>
    </row>
    <row r="9" spans="2:14" x14ac:dyDescent="0.25">
      <c r="B9" s="38"/>
      <c r="C9" s="77" t="s">
        <v>209</v>
      </c>
      <c r="D9" s="502">
        <v>200</v>
      </c>
      <c r="E9" s="234" t="s">
        <v>30</v>
      </c>
      <c r="F9" s="222" t="str">
        <f>IF(D9&lt;C49,"too small",IF(D9&gt;D49,"too large","In Range"))</f>
        <v>In Range</v>
      </c>
      <c r="G9" s="38"/>
      <c r="L9" s="38"/>
    </row>
    <row r="10" spans="2:14" x14ac:dyDescent="0.25">
      <c r="B10" s="38"/>
      <c r="C10" s="77" t="s">
        <v>377</v>
      </c>
      <c r="D10" s="503">
        <v>2.73</v>
      </c>
      <c r="E10" s="234" t="s">
        <v>95</v>
      </c>
      <c r="F10" s="222" t="str">
        <f>IF(D10&lt;C50,"too small",IF(D10&gt;D50,"too large","In Range"))</f>
        <v>In Range</v>
      </c>
      <c r="G10" s="38"/>
      <c r="L10" s="38"/>
      <c r="N10" s="225"/>
    </row>
    <row r="11" spans="2:14" x14ac:dyDescent="0.25">
      <c r="B11" s="38"/>
      <c r="C11" s="77" t="s">
        <v>379</v>
      </c>
      <c r="D11" s="226">
        <f>micro/(2*PI()*SQRT(pico*D9*D10*micro))</f>
        <v>6.8112027831153839</v>
      </c>
      <c r="E11" s="234" t="s">
        <v>0</v>
      </c>
      <c r="F11" s="222" t="str">
        <f>IF(D11&lt;C51,"too low",IF(D11&gt;D51,"too high","In Range"))</f>
        <v>In Range</v>
      </c>
      <c r="G11" s="38"/>
      <c r="L11" s="38"/>
    </row>
    <row r="12" spans="2:14" x14ac:dyDescent="0.25">
      <c r="B12" s="38"/>
      <c r="C12" s="77" t="str">
        <f>"Rs_parasitic(@"&amp;LEFT(D11,5)&amp;"MHz)"</f>
        <v>Rs_parasitic(@6.811MHz)</v>
      </c>
      <c r="D12" s="503">
        <v>4</v>
      </c>
      <c r="E12" s="235" t="s">
        <v>202</v>
      </c>
      <c r="F12" s="223"/>
      <c r="G12" s="38"/>
      <c r="L12" s="38"/>
    </row>
    <row r="13" spans="2:14" ht="18" x14ac:dyDescent="0.35">
      <c r="B13" s="38"/>
      <c r="C13" s="77" t="s">
        <v>615</v>
      </c>
      <c r="D13" s="231">
        <f>C53</f>
        <v>3.4125000000000001</v>
      </c>
      <c r="E13" s="236" t="s">
        <v>411</v>
      </c>
      <c r="F13" s="223"/>
      <c r="G13" s="38"/>
      <c r="L13" s="38"/>
    </row>
    <row r="14" spans="2:14" x14ac:dyDescent="0.25">
      <c r="B14" s="38"/>
      <c r="D14" s="219"/>
      <c r="E14" s="236"/>
      <c r="F14" s="223"/>
      <c r="G14" s="38"/>
      <c r="L14" s="38"/>
      <c r="N14" s="228"/>
    </row>
    <row r="15" spans="2:14" ht="15.75" x14ac:dyDescent="0.25">
      <c r="B15" s="38"/>
      <c r="C15" s="221" t="s">
        <v>381</v>
      </c>
      <c r="D15" s="219"/>
      <c r="E15" s="236"/>
      <c r="F15" s="223"/>
      <c r="G15" s="38"/>
      <c r="L15" s="38"/>
    </row>
    <row r="16" spans="2:14" x14ac:dyDescent="0.25">
      <c r="B16" s="38"/>
      <c r="C16" s="77" t="s">
        <v>412</v>
      </c>
      <c r="D16" s="504">
        <v>3</v>
      </c>
      <c r="E16" s="236" t="s">
        <v>300</v>
      </c>
      <c r="F16" s="222" t="str">
        <f>IF(AND(C59&gt;=C57,C59&lt;=D57),"in Range",IF(C59&lt;C57,"too large",IF(C59&gt;D57,"too small")))</f>
        <v>in Range</v>
      </c>
      <c r="G16" s="38"/>
      <c r="L16" s="38"/>
    </row>
    <row r="17" spans="2:12" x14ac:dyDescent="0.25">
      <c r="B17" s="38"/>
      <c r="C17" s="77" t="str">
        <f>IF(D17&gt;D16,"RpMAX Setting","RPMAX must be &gt;RpMIN")</f>
        <v>RpMAX Setting</v>
      </c>
      <c r="D17" s="505">
        <v>12</v>
      </c>
      <c r="E17" s="236" t="s">
        <v>300</v>
      </c>
      <c r="F17" s="222" t="str">
        <f>IF(AND(D17&gt;=D13,D17&lt;=2.05*D13),"in Range",IF(D17&gt;2.05*D13,"too large",IF(D17&lt;D13,"too small")))</f>
        <v>too large</v>
      </c>
      <c r="G17" s="38"/>
      <c r="L17" s="38"/>
    </row>
    <row r="18" spans="2:12" x14ac:dyDescent="0.25">
      <c r="B18" s="38"/>
      <c r="C18" s="77" t="s">
        <v>455</v>
      </c>
      <c r="D18" s="138" t="str">
        <f>"0x"&amp;DEC2HEX(TEXT((((7-LOG(D17/0.75,2))*16)+(7-LOG(D16/0.75,2))),"0"),2)</f>
        <v>0x35</v>
      </c>
      <c r="E18" s="236"/>
      <c r="F18" s="253" t="s">
        <v>456</v>
      </c>
      <c r="G18" s="38"/>
      <c r="L18" s="38"/>
    </row>
    <row r="19" spans="2:12" x14ac:dyDescent="0.25">
      <c r="B19" s="38"/>
      <c r="C19" s="77" t="s">
        <v>382</v>
      </c>
      <c r="D19" s="229">
        <f>1000*D13*SQRT(pico*D9/(micro*D10))</f>
        <v>29.208303613869806</v>
      </c>
      <c r="E19" s="236"/>
      <c r="F19" s="222" t="str">
        <f>IF(D19&gt;=C52,"in Range","too small")</f>
        <v>in Range</v>
      </c>
      <c r="G19" s="38"/>
      <c r="L19" s="38"/>
    </row>
    <row r="20" spans="2:12" x14ac:dyDescent="0.25">
      <c r="B20" s="38"/>
      <c r="C20" s="77" t="s">
        <v>383</v>
      </c>
      <c r="D20" s="250">
        <f>IF(1000*SQRT(2)/(PI()*0.6*D30*(6))&gt;C78,6,IF(1000*SQRT(2)/(PI()*0.6*D30*(3))&gt;C78,3,IF(1000*SQRT(2)/(PI()*0.6*D30*(1.5))&gt;C78,1.5,IF(1000*SQRT(2)/(PI()*0.6*D30*(0.75))&gt;C78,0.75,"Too Low"))))</f>
        <v>3</v>
      </c>
      <c r="E20" s="234" t="s">
        <v>30</v>
      </c>
      <c r="F20" s="222" t="str">
        <f>IF(AND(D20&gt;=C72,D20&lt;=C75),"in Range", "error")</f>
        <v>in Range</v>
      </c>
      <c r="G20" s="38"/>
      <c r="L20" s="38"/>
    </row>
    <row r="21" spans="2:12" x14ac:dyDescent="0.25">
      <c r="B21" s="38"/>
      <c r="C21" s="77" t="s">
        <v>385</v>
      </c>
      <c r="D21" s="254">
        <f>(1000*SQRT(2)/(PI()*0.6*D11*(D20)))</f>
        <v>36.717136981907352</v>
      </c>
      <c r="E21" s="236" t="s">
        <v>300</v>
      </c>
      <c r="F21" s="222" t="str">
        <f>IF(D21&lt;C78,"too small",IF(D21&gt;C79,"too large","In Range"))</f>
        <v>In Range</v>
      </c>
      <c r="G21" s="38"/>
      <c r="L21" s="38"/>
    </row>
    <row r="22" spans="2:12" x14ac:dyDescent="0.25">
      <c r="B22" s="38"/>
      <c r="C22" s="77" t="s">
        <v>451</v>
      </c>
      <c r="D22" s="252" t="str">
        <f>"0x"&amp;DEC2HEX(TEXT((((LOG(D20/0.75,2))*64)+FLOOR(-(D21-417)/12.77,1)),"0"),2)</f>
        <v>0x9D</v>
      </c>
      <c r="E22" s="236"/>
      <c r="F22" s="253" t="s">
        <v>452</v>
      </c>
      <c r="G22" s="38"/>
      <c r="L22" s="38"/>
    </row>
    <row r="23" spans="2:12" x14ac:dyDescent="0.25">
      <c r="B23" s="38"/>
      <c r="C23" s="77" t="s">
        <v>387</v>
      </c>
      <c r="D23" s="250">
        <f>IF(((2*D16*D9/24)&gt;C88),24,IF(((2*D16*D9/12)&gt;C88),12,IF(((2*D16*D9/6)&gt;C88),6,IF(((2*D16*D9/3)&gt;C88),3,"Too Low"))))</f>
        <v>24</v>
      </c>
      <c r="E23" s="234" t="s">
        <v>30</v>
      </c>
      <c r="F23" s="222" t="str">
        <f>IF(AND(D23&gt;=C82,D23&lt;=C85),"in range", "error")</f>
        <v>in range</v>
      </c>
      <c r="G23" s="38"/>
      <c r="L23" s="38"/>
    </row>
    <row r="24" spans="2:12" x14ac:dyDescent="0.25">
      <c r="B24" s="38"/>
      <c r="C24" s="77" t="s">
        <v>389</v>
      </c>
      <c r="D24" s="254">
        <f>2*D16*D9/(D23)</f>
        <v>50</v>
      </c>
      <c r="E24" s="236" t="s">
        <v>300</v>
      </c>
      <c r="F24" s="222" t="str">
        <f>IF(D24&lt;C88,"too small",IF(D24&gt;C89,"too large","In Range"))</f>
        <v>In Range</v>
      </c>
      <c r="G24" s="38"/>
      <c r="L24" s="38"/>
    </row>
    <row r="25" spans="2:12" x14ac:dyDescent="0.25">
      <c r="B25" s="38"/>
      <c r="C25" s="77" t="s">
        <v>454</v>
      </c>
      <c r="D25" s="251" t="str">
        <f>"0x"&amp;DEC2HEX(TEXT((((LOG(D23/3,2))*64)+FLOOR(-(D24-835)/12.77,1)),"0"),2)</f>
        <v>0xFD</v>
      </c>
      <c r="E25" s="236"/>
      <c r="F25" s="253" t="s">
        <v>453</v>
      </c>
      <c r="G25" s="38"/>
      <c r="L25" s="38"/>
    </row>
    <row r="26" spans="2:12" x14ac:dyDescent="0.25">
      <c r="B26" s="38"/>
      <c r="C26" s="38"/>
      <c r="D26" s="219"/>
      <c r="E26" s="219"/>
      <c r="F26" s="219"/>
      <c r="G26" s="38"/>
      <c r="H26" s="77"/>
      <c r="I26" s="219"/>
      <c r="J26" s="219"/>
      <c r="K26" s="219"/>
      <c r="L26" s="38"/>
    </row>
    <row r="27" spans="2:12" x14ac:dyDescent="0.25">
      <c r="B27" s="38"/>
      <c r="C27" s="136" t="s">
        <v>418</v>
      </c>
      <c r="D27" s="219"/>
      <c r="E27" s="219"/>
      <c r="F27" s="219"/>
      <c r="G27" s="38"/>
      <c r="H27" s="77"/>
      <c r="I27" s="219"/>
      <c r="J27" s="219"/>
      <c r="K27" s="219"/>
      <c r="L27" s="38"/>
    </row>
    <row r="28" spans="2:12" x14ac:dyDescent="0.25">
      <c r="B28" s="38"/>
      <c r="C28" s="77" t="s">
        <v>457</v>
      </c>
      <c r="D28" s="506">
        <v>0.94216</v>
      </c>
      <c r="E28" s="223"/>
      <c r="F28" s="236" t="s">
        <v>458</v>
      </c>
      <c r="G28" s="38"/>
      <c r="H28" s="77"/>
      <c r="I28" s="219"/>
      <c r="J28" s="219"/>
      <c r="K28" s="219"/>
      <c r="L28" s="38"/>
    </row>
    <row r="29" spans="2:12" x14ac:dyDescent="0.25">
      <c r="B29" s="38"/>
      <c r="C29" s="77" t="s">
        <v>378</v>
      </c>
      <c r="D29" s="224">
        <f>D10*D28</f>
        <v>2.5720968000000002</v>
      </c>
      <c r="E29" s="234" t="s">
        <v>95</v>
      </c>
      <c r="F29" s="222" t="str">
        <f>IF(D29&lt;C50,"too small",IF(D29&gt;D50,"too large","In Range"))</f>
        <v>In Range</v>
      </c>
      <c r="G29" s="38"/>
      <c r="H29" s="77"/>
      <c r="I29" s="219"/>
      <c r="J29" s="219"/>
      <c r="K29" s="219"/>
      <c r="L29" s="38"/>
    </row>
    <row r="30" spans="2:12" x14ac:dyDescent="0.25">
      <c r="B30" s="38"/>
      <c r="C30" s="77" t="s">
        <v>380</v>
      </c>
      <c r="D30" s="227">
        <f>0.001/(2*PI()*SQRT(pico*D9*D29))</f>
        <v>7.017161618490098</v>
      </c>
      <c r="E30" s="234" t="s">
        <v>0</v>
      </c>
      <c r="F30" s="222" t="str">
        <f>IF(D30&lt;C51,"too low",IF(D30&gt;D51,"too high","In Range"))</f>
        <v>In Range</v>
      </c>
      <c r="G30" s="38"/>
      <c r="H30" s="77"/>
      <c r="I30" s="219"/>
      <c r="J30" s="219"/>
      <c r="K30" s="219"/>
      <c r="L30" s="38"/>
    </row>
    <row r="31" spans="2:12" ht="18" x14ac:dyDescent="0.35">
      <c r="B31" s="38"/>
      <c r="C31" s="77" t="s">
        <v>614</v>
      </c>
      <c r="D31" s="507">
        <v>0.99399999999999999</v>
      </c>
      <c r="E31" s="236"/>
      <c r="F31" s="236" t="s">
        <v>466</v>
      </c>
      <c r="G31" s="38"/>
      <c r="H31" s="77"/>
      <c r="I31" s="219"/>
      <c r="J31" s="219"/>
      <c r="K31" s="219"/>
      <c r="L31" s="38"/>
    </row>
    <row r="32" spans="2:12" ht="18" x14ac:dyDescent="0.35">
      <c r="B32" s="38"/>
      <c r="C32" s="77" t="s">
        <v>615</v>
      </c>
      <c r="D32" s="231">
        <f>D53</f>
        <v>3.195830274</v>
      </c>
      <c r="E32" s="236" t="s">
        <v>411</v>
      </c>
      <c r="F32" s="223"/>
      <c r="G32" s="38"/>
      <c r="H32" s="77"/>
      <c r="I32" s="219"/>
      <c r="J32" s="219"/>
      <c r="K32" s="219"/>
      <c r="L32" s="38"/>
    </row>
    <row r="33" spans="2:12" x14ac:dyDescent="0.25">
      <c r="B33" s="38"/>
      <c r="C33" s="77"/>
      <c r="D33" s="219"/>
      <c r="E33" s="236"/>
      <c r="F33" s="223"/>
      <c r="G33" s="38"/>
      <c r="H33" s="77"/>
      <c r="I33" s="219"/>
      <c r="J33" s="219"/>
      <c r="K33" s="219"/>
      <c r="L33" s="38"/>
    </row>
    <row r="34" spans="2:12" x14ac:dyDescent="0.25">
      <c r="B34" s="38"/>
      <c r="C34" s="77" t="s">
        <v>412</v>
      </c>
      <c r="D34" s="222">
        <f>D16</f>
        <v>3</v>
      </c>
      <c r="E34" s="236" t="s">
        <v>300</v>
      </c>
      <c r="F34" s="222" t="str">
        <f>IF(D59&lt;C57,"too large",IF(D59&gt;D57,"too small","In Range"))</f>
        <v>In Range</v>
      </c>
      <c r="G34" s="38"/>
      <c r="H34" s="77"/>
      <c r="I34" s="219"/>
      <c r="J34" s="219"/>
      <c r="K34" s="219"/>
      <c r="L34" s="38"/>
    </row>
    <row r="35" spans="2:12" x14ac:dyDescent="0.25">
      <c r="B35" s="38"/>
      <c r="C35" s="77" t="s">
        <v>413</v>
      </c>
      <c r="D35" s="230">
        <f>D17</f>
        <v>12</v>
      </c>
      <c r="E35" s="236" t="s">
        <v>300</v>
      </c>
      <c r="F35" s="222" t="str">
        <f>IF(D17&gt;2.05*D32/D28,"too large",IF(D17&lt;D32,"too small","In Range"))</f>
        <v>too large</v>
      </c>
      <c r="G35" s="38"/>
      <c r="H35" s="77"/>
      <c r="I35" s="219"/>
      <c r="J35" s="219"/>
      <c r="K35" s="219"/>
      <c r="L35" s="38"/>
    </row>
    <row r="36" spans="2:12" ht="18" x14ac:dyDescent="0.35">
      <c r="B36" s="38"/>
      <c r="C36" s="77" t="s">
        <v>616</v>
      </c>
      <c r="D36" s="229">
        <f>1000*D16*SQRT(pico*D9/(micro*D29))</f>
        <v>26.454076067640905</v>
      </c>
      <c r="E36" s="234"/>
      <c r="F36" s="222" t="str">
        <f>IF(D36&lt;E52,"too small",IF(D36&gt;D52,"too large","In Range"))</f>
        <v>In Range</v>
      </c>
      <c r="G36" s="38"/>
      <c r="H36" s="77"/>
      <c r="I36" s="219"/>
      <c r="J36" s="219"/>
      <c r="K36" s="219"/>
      <c r="L36" s="38"/>
    </row>
    <row r="37" spans="2:12" x14ac:dyDescent="0.25">
      <c r="B37" s="38"/>
      <c r="C37" s="77" t="s">
        <v>384</v>
      </c>
      <c r="D37" s="230">
        <f>D20</f>
        <v>3</v>
      </c>
      <c r="E37" s="237" t="s">
        <v>30</v>
      </c>
      <c r="F37" s="222" t="str">
        <f>IF(AND(D37&gt;=C72,D37&lt;=C75),"In Range", "error")</f>
        <v>In Range</v>
      </c>
      <c r="G37" s="38"/>
      <c r="H37" s="77"/>
      <c r="I37" s="219"/>
      <c r="J37" s="219"/>
      <c r="K37" s="219"/>
      <c r="L37" s="38"/>
    </row>
    <row r="38" spans="2:12" x14ac:dyDescent="0.25">
      <c r="B38" s="38"/>
      <c r="C38" s="77" t="s">
        <v>386</v>
      </c>
      <c r="D38" s="224">
        <f>D21</f>
        <v>36.717136981907352</v>
      </c>
      <c r="E38" s="236" t="s">
        <v>300</v>
      </c>
      <c r="F38" s="222" t="str">
        <f>IF(D38&lt;C78,"too small",IF(D38&gt;C79,"too large","In Range"))</f>
        <v>In Range</v>
      </c>
      <c r="G38" s="38"/>
      <c r="H38" s="77"/>
      <c r="I38" s="219"/>
      <c r="J38" s="219"/>
      <c r="K38" s="219"/>
      <c r="L38" s="38"/>
    </row>
    <row r="39" spans="2:12" x14ac:dyDescent="0.25">
      <c r="B39" s="38"/>
      <c r="C39" s="77" t="s">
        <v>388</v>
      </c>
      <c r="D39" s="224">
        <f>D23</f>
        <v>24</v>
      </c>
      <c r="E39" s="237" t="s">
        <v>30</v>
      </c>
      <c r="F39" s="222" t="str">
        <f>IF(AND(D39&gt;=C82,D39&lt;=C85),"In Range", "error")</f>
        <v>In Range</v>
      </c>
      <c r="G39" s="38"/>
      <c r="H39" s="77"/>
      <c r="I39" s="219"/>
      <c r="J39" s="219"/>
      <c r="K39" s="219"/>
      <c r="L39" s="38"/>
    </row>
    <row r="40" spans="2:12" x14ac:dyDescent="0.25">
      <c r="B40" s="38"/>
      <c r="C40" s="77" t="s">
        <v>390</v>
      </c>
      <c r="D40" s="231">
        <f>0.001*1.4142/(Mega*D30*PI()*pico*D23*0.6)</f>
        <v>4.4548900403350773</v>
      </c>
      <c r="E40" s="236" t="s">
        <v>300</v>
      </c>
      <c r="F40" s="222" t="str">
        <f>IF(D40&lt;C88,"too small",IF(D40&gt;C89,"too large","In Range"))</f>
        <v>too small</v>
      </c>
      <c r="G40" s="38"/>
      <c r="H40" s="77"/>
      <c r="I40" s="219"/>
      <c r="J40" s="219"/>
      <c r="K40" s="219"/>
      <c r="L40" s="38"/>
    </row>
    <row r="41" spans="2:12" x14ac:dyDescent="0.25">
      <c r="B41" s="38"/>
      <c r="C41" s="38"/>
      <c r="D41" s="219"/>
      <c r="E41" s="219"/>
      <c r="F41" s="219"/>
      <c r="G41" s="38"/>
      <c r="H41" s="77"/>
      <c r="I41" s="219"/>
      <c r="J41" s="219"/>
      <c r="K41" s="219"/>
      <c r="L41" s="38"/>
    </row>
    <row r="43" spans="2:12" hidden="1" x14ac:dyDescent="0.25">
      <c r="C43" s="255" t="s">
        <v>391</v>
      </c>
      <c r="D43" s="256"/>
      <c r="E43" s="256"/>
    </row>
    <row r="44" spans="2:12" hidden="1" x14ac:dyDescent="0.25">
      <c r="C44" s="257">
        <v>9.9999999999999998E-13</v>
      </c>
      <c r="D44" s="9" t="s">
        <v>392</v>
      </c>
      <c r="E44" s="256"/>
    </row>
    <row r="45" spans="2:12" hidden="1" x14ac:dyDescent="0.25">
      <c r="C45" s="257">
        <v>9.9999999999999995E-7</v>
      </c>
      <c r="D45" s="9" t="s">
        <v>393</v>
      </c>
      <c r="E45" s="256"/>
    </row>
    <row r="46" spans="2:12" hidden="1" x14ac:dyDescent="0.25">
      <c r="C46" s="257">
        <v>1000000</v>
      </c>
      <c r="D46" s="9" t="s">
        <v>394</v>
      </c>
      <c r="E46" s="256"/>
    </row>
    <row r="47" spans="2:12" hidden="1" x14ac:dyDescent="0.25">
      <c r="C47" s="258"/>
      <c r="D47" s="256"/>
      <c r="E47" s="256"/>
    </row>
    <row r="48" spans="2:12" hidden="1" x14ac:dyDescent="0.25">
      <c r="B48" s="10" t="s">
        <v>395</v>
      </c>
      <c r="C48" s="259" t="s">
        <v>396</v>
      </c>
      <c r="D48" s="260" t="s">
        <v>397</v>
      </c>
      <c r="E48" s="9"/>
    </row>
    <row r="49" spans="2:7" hidden="1" x14ac:dyDescent="0.25">
      <c r="B49" s="9" t="s">
        <v>209</v>
      </c>
      <c r="C49" s="261">
        <v>100</v>
      </c>
      <c r="D49" s="261">
        <v>56000</v>
      </c>
      <c r="E49" s="9" t="s">
        <v>30</v>
      </c>
    </row>
    <row r="50" spans="2:7" hidden="1" x14ac:dyDescent="0.25">
      <c r="B50" s="9" t="s">
        <v>398</v>
      </c>
      <c r="C50" s="261">
        <v>1</v>
      </c>
      <c r="D50" s="261">
        <v>500</v>
      </c>
      <c r="E50" s="75" t="s">
        <v>146</v>
      </c>
    </row>
    <row r="51" spans="2:7" hidden="1" x14ac:dyDescent="0.25">
      <c r="B51" s="9" t="s">
        <v>399</v>
      </c>
      <c r="C51" s="262">
        <v>0.5</v>
      </c>
      <c r="D51" s="262">
        <v>10</v>
      </c>
      <c r="E51" s="9"/>
    </row>
    <row r="52" spans="2:7" hidden="1" x14ac:dyDescent="0.25">
      <c r="B52" s="9" t="s">
        <v>400</v>
      </c>
      <c r="C52" s="261">
        <f>1/D57</f>
        <v>9.9906656960671203</v>
      </c>
      <c r="D52" s="261">
        <f>1/C57</f>
        <v>399.6266278426848</v>
      </c>
      <c r="E52" s="9"/>
    </row>
    <row r="53" spans="2:7" hidden="1" x14ac:dyDescent="0.25">
      <c r="B53" s="9" t="s">
        <v>401</v>
      </c>
      <c r="C53" s="263">
        <f>0.001*micro*D10/(pico*D9*D12)</f>
        <v>3.4125000000000001</v>
      </c>
      <c r="D53" s="263">
        <f>0.001*D29*micro/(D9*pico*D12)*D31</f>
        <v>3.195830274</v>
      </c>
      <c r="E53" s="9" t="s">
        <v>461</v>
      </c>
    </row>
    <row r="54" spans="2:7" hidden="1" x14ac:dyDescent="0.25">
      <c r="B54" s="9"/>
      <c r="C54" s="264"/>
      <c r="D54" s="265"/>
      <c r="E54" s="9"/>
    </row>
    <row r="55" spans="2:7" hidden="1" x14ac:dyDescent="0.25">
      <c r="B55" s="9" t="s">
        <v>402</v>
      </c>
      <c r="C55" s="263">
        <v>1.131</v>
      </c>
      <c r="D55" s="265"/>
      <c r="E55" s="9"/>
    </row>
    <row r="56" spans="2:7" hidden="1" x14ac:dyDescent="0.25">
      <c r="B56" s="9" t="s">
        <v>403</v>
      </c>
      <c r="C56" s="266">
        <v>0.28299999999999997</v>
      </c>
      <c r="D56" s="265"/>
      <c r="E56" s="9"/>
    </row>
    <row r="57" spans="2:7" hidden="1" x14ac:dyDescent="0.25">
      <c r="B57" s="9" t="s">
        <v>404</v>
      </c>
      <c r="C57" s="266">
        <f>D57/40</f>
        <v>2.5023357562490942E-3</v>
      </c>
      <c r="D57" s="266">
        <f>1.2567*C56/(PI()*C55)</f>
        <v>0.10009343024996377</v>
      </c>
      <c r="E57" s="9"/>
    </row>
    <row r="58" spans="2:7" hidden="1" x14ac:dyDescent="0.25">
      <c r="B58" s="9" t="s">
        <v>405</v>
      </c>
      <c r="C58" s="266">
        <f>1/(2*PI()*D9*pico*D16*1000)</f>
        <v>265258.23848649225</v>
      </c>
      <c r="D58" s="265"/>
      <c r="E58" s="9"/>
    </row>
    <row r="59" spans="2:7" hidden="1" x14ac:dyDescent="0.25">
      <c r="B59" s="9" t="s">
        <v>406</v>
      </c>
      <c r="C59" s="266">
        <f>C58/(Mega*D11)</f>
        <v>3.8944404818493081E-2</v>
      </c>
      <c r="D59" s="266">
        <f>C58/(Mega*D30)</f>
        <v>3.7801358000297644E-2</v>
      </c>
      <c r="E59" s="9"/>
      <c r="F59"/>
      <c r="G59" s="228"/>
    </row>
    <row r="60" spans="2:7" hidden="1" x14ac:dyDescent="0.25">
      <c r="C60" s="267"/>
      <c r="D60" s="256"/>
      <c r="E60" s="256"/>
    </row>
    <row r="61" spans="2:7" hidden="1" x14ac:dyDescent="0.25">
      <c r="C61" s="259" t="s">
        <v>407</v>
      </c>
      <c r="D61" s="256"/>
      <c r="E61" s="256"/>
    </row>
    <row r="62" spans="2:7" hidden="1" x14ac:dyDescent="0.25">
      <c r="B62">
        <v>0</v>
      </c>
      <c r="C62" s="263">
        <v>0.75</v>
      </c>
      <c r="D62" s="9" t="s">
        <v>461</v>
      </c>
      <c r="E62" s="256"/>
    </row>
    <row r="63" spans="2:7" hidden="1" x14ac:dyDescent="0.25">
      <c r="B63">
        <v>1</v>
      </c>
      <c r="C63" s="263">
        <v>1.5</v>
      </c>
      <c r="D63" s="9" t="s">
        <v>461</v>
      </c>
      <c r="E63" s="256"/>
    </row>
    <row r="64" spans="2:7" hidden="1" x14ac:dyDescent="0.25">
      <c r="B64">
        <v>2</v>
      </c>
      <c r="C64" s="263">
        <v>3</v>
      </c>
      <c r="D64" s="9" t="s">
        <v>461</v>
      </c>
      <c r="E64" s="256"/>
    </row>
    <row r="65" spans="2:6" hidden="1" x14ac:dyDescent="0.25">
      <c r="B65">
        <v>3</v>
      </c>
      <c r="C65" s="263">
        <v>6</v>
      </c>
      <c r="D65" s="9" t="s">
        <v>461</v>
      </c>
      <c r="E65" s="256"/>
    </row>
    <row r="66" spans="2:6" hidden="1" x14ac:dyDescent="0.25">
      <c r="B66">
        <v>4</v>
      </c>
      <c r="C66" s="263">
        <v>12</v>
      </c>
      <c r="D66" s="9" t="s">
        <v>461</v>
      </c>
      <c r="E66" s="256"/>
    </row>
    <row r="67" spans="2:6" hidden="1" x14ac:dyDescent="0.25">
      <c r="B67">
        <v>5</v>
      </c>
      <c r="C67" s="263">
        <v>24</v>
      </c>
      <c r="D67" s="9" t="s">
        <v>461</v>
      </c>
      <c r="E67" s="256"/>
    </row>
    <row r="68" spans="2:6" hidden="1" x14ac:dyDescent="0.25">
      <c r="B68">
        <v>6</v>
      </c>
      <c r="C68" s="263">
        <v>48</v>
      </c>
      <c r="D68" s="9" t="s">
        <v>461</v>
      </c>
      <c r="E68" s="256"/>
    </row>
    <row r="69" spans="2:6" hidden="1" x14ac:dyDescent="0.25">
      <c r="B69">
        <v>7</v>
      </c>
      <c r="C69" s="263">
        <v>96</v>
      </c>
      <c r="D69" s="9" t="s">
        <v>461</v>
      </c>
      <c r="E69" s="256"/>
    </row>
    <row r="70" spans="2:6" hidden="1" x14ac:dyDescent="0.25">
      <c r="C70" s="267"/>
      <c r="D70" s="256"/>
      <c r="E70" s="256"/>
    </row>
    <row r="71" spans="2:6" hidden="1" x14ac:dyDescent="0.25">
      <c r="C71" s="259" t="s">
        <v>408</v>
      </c>
      <c r="D71" s="256"/>
      <c r="E71" s="256"/>
    </row>
    <row r="72" spans="2:6" hidden="1" x14ac:dyDescent="0.25">
      <c r="B72">
        <v>0</v>
      </c>
      <c r="C72" s="263">
        <v>0.75</v>
      </c>
      <c r="D72" s="268" t="s">
        <v>30</v>
      </c>
      <c r="E72" s="256"/>
    </row>
    <row r="73" spans="2:6" hidden="1" x14ac:dyDescent="0.25">
      <c r="B73">
        <v>1</v>
      </c>
      <c r="C73" s="263">
        <v>1.5</v>
      </c>
      <c r="D73" s="268" t="s">
        <v>30</v>
      </c>
      <c r="E73" s="256"/>
    </row>
    <row r="74" spans="2:6" hidden="1" x14ac:dyDescent="0.25">
      <c r="B74">
        <v>2</v>
      </c>
      <c r="C74" s="263">
        <v>3</v>
      </c>
      <c r="D74" s="268" t="s">
        <v>30</v>
      </c>
      <c r="E74" s="256"/>
    </row>
    <row r="75" spans="2:6" hidden="1" x14ac:dyDescent="0.25">
      <c r="B75">
        <v>3</v>
      </c>
      <c r="C75" s="263">
        <v>6</v>
      </c>
      <c r="D75" s="268" t="s">
        <v>30</v>
      </c>
      <c r="E75" s="256"/>
    </row>
    <row r="76" spans="2:6" hidden="1" x14ac:dyDescent="0.25">
      <c r="C76" s="267"/>
      <c r="D76" s="256"/>
      <c r="E76" s="256"/>
    </row>
    <row r="77" spans="2:6" hidden="1" x14ac:dyDescent="0.25">
      <c r="C77" s="259" t="s">
        <v>462</v>
      </c>
      <c r="D77" s="256"/>
      <c r="E77" s="256"/>
      <c r="F77" s="223"/>
    </row>
    <row r="78" spans="2:6" hidden="1" x14ac:dyDescent="0.25">
      <c r="B78">
        <v>0</v>
      </c>
      <c r="C78" s="263">
        <v>20.6</v>
      </c>
      <c r="D78" s="9" t="s">
        <v>461</v>
      </c>
      <c r="E78" s="256"/>
      <c r="F78" s="215"/>
    </row>
    <row r="79" spans="2:6" hidden="1" x14ac:dyDescent="0.25">
      <c r="B79">
        <v>1</v>
      </c>
      <c r="C79" s="263">
        <v>417.4</v>
      </c>
      <c r="D79" s="9" t="s">
        <v>461</v>
      </c>
      <c r="E79" s="256"/>
      <c r="F79" s="215"/>
    </row>
    <row r="80" spans="2:6" hidden="1" x14ac:dyDescent="0.25">
      <c r="C80" s="267"/>
      <c r="D80" s="256"/>
      <c r="E80" s="256"/>
      <c r="F80" s="223"/>
    </row>
    <row r="81" spans="2:5" hidden="1" x14ac:dyDescent="0.25">
      <c r="C81" s="259" t="s">
        <v>409</v>
      </c>
      <c r="D81" s="256"/>
      <c r="E81" s="256"/>
    </row>
    <row r="82" spans="2:5" hidden="1" x14ac:dyDescent="0.25">
      <c r="B82">
        <v>0</v>
      </c>
      <c r="C82" s="263">
        <v>3</v>
      </c>
      <c r="D82" s="268" t="s">
        <v>30</v>
      </c>
      <c r="E82" s="256"/>
    </row>
    <row r="83" spans="2:5" hidden="1" x14ac:dyDescent="0.25">
      <c r="B83">
        <v>1</v>
      </c>
      <c r="C83" s="263">
        <v>6</v>
      </c>
      <c r="D83" s="268" t="s">
        <v>30</v>
      </c>
      <c r="E83" s="256"/>
    </row>
    <row r="84" spans="2:5" hidden="1" x14ac:dyDescent="0.25">
      <c r="B84">
        <v>2</v>
      </c>
      <c r="C84" s="263">
        <v>12</v>
      </c>
      <c r="D84" s="268" t="s">
        <v>30</v>
      </c>
      <c r="E84" s="256"/>
    </row>
    <row r="85" spans="2:5" hidden="1" x14ac:dyDescent="0.25">
      <c r="B85">
        <v>3</v>
      </c>
      <c r="C85" s="263">
        <v>24</v>
      </c>
      <c r="D85" s="268" t="s">
        <v>30</v>
      </c>
      <c r="E85" s="256"/>
    </row>
    <row r="86" spans="2:5" hidden="1" x14ac:dyDescent="0.25">
      <c r="C86" s="267"/>
      <c r="D86" s="256"/>
      <c r="E86" s="256"/>
    </row>
    <row r="87" spans="2:5" hidden="1" x14ac:dyDescent="0.25">
      <c r="C87" s="259" t="s">
        <v>463</v>
      </c>
      <c r="D87" s="256"/>
      <c r="E87" s="256"/>
    </row>
    <row r="88" spans="2:5" hidden="1" x14ac:dyDescent="0.25">
      <c r="B88">
        <v>0</v>
      </c>
      <c r="C88" s="263">
        <v>24.6</v>
      </c>
      <c r="D88" s="9" t="s">
        <v>461</v>
      </c>
      <c r="E88" s="256"/>
    </row>
    <row r="89" spans="2:5" hidden="1" x14ac:dyDescent="0.25">
      <c r="B89">
        <v>1</v>
      </c>
      <c r="C89" s="263">
        <v>834.8</v>
      </c>
      <c r="D89" s="9" t="s">
        <v>461</v>
      </c>
      <c r="E89" s="256"/>
    </row>
    <row r="90" spans="2:5" x14ac:dyDescent="0.25">
      <c r="C90" s="9"/>
      <c r="D90" s="256"/>
      <c r="E90" s="256"/>
    </row>
    <row r="91" spans="2:5" x14ac:dyDescent="0.25">
      <c r="C91" s="9"/>
      <c r="D91" s="256"/>
      <c r="E91" s="256"/>
    </row>
    <row r="92" spans="2:5" x14ac:dyDescent="0.25">
      <c r="C92" s="9"/>
      <c r="D92" s="256"/>
      <c r="E92" s="256"/>
    </row>
    <row r="93" spans="2:5" x14ac:dyDescent="0.25">
      <c r="C93" s="9"/>
      <c r="D93" s="256"/>
      <c r="E93" s="256"/>
    </row>
    <row r="94" spans="2:5" x14ac:dyDescent="0.25">
      <c r="C94" s="9"/>
      <c r="D94" s="256"/>
      <c r="E94" s="256"/>
    </row>
  </sheetData>
  <sheetProtection sheet="1" objects="1" scenarios="1"/>
  <conditionalFormatting sqref="F9:F10 F34:F40 F12:F13 F16:F25">
    <cfRule type="cellIs" dxfId="35" priority="15" operator="equal">
      <formula>"in range"</formula>
    </cfRule>
  </conditionalFormatting>
  <conditionalFormatting sqref="F31:F32 F28:F29">
    <cfRule type="cellIs" dxfId="34" priority="14" operator="equal">
      <formula>"in range"</formula>
    </cfRule>
  </conditionalFormatting>
  <conditionalFormatting sqref="F9:F10 F34:F40 F12:F13 F31:F32 F16:F25 F28:F29">
    <cfRule type="cellIs" dxfId="33" priority="12" operator="equal">
      <formula>"too small"</formula>
    </cfRule>
    <cfRule type="cellIs" dxfId="32" priority="13" operator="equal">
      <formula>"too large"</formula>
    </cfRule>
  </conditionalFormatting>
  <conditionalFormatting sqref="F35">
    <cfRule type="cellIs" dxfId="31" priority="11" operator="equal">
      <formula>"in range"</formula>
    </cfRule>
  </conditionalFormatting>
  <conditionalFormatting sqref="F11">
    <cfRule type="cellIs" dxfId="30" priority="8" operator="equal">
      <formula>"In range"</formula>
    </cfRule>
    <cfRule type="cellIs" dxfId="29" priority="9" operator="equal">
      <formula>"too low"</formula>
    </cfRule>
    <cfRule type="cellIs" dxfId="28" priority="10" operator="equal">
      <formula>"too high"</formula>
    </cfRule>
  </conditionalFormatting>
  <conditionalFormatting sqref="F30">
    <cfRule type="cellIs" dxfId="27" priority="5" operator="equal">
      <formula>"In Range"</formula>
    </cfRule>
    <cfRule type="cellIs" dxfId="26" priority="6" operator="equal">
      <formula>"too high"</formula>
    </cfRule>
    <cfRule type="cellIs" dxfId="25" priority="7" operator="equal">
      <formula>"too low"</formula>
    </cfRule>
  </conditionalFormatting>
  <conditionalFormatting sqref="D17">
    <cfRule type="cellIs" dxfId="24" priority="1" operator="greaterThan">
      <formula>$D$16</formula>
    </cfRule>
  </conditionalFormatting>
  <dataValidations count="1">
    <dataValidation type="list" allowBlank="1" showInputMessage="1" showErrorMessage="1" sqref="D16:D17">
      <formula1>$C$62:$C$69</formula1>
    </dataValidation>
  </dataValidations>
  <hyperlinks>
    <hyperlink ref="H2" location="Contents!A1" display="Return to Main Page"/>
  </hyperlink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theme="4" tint="0.59999389629810485"/>
  </sheetPr>
  <dimension ref="A2:I111"/>
  <sheetViews>
    <sheetView showGridLines="0" showRowColHeaders="0" tabSelected="1" workbookViewId="0">
      <selection activeCell="D19" sqref="D19"/>
    </sheetView>
  </sheetViews>
  <sheetFormatPr defaultRowHeight="15" x14ac:dyDescent="0.25"/>
  <cols>
    <col min="1" max="1" width="7.28515625" customWidth="1"/>
    <col min="2" max="2" width="4.7109375" customWidth="1"/>
    <col min="3" max="3" width="23.28515625" customWidth="1"/>
    <col min="4" max="4" width="14.28515625" customWidth="1"/>
    <col min="5" max="5" width="7.7109375" customWidth="1"/>
    <col min="6" max="6" width="43.5703125" customWidth="1"/>
  </cols>
  <sheetData>
    <row r="2" spans="2:7" ht="18.75" x14ac:dyDescent="0.3">
      <c r="B2" s="4" t="s">
        <v>334</v>
      </c>
      <c r="F2" s="71" t="s">
        <v>251</v>
      </c>
    </row>
    <row r="3" spans="2:7" x14ac:dyDescent="0.25">
      <c r="C3" t="s">
        <v>429</v>
      </c>
    </row>
    <row r="4" spans="2:7" x14ac:dyDescent="0.25">
      <c r="E4" s="9"/>
    </row>
    <row r="5" spans="2:7" x14ac:dyDescent="0.25">
      <c r="B5" s="10" t="s">
        <v>427</v>
      </c>
      <c r="E5" s="9"/>
    </row>
    <row r="6" spans="2:7" x14ac:dyDescent="0.25">
      <c r="C6" t="s">
        <v>321</v>
      </c>
      <c r="E6" s="9"/>
    </row>
    <row r="7" spans="2:7" x14ac:dyDescent="0.25">
      <c r="C7" t="s">
        <v>441</v>
      </c>
      <c r="E7" s="9"/>
    </row>
    <row r="8" spans="2:7" x14ac:dyDescent="0.25">
      <c r="E8" s="9"/>
    </row>
    <row r="9" spans="2:7" x14ac:dyDescent="0.25">
      <c r="C9" s="153" t="s">
        <v>332</v>
      </c>
      <c r="D9" s="97" t="s">
        <v>419</v>
      </c>
      <c r="E9" s="9"/>
    </row>
    <row r="10" spans="2:7" x14ac:dyDescent="0.25">
      <c r="C10" s="153" t="s">
        <v>328</v>
      </c>
      <c r="D10" s="97">
        <v>200</v>
      </c>
      <c r="E10" s="9" t="s">
        <v>149</v>
      </c>
      <c r="F10" t="s">
        <v>479</v>
      </c>
    </row>
    <row r="11" spans="2:7" x14ac:dyDescent="0.25">
      <c r="C11" s="153" t="s">
        <v>325</v>
      </c>
      <c r="D11" s="80">
        <f>IF(D9="LDC131x",2^12-1,IF(D9="LDC161x",2^28-1,2^24-1))</f>
        <v>16777215</v>
      </c>
      <c r="E11" s="9"/>
    </row>
    <row r="12" spans="2:7" x14ac:dyDescent="0.25">
      <c r="C12" s="153" t="s">
        <v>326</v>
      </c>
      <c r="D12" s="63">
        <v>0</v>
      </c>
      <c r="E12" s="9"/>
      <c r="F12" t="str">
        <f>IF(D9="LDC131x","Value programmed into OUTPUT_GAIN Field","")</f>
        <v/>
      </c>
    </row>
    <row r="13" spans="2:7" ht="15" customHeight="1" x14ac:dyDescent="0.35">
      <c r="C13" s="153" t="str">
        <f>IF(E13="dec","Output Code","Output Code           0x")</f>
        <v>Output Code           0x</v>
      </c>
      <c r="D13" s="97" t="s">
        <v>477</v>
      </c>
      <c r="E13" s="499" t="s">
        <v>443</v>
      </c>
      <c r="F13" t="str">
        <f>IF(D9="LDC131x","LDC output from Registers [0x00-0x07]",IF(D9="LDC161x","LDC output from Registers [0x00-0x08]","LDC output from Registers [0x38-0x3A]"))</f>
        <v>LDC output from Registers [0x38-0x3A]</v>
      </c>
      <c r="G13" s="272"/>
    </row>
    <row r="14" spans="2:7" ht="15" hidden="1" customHeight="1" x14ac:dyDescent="0.35">
      <c r="C14" s="153"/>
      <c r="D14" s="305">
        <f>IF(E13="Hex",HEX2DEC(D13),D13)</f>
        <v>700707</v>
      </c>
      <c r="E14" s="500" t="s">
        <v>464</v>
      </c>
      <c r="G14" s="272"/>
    </row>
    <row r="15" spans="2:7" x14ac:dyDescent="0.25">
      <c r="C15" s="153" t="str">
        <f>IF(E15="dec","Channel Offset","Channel Offset           0x")</f>
        <v>Channel Offset           0x</v>
      </c>
      <c r="D15" s="97">
        <v>0</v>
      </c>
      <c r="E15" s="499" t="s">
        <v>443</v>
      </c>
      <c r="F15" t="s">
        <v>327</v>
      </c>
    </row>
    <row r="16" spans="2:7" hidden="1" x14ac:dyDescent="0.25">
      <c r="C16" s="153"/>
      <c r="D16" s="305">
        <f>IF(E15="Hex",HEX2DEC(D15),D15)</f>
        <v>0</v>
      </c>
      <c r="E16" s="9" t="s">
        <v>464</v>
      </c>
    </row>
    <row r="17" spans="2:9" hidden="1" x14ac:dyDescent="0.25">
      <c r="C17" s="153" t="s">
        <v>440</v>
      </c>
      <c r="D17" s="305">
        <f>IF(D9="LDC1101",16,42)</f>
        <v>16</v>
      </c>
      <c r="E17" s="9" t="s">
        <v>0</v>
      </c>
    </row>
    <row r="18" spans="2:9" x14ac:dyDescent="0.25">
      <c r="C18" s="153" t="s">
        <v>333</v>
      </c>
      <c r="D18" s="497">
        <v>16</v>
      </c>
      <c r="E18" s="9" t="s">
        <v>0</v>
      </c>
      <c r="F18" s="152" t="str">
        <f>IF(D18&gt;D17,"Reference frequency is above maximum spec","")</f>
        <v/>
      </c>
    </row>
    <row r="19" spans="2:9" x14ac:dyDescent="0.25">
      <c r="C19" s="153" t="s">
        <v>330</v>
      </c>
      <c r="D19" s="498">
        <v>1</v>
      </c>
      <c r="E19" s="9"/>
    </row>
    <row r="20" spans="2:9" x14ac:dyDescent="0.25">
      <c r="C20" s="153" t="s">
        <v>331</v>
      </c>
      <c r="D20" s="498">
        <v>1</v>
      </c>
      <c r="E20" s="9"/>
    </row>
    <row r="21" spans="2:9" x14ac:dyDescent="0.25">
      <c r="C21" s="153" t="s">
        <v>2</v>
      </c>
      <c r="D21" s="79">
        <f>IF(D9="LDC131x",D20*(D18/D19)*(D14/(2^(12+D12))+D16/65536),D20*(D18/D19)*(D14/D11+D16/65536))</f>
        <v>0.66824630905665805</v>
      </c>
      <c r="E21" s="155" t="s">
        <v>0</v>
      </c>
      <c r="F21" s="152" t="str">
        <f>IF(D21&gt;10,"Note: This sensor frequency is higher than specified max"," ")</f>
        <v xml:space="preserve"> </v>
      </c>
      <c r="I21" s="61"/>
    </row>
    <row r="22" spans="2:9" hidden="1" x14ac:dyDescent="0.25">
      <c r="C22" s="154"/>
      <c r="D22" s="159">
        <f>D10*0.000000000001</f>
        <v>2.0000000000000001E-10</v>
      </c>
      <c r="E22" s="76" t="s">
        <v>147</v>
      </c>
      <c r="F22" s="65"/>
    </row>
    <row r="23" spans="2:9" hidden="1" x14ac:dyDescent="0.25">
      <c r="C23" s="154"/>
      <c r="D23" s="160">
        <f>1/(D22*(D21*1000000*2*PI())^2)</f>
        <v>2.8362018126597765E-4</v>
      </c>
      <c r="E23" s="76" t="s">
        <v>1</v>
      </c>
      <c r="F23" s="65"/>
    </row>
    <row r="24" spans="2:9" x14ac:dyDescent="0.25">
      <c r="C24" s="153" t="s">
        <v>150</v>
      </c>
      <c r="D24" s="87">
        <f>D23*1000000</f>
        <v>283.62018126597764</v>
      </c>
      <c r="E24" s="75" t="s">
        <v>146</v>
      </c>
      <c r="I24" s="61"/>
    </row>
    <row r="25" spans="2:9" x14ac:dyDescent="0.25">
      <c r="C25" s="153"/>
      <c r="D25" s="243"/>
      <c r="E25" s="75"/>
      <c r="I25" s="61"/>
    </row>
    <row r="27" spans="2:9" x14ac:dyDescent="0.25">
      <c r="B27" s="10" t="s">
        <v>428</v>
      </c>
    </row>
    <row r="28" spans="2:9" ht="15.75" x14ac:dyDescent="0.25">
      <c r="B28" s="73"/>
      <c r="C28" t="s">
        <v>423</v>
      </c>
    </row>
    <row r="29" spans="2:9" ht="15.75" x14ac:dyDescent="0.25">
      <c r="B29" s="73"/>
      <c r="C29" t="s">
        <v>424</v>
      </c>
    </row>
    <row r="30" spans="2:9" ht="15.75" x14ac:dyDescent="0.25">
      <c r="B30" s="73"/>
    </row>
    <row r="31" spans="2:9" ht="15.75" x14ac:dyDescent="0.25">
      <c r="B31" s="73"/>
      <c r="C31" t="s">
        <v>15</v>
      </c>
      <c r="D31" s="501" t="s">
        <v>419</v>
      </c>
    </row>
    <row r="32" spans="2:9" x14ac:dyDescent="0.25">
      <c r="C32" s="153" t="s">
        <v>148</v>
      </c>
      <c r="D32" s="97">
        <v>192</v>
      </c>
      <c r="F32" t="s">
        <v>465</v>
      </c>
    </row>
    <row r="33" spans="2:6" x14ac:dyDescent="0.25">
      <c r="C33" s="153" t="str">
        <f>IF(E33="decimal","Count Output","Count Output           0x")</f>
        <v>Count Output</v>
      </c>
      <c r="D33" s="97">
        <v>7377000</v>
      </c>
      <c r="E33" s="499" t="s">
        <v>468</v>
      </c>
      <c r="F33" t="s">
        <v>217</v>
      </c>
    </row>
    <row r="34" spans="2:6" hidden="1" x14ac:dyDescent="0.25">
      <c r="C34" s="153"/>
      <c r="D34" s="242">
        <f>IF(E33="Hex",HEX2DEC(D33),D33)</f>
        <v>7377000</v>
      </c>
      <c r="E34" s="9" t="s">
        <v>464</v>
      </c>
    </row>
    <row r="35" spans="2:6" x14ac:dyDescent="0.25">
      <c r="C35" s="153" t="s">
        <v>425</v>
      </c>
      <c r="D35" s="89">
        <f>IF(D31="LDC1101",16,8)</f>
        <v>16</v>
      </c>
      <c r="E35" s="9" t="s">
        <v>0</v>
      </c>
    </row>
    <row r="36" spans="2:6" x14ac:dyDescent="0.25">
      <c r="C36" s="153" t="s">
        <v>19</v>
      </c>
      <c r="D36" s="497">
        <v>16</v>
      </c>
      <c r="E36" s="9" t="s">
        <v>0</v>
      </c>
      <c r="F36" t="s">
        <v>484</v>
      </c>
    </row>
    <row r="37" spans="2:6" x14ac:dyDescent="0.25">
      <c r="C37" s="153" t="s">
        <v>426</v>
      </c>
      <c r="D37" s="89">
        <f>IF(D31="LDC1101",10,5)</f>
        <v>10</v>
      </c>
      <c r="E37" s="9" t="s">
        <v>0</v>
      </c>
      <c r="F37" s="65"/>
    </row>
    <row r="38" spans="2:6" x14ac:dyDescent="0.25">
      <c r="C38" s="153" t="s">
        <v>2</v>
      </c>
      <c r="D38" s="79">
        <f>D36*D32/(3*D34)</f>
        <v>1.3880981428765081E-4</v>
      </c>
      <c r="E38" s="155" t="s">
        <v>0</v>
      </c>
      <c r="F38" s="152" t="str">
        <f>IF(D38&gt;D37,"Note: This sensor frequency is higher than specified max"," ")</f>
        <v xml:space="preserve"> </v>
      </c>
    </row>
    <row r="39" spans="2:6" x14ac:dyDescent="0.25">
      <c r="C39" s="153" t="s">
        <v>328</v>
      </c>
      <c r="D39" s="97">
        <v>200</v>
      </c>
      <c r="E39" s="9" t="s">
        <v>149</v>
      </c>
      <c r="F39" t="s">
        <v>329</v>
      </c>
    </row>
    <row r="40" spans="2:6" hidden="1" x14ac:dyDescent="0.25">
      <c r="C40" s="154"/>
      <c r="D40" s="159">
        <f>D39*0.000000000001</f>
        <v>2.0000000000000001E-10</v>
      </c>
      <c r="E40" s="76" t="s">
        <v>147</v>
      </c>
      <c r="F40" s="65"/>
    </row>
    <row r="41" spans="2:6" hidden="1" x14ac:dyDescent="0.25">
      <c r="C41" s="154"/>
      <c r="D41" s="160">
        <f>1/(D40*(D38*1000000*2*PI())^2)</f>
        <v>6573.0951836689856</v>
      </c>
      <c r="E41" s="76" t="s">
        <v>1</v>
      </c>
      <c r="F41" s="65"/>
    </row>
    <row r="42" spans="2:6" x14ac:dyDescent="0.25">
      <c r="C42" s="153" t="s">
        <v>150</v>
      </c>
      <c r="D42" s="87">
        <f>D41*1000000</f>
        <v>6573095183.6689854</v>
      </c>
      <c r="E42" s="75" t="s">
        <v>146</v>
      </c>
    </row>
    <row r="43" spans="2:6" x14ac:dyDescent="0.25">
      <c r="C43" s="153" t="s">
        <v>320</v>
      </c>
      <c r="D43" s="143">
        <f>1/(D34/D38/1000)</f>
        <v>1.8816566936105572E-8</v>
      </c>
      <c r="E43" s="9" t="s">
        <v>258</v>
      </c>
    </row>
    <row r="44" spans="2:6" x14ac:dyDescent="0.25">
      <c r="E44" s="9"/>
    </row>
    <row r="45" spans="2:6" ht="18" x14ac:dyDescent="0.35">
      <c r="B45" s="10" t="s">
        <v>469</v>
      </c>
    </row>
    <row r="46" spans="2:6" x14ac:dyDescent="0.25">
      <c r="C46" s="140" t="s">
        <v>15</v>
      </c>
      <c r="D46" s="501" t="s">
        <v>419</v>
      </c>
    </row>
    <row r="47" spans="2:6" x14ac:dyDescent="0.25">
      <c r="C47" s="246" t="s">
        <v>431</v>
      </c>
      <c r="D47" s="97">
        <v>1.5</v>
      </c>
      <c r="E47" s="69" t="s">
        <v>435</v>
      </c>
      <c r="F47" t="str">
        <f>IF(D48&lt;D47,"RP Min must be less than Rpmax setting!","Register 0x01")</f>
        <v>Register 0x01</v>
      </c>
    </row>
    <row r="48" spans="2:6" x14ac:dyDescent="0.25">
      <c r="C48" s="246" t="s">
        <v>430</v>
      </c>
      <c r="D48" s="97">
        <v>12</v>
      </c>
      <c r="E48" s="69" t="s">
        <v>435</v>
      </c>
      <c r="F48" t="str">
        <f>IF(D48&lt;D47,"RP Min must be less than Rpmax setting!",IF(D46="LDC1101","Register 0x01", "Register 0x02"))</f>
        <v>Register 0x01</v>
      </c>
    </row>
    <row r="49" spans="1:6" hidden="1" x14ac:dyDescent="0.25">
      <c r="C49" s="246" t="s">
        <v>437</v>
      </c>
      <c r="D49" s="305">
        <f>IF(D46="LDC1041/1051",255,IF(D46="LDC1000",32768,IF(D46="LDC1101",65535)))</f>
        <v>65535</v>
      </c>
      <c r="E49" s="72" t="s">
        <v>464</v>
      </c>
    </row>
    <row r="50" spans="1:6" x14ac:dyDescent="0.25">
      <c r="C50" s="246" t="str">
        <f>IF(E50="Hex","RP Data Output                0x","RP Data Output")</f>
        <v>RP Data Output                0x</v>
      </c>
      <c r="D50" s="97" t="s">
        <v>510</v>
      </c>
      <c r="E50" s="499" t="s">
        <v>443</v>
      </c>
      <c r="F50" t="str">
        <f>IF(D51&gt;D49,"Output Code exceeds maximum for device!",IF(D46="LDC1041/1051","LDC output from Register 0x22","LDC output from Registers [0x21:0x22]"))</f>
        <v>LDC output from Registers [0x21:0x22]</v>
      </c>
    </row>
    <row r="51" spans="1:6" hidden="1" x14ac:dyDescent="0.25">
      <c r="C51" s="246" t="s">
        <v>439</v>
      </c>
      <c r="D51" s="242">
        <f>IF(E50="Decimal",D50,HEX2DEC(D50))</f>
        <v>13297</v>
      </c>
      <c r="E51" s="9" t="s">
        <v>464</v>
      </c>
    </row>
    <row r="52" spans="1:6" hidden="1" x14ac:dyDescent="0.25">
      <c r="C52" s="246" t="s">
        <v>438</v>
      </c>
      <c r="D52" s="233">
        <f>(D47*D48*1000)/(D47*1000*(1-D51/D49)+D48*1000*D51/D49)</f>
        <v>4.9580743187864877</v>
      </c>
      <c r="E52" s="69" t="s">
        <v>435</v>
      </c>
    </row>
    <row r="53" spans="1:6" hidden="1" x14ac:dyDescent="0.25">
      <c r="C53" s="246" t="s">
        <v>436</v>
      </c>
      <c r="D53" s="233">
        <f>(D47*D48)/(D48*(1-D51/65535)+D47*(D51/65535))</f>
        <v>1.8237898335115175</v>
      </c>
      <c r="E53" s="69" t="s">
        <v>435</v>
      </c>
    </row>
    <row r="54" spans="1:6" ht="18" x14ac:dyDescent="0.35">
      <c r="C54" s="273" t="s">
        <v>470</v>
      </c>
      <c r="D54" s="79">
        <f>IF(D46="LDC1101",D53,(D47*D48*1000)/(D47*1000*(1-D51/D49)+D48*1000*D51/D49))</f>
        <v>1.8237898335115175</v>
      </c>
      <c r="E54" s="69" t="s">
        <v>435</v>
      </c>
    </row>
    <row r="57" spans="1:6" ht="15.75" x14ac:dyDescent="0.25">
      <c r="A57" s="74"/>
      <c r="B57" s="74"/>
      <c r="C57" s="144" t="s">
        <v>341</v>
      </c>
      <c r="D57" s="38"/>
      <c r="E57" s="38"/>
    </row>
    <row r="58" spans="1:6" x14ac:dyDescent="0.25">
      <c r="A58" s="74"/>
      <c r="B58" s="74"/>
      <c r="C58" s="80" t="str">
        <f>IF(C60="L","fsensor","L")</f>
        <v>L</v>
      </c>
      <c r="D58" s="98">
        <v>3.7090000000000001</v>
      </c>
      <c r="E58" s="145" t="str">
        <f>IF(C58="fsensor","MHz","µH")</f>
        <v>µH</v>
      </c>
    </row>
    <row r="59" spans="1:6" x14ac:dyDescent="0.25">
      <c r="A59" s="74"/>
      <c r="B59" s="74"/>
      <c r="C59" s="80" t="str">
        <f>IF(C60="C","fsensor","C")</f>
        <v>C</v>
      </c>
      <c r="D59" s="98">
        <v>104</v>
      </c>
      <c r="E59" s="146" t="str">
        <f>IF(C59="fsensor","MHz","pF")</f>
        <v>pF</v>
      </c>
    </row>
    <row r="60" spans="1:6" x14ac:dyDescent="0.25">
      <c r="A60" s="74"/>
      <c r="B60" s="74"/>
      <c r="C60" s="97" t="s">
        <v>284</v>
      </c>
      <c r="D60" s="79">
        <f>IF(C60="fsensor",0.000001/(2*PI()*SQRT(D58*0.000001*D59*0.000000000001)),IF(C60="C",1000000000000/((D58*0.000001)*(2*PI()*D59*1000000)^2),1000000/((D59*0.000000000001)*(2*PI()*D58*1000000)^2)))</f>
        <v>8.1035449472598291</v>
      </c>
      <c r="E60" s="80" t="str">
        <f>IF(C60="fsensor","MHz",IF(C60="L","µH","pF"))</f>
        <v>MHz</v>
      </c>
    </row>
    <row r="61" spans="1:6" x14ac:dyDescent="0.25">
      <c r="A61" s="74"/>
      <c r="B61" s="74"/>
    </row>
    <row r="62" spans="1:6" x14ac:dyDescent="0.25">
      <c r="A62" s="74"/>
      <c r="B62" s="74"/>
    </row>
    <row r="63" spans="1:6" x14ac:dyDescent="0.25">
      <c r="A63" s="74"/>
      <c r="B63" s="74"/>
    </row>
    <row r="64" spans="1:6" x14ac:dyDescent="0.25">
      <c r="A64" s="74"/>
      <c r="B64" s="74"/>
    </row>
    <row r="65" spans="1:5" x14ac:dyDescent="0.25">
      <c r="A65" s="74"/>
      <c r="B65" s="74"/>
    </row>
    <row r="66" spans="1:5" x14ac:dyDescent="0.25">
      <c r="A66" s="74"/>
      <c r="B66" s="74"/>
    </row>
    <row r="67" spans="1:5" x14ac:dyDescent="0.25">
      <c r="A67" s="74"/>
      <c r="B67" s="74"/>
    </row>
    <row r="68" spans="1:5" x14ac:dyDescent="0.25">
      <c r="A68" s="74"/>
      <c r="B68" s="74"/>
    </row>
    <row r="69" spans="1:5" x14ac:dyDescent="0.25">
      <c r="A69" s="74"/>
      <c r="B69" s="74"/>
    </row>
    <row r="70" spans="1:5" x14ac:dyDescent="0.25">
      <c r="A70" s="74"/>
      <c r="B70" s="74"/>
    </row>
    <row r="71" spans="1:5" x14ac:dyDescent="0.25">
      <c r="A71" s="74"/>
      <c r="B71" s="74"/>
    </row>
    <row r="72" spans="1:5" x14ac:dyDescent="0.25">
      <c r="A72" s="74"/>
      <c r="B72" s="74"/>
    </row>
    <row r="73" spans="1:5" x14ac:dyDescent="0.25">
      <c r="A73" s="74"/>
      <c r="B73" s="74"/>
    </row>
    <row r="79" spans="1:5" hidden="1" x14ac:dyDescent="0.25">
      <c r="C79" s="245" t="s">
        <v>434</v>
      </c>
      <c r="D79" s="245" t="s">
        <v>432</v>
      </c>
      <c r="E79" s="245" t="s">
        <v>433</v>
      </c>
    </row>
    <row r="80" spans="1:5" hidden="1" x14ac:dyDescent="0.25">
      <c r="C80" s="244">
        <f>IF(D$46="LDC1101",E80,D80)</f>
        <v>96</v>
      </c>
      <c r="D80" s="244">
        <v>3926.991</v>
      </c>
      <c r="E80" s="244">
        <v>96</v>
      </c>
    </row>
    <row r="81" spans="3:5" hidden="1" x14ac:dyDescent="0.25">
      <c r="C81" s="244">
        <f t="shared" ref="C81:C111" si="0">IF(D$46="LDC1101",E81,D81)</f>
        <v>48</v>
      </c>
      <c r="D81" s="244">
        <v>3141.5929999999998</v>
      </c>
      <c r="E81" s="244">
        <v>48</v>
      </c>
    </row>
    <row r="82" spans="3:5" hidden="1" x14ac:dyDescent="0.25">
      <c r="C82" s="244">
        <f t="shared" si="0"/>
        <v>24</v>
      </c>
      <c r="D82" s="244">
        <v>2243.9949999999999</v>
      </c>
      <c r="E82" s="244">
        <v>24</v>
      </c>
    </row>
    <row r="83" spans="3:5" hidden="1" x14ac:dyDescent="0.25">
      <c r="C83" s="244">
        <f t="shared" si="0"/>
        <v>12</v>
      </c>
      <c r="D83" s="244">
        <v>1745.329</v>
      </c>
      <c r="E83" s="244">
        <v>12</v>
      </c>
    </row>
    <row r="84" spans="3:5" hidden="1" x14ac:dyDescent="0.25">
      <c r="C84" s="244">
        <f t="shared" si="0"/>
        <v>6</v>
      </c>
      <c r="D84" s="244">
        <v>1308.9970000000001</v>
      </c>
      <c r="E84" s="244">
        <v>6</v>
      </c>
    </row>
    <row r="85" spans="3:5" hidden="1" x14ac:dyDescent="0.25">
      <c r="C85" s="244">
        <f t="shared" si="0"/>
        <v>3</v>
      </c>
      <c r="D85" s="244">
        <v>981.74800000000005</v>
      </c>
      <c r="E85" s="244">
        <v>3</v>
      </c>
    </row>
    <row r="86" spans="3:5" hidden="1" x14ac:dyDescent="0.25">
      <c r="C86" s="244">
        <f t="shared" si="0"/>
        <v>1.5</v>
      </c>
      <c r="D86" s="244">
        <v>747.99800000000005</v>
      </c>
      <c r="E86" s="244">
        <v>1.5</v>
      </c>
    </row>
    <row r="87" spans="3:5" hidden="1" x14ac:dyDescent="0.25">
      <c r="C87" s="244">
        <f t="shared" si="0"/>
        <v>0.75</v>
      </c>
      <c r="D87" s="244">
        <v>581.77599999999995</v>
      </c>
      <c r="E87" s="244">
        <v>0.75</v>
      </c>
    </row>
    <row r="88" spans="3:5" hidden="1" x14ac:dyDescent="0.25">
      <c r="C88" s="244">
        <f t="shared" si="0"/>
        <v>0</v>
      </c>
      <c r="D88" s="244">
        <v>436.33199999999999</v>
      </c>
      <c r="E88" s="244"/>
    </row>
    <row r="89" spans="3:5" hidden="1" x14ac:dyDescent="0.25">
      <c r="C89" s="244">
        <f t="shared" si="0"/>
        <v>0</v>
      </c>
      <c r="D89" s="244">
        <v>349.06599999999997</v>
      </c>
      <c r="E89" s="244"/>
    </row>
    <row r="90" spans="3:5" hidden="1" x14ac:dyDescent="0.25">
      <c r="C90" s="244">
        <f t="shared" si="0"/>
        <v>0</v>
      </c>
      <c r="D90" s="244">
        <v>249.333</v>
      </c>
      <c r="E90" s="244"/>
    </row>
    <row r="91" spans="3:5" hidden="1" x14ac:dyDescent="0.25">
      <c r="C91" s="244">
        <f t="shared" si="0"/>
        <v>0</v>
      </c>
      <c r="D91" s="244">
        <v>193.92599999999999</v>
      </c>
      <c r="E91" s="244"/>
    </row>
    <row r="92" spans="3:5" hidden="1" x14ac:dyDescent="0.25">
      <c r="C92" s="244">
        <f t="shared" si="0"/>
        <v>0</v>
      </c>
      <c r="D92" s="244">
        <v>145.44399999999999</v>
      </c>
      <c r="E92" s="244"/>
    </row>
    <row r="93" spans="3:5" hidden="1" x14ac:dyDescent="0.25">
      <c r="C93" s="244">
        <f t="shared" si="0"/>
        <v>0</v>
      </c>
      <c r="D93" s="244">
        <v>109.083</v>
      </c>
      <c r="E93" s="244"/>
    </row>
    <row r="94" spans="3:5" hidden="1" x14ac:dyDescent="0.25">
      <c r="C94" s="244">
        <f t="shared" si="0"/>
        <v>0</v>
      </c>
      <c r="D94" s="244">
        <v>83.111000000000004</v>
      </c>
      <c r="E94" s="244"/>
    </row>
    <row r="95" spans="3:5" hidden="1" x14ac:dyDescent="0.25">
      <c r="C95" s="244">
        <f t="shared" si="0"/>
        <v>0</v>
      </c>
      <c r="D95" s="244">
        <v>64.641999999999996</v>
      </c>
      <c r="E95" s="244"/>
    </row>
    <row r="96" spans="3:5" hidden="1" x14ac:dyDescent="0.25">
      <c r="C96" s="244">
        <f t="shared" si="0"/>
        <v>0</v>
      </c>
      <c r="D96" s="244">
        <v>48.481000000000002</v>
      </c>
      <c r="E96" s="244"/>
    </row>
    <row r="97" spans="3:5" hidden="1" x14ac:dyDescent="0.25">
      <c r="C97" s="244">
        <f t="shared" si="0"/>
        <v>0</v>
      </c>
      <c r="D97" s="244">
        <v>38.784999999999997</v>
      </c>
      <c r="E97" s="244"/>
    </row>
    <row r="98" spans="3:5" hidden="1" x14ac:dyDescent="0.25">
      <c r="C98" s="244">
        <f t="shared" si="0"/>
        <v>0</v>
      </c>
      <c r="D98" s="244">
        <v>27.704000000000001</v>
      </c>
      <c r="E98" s="244"/>
    </row>
    <row r="99" spans="3:5" hidden="1" x14ac:dyDescent="0.25">
      <c r="C99" s="244">
        <f t="shared" si="0"/>
        <v>0</v>
      </c>
      <c r="D99" s="244">
        <v>21.547000000000001</v>
      </c>
      <c r="E99" s="244"/>
    </row>
    <row r="100" spans="3:5" hidden="1" x14ac:dyDescent="0.25">
      <c r="C100" s="244">
        <f t="shared" si="0"/>
        <v>0</v>
      </c>
      <c r="D100" s="244">
        <v>16.16</v>
      </c>
      <c r="E100" s="244"/>
    </row>
    <row r="101" spans="3:5" hidden="1" x14ac:dyDescent="0.25">
      <c r="C101" s="244">
        <f t="shared" si="0"/>
        <v>0</v>
      </c>
      <c r="D101" s="244">
        <v>12.12</v>
      </c>
      <c r="E101" s="244"/>
    </row>
    <row r="102" spans="3:5" hidden="1" x14ac:dyDescent="0.25">
      <c r="C102" s="244">
        <f t="shared" si="0"/>
        <v>0</v>
      </c>
      <c r="D102" s="244">
        <v>9.2349999999999994</v>
      </c>
      <c r="E102" s="244"/>
    </row>
    <row r="103" spans="3:5" hidden="1" x14ac:dyDescent="0.25">
      <c r="C103" s="244">
        <f t="shared" si="0"/>
        <v>0</v>
      </c>
      <c r="D103" s="244">
        <v>7.1820000000000004</v>
      </c>
      <c r="E103" s="244"/>
    </row>
    <row r="104" spans="3:5" hidden="1" x14ac:dyDescent="0.25">
      <c r="C104" s="244">
        <f t="shared" si="0"/>
        <v>0</v>
      </c>
      <c r="D104" s="244">
        <v>5.3869999999999996</v>
      </c>
      <c r="E104" s="244"/>
    </row>
    <row r="105" spans="3:5" hidden="1" x14ac:dyDescent="0.25">
      <c r="C105" s="244">
        <f t="shared" si="0"/>
        <v>0</v>
      </c>
      <c r="D105" s="244">
        <v>4.3090000000000002</v>
      </c>
      <c r="E105" s="244"/>
    </row>
    <row r="106" spans="3:5" hidden="1" x14ac:dyDescent="0.25">
      <c r="C106" s="244">
        <f t="shared" si="0"/>
        <v>0</v>
      </c>
      <c r="D106" s="244">
        <v>3.0779999999999998</v>
      </c>
      <c r="E106" s="244"/>
    </row>
    <row r="107" spans="3:5" hidden="1" x14ac:dyDescent="0.25">
      <c r="C107" s="244">
        <f t="shared" si="0"/>
        <v>0</v>
      </c>
      <c r="D107" s="244">
        <v>2.3940000000000001</v>
      </c>
      <c r="E107" s="244"/>
    </row>
    <row r="108" spans="3:5" hidden="1" x14ac:dyDescent="0.25">
      <c r="C108" s="244">
        <f t="shared" si="0"/>
        <v>0</v>
      </c>
      <c r="D108" s="244">
        <v>1.796</v>
      </c>
      <c r="E108" s="244"/>
    </row>
    <row r="109" spans="3:5" hidden="1" x14ac:dyDescent="0.25">
      <c r="C109" s="244">
        <f t="shared" si="0"/>
        <v>0</v>
      </c>
      <c r="D109" s="244">
        <v>1.347</v>
      </c>
      <c r="E109" s="244"/>
    </row>
    <row r="110" spans="3:5" hidden="1" x14ac:dyDescent="0.25">
      <c r="C110" s="244">
        <f t="shared" si="0"/>
        <v>0</v>
      </c>
      <c r="D110" s="244">
        <v>1.026</v>
      </c>
      <c r="E110" s="244"/>
    </row>
    <row r="111" spans="3:5" hidden="1" x14ac:dyDescent="0.25">
      <c r="C111" s="244">
        <f t="shared" si="0"/>
        <v>0</v>
      </c>
      <c r="D111" s="244">
        <v>0.79800000000000004</v>
      </c>
      <c r="E111" s="244"/>
    </row>
  </sheetData>
  <sheetProtection sheet="1" objects="1" scenarios="1"/>
  <conditionalFormatting sqref="D12">
    <cfRule type="expression" dxfId="23" priority="5">
      <formula>$D$9&lt;&gt;"LDC131x"</formula>
    </cfRule>
  </conditionalFormatting>
  <conditionalFormatting sqref="D18">
    <cfRule type="cellIs" dxfId="22" priority="2" operator="greaterThan">
      <formula>42</formula>
    </cfRule>
    <cfRule type="cellIs" dxfId="21" priority="4" operator="greaterThan">
      <formula>40</formula>
    </cfRule>
  </conditionalFormatting>
  <conditionalFormatting sqref="D36">
    <cfRule type="cellIs" dxfId="20" priority="3" operator="greaterThan">
      <formula>8</formula>
    </cfRule>
  </conditionalFormatting>
  <dataValidations count="21">
    <dataValidation type="list" allowBlank="1" showInputMessage="1" showErrorMessage="1" sqref="D32">
      <formula1>"192,384,768,1536,3072,6144"</formula1>
    </dataValidation>
    <dataValidation type="decimal" errorStyle="warning" allowBlank="1" showInputMessage="1" showErrorMessage="1" errorTitle="Frequency too High" error="Entered frequency exceeds maximum specified Reference freuqency." sqref="D36">
      <formula1>1</formula1>
      <formula2>D35</formula2>
    </dataValidation>
    <dataValidation type="decimal" errorStyle="information" operator="greaterThan" allowBlank="1" showInputMessage="1" showErrorMessage="1" errorTitle="Low Sensor Capacitance" error="Sensor capacitances which are too low are not recommended, as parasitic effects may influence the measurement." sqref="D10 D39">
      <formula1>80</formula1>
    </dataValidation>
    <dataValidation type="decimal" errorStyle="warning" operator="lessThanOrEqual" allowBlank="1" showInputMessage="1" showErrorMessage="1" errorTitle="Frequency too High" error="This exceeds the maximum CLKIN frequency." sqref="D18">
      <formula1>D17</formula1>
    </dataValidation>
    <dataValidation type="list" allowBlank="1" showInputMessage="1" showErrorMessage="1" sqref="D9">
      <formula1>"LDC131x,LDC161x,LDC1101"</formula1>
    </dataValidation>
    <dataValidation type="decimal" allowBlank="1" showInputMessage="1" showErrorMessage="1" errorTitle="Invalid setting" error="The Offset register programmed value can only be between 0 and 65535." sqref="D15 D17">
      <formula1>0</formula1>
      <formula2>65535</formula2>
    </dataValidation>
    <dataValidation type="decimal" errorStyle="warning" allowBlank="1" showInputMessage="1" showErrorMessage="1" errorTitle="Frequency too High" error="The Multichannel LDC devices have a maximum CLKIN divider 1023." sqref="D19">
      <formula1>1</formula1>
      <formula2>1023</formula2>
    </dataValidation>
    <dataValidation type="list" errorStyle="warning" operator="lessThanOrEqual" allowBlank="1" showInputMessage="1" showErrorMessage="1" errorTitle="Frequency too High" error="The Multichannel LDC devices have a FIN divider between 1 and 15." sqref="D20">
      <formula1>"1,2,3,4,5,6,7,8,9,10,11,12,13,14,15"</formula1>
    </dataValidation>
    <dataValidation type="list" allowBlank="1" showInputMessage="1" showErrorMessage="1" errorTitle="Incorrect Gain Setting" sqref="D12">
      <formula1>"0,2,3,4"</formula1>
    </dataValidation>
    <dataValidation allowBlank="1" showInputMessage="1" showErrorMessage="1" errorTitle="Invalid Output Code" error="The output code must be between 0 and the full-scale output code." sqref="D13"/>
    <dataValidation type="list" allowBlank="1" showInputMessage="1" showErrorMessage="1" sqref="D31">
      <formula1>"LDC1000/10x1,LDC1101"</formula1>
    </dataValidation>
    <dataValidation type="whole" allowBlank="1" showInputMessage="1" showErrorMessage="1" sqref="D33:D35 D37 D16">
      <formula1>0</formula1>
      <formula2>20000000</formula2>
    </dataValidation>
    <dataValidation type="list" allowBlank="1" showInputMessage="1" showErrorMessage="1" sqref="D46">
      <formula1>"LDC1000,LDC1041/1051,LDC1101"</formula1>
    </dataValidation>
    <dataValidation type="list" allowBlank="1" showInputMessage="1" showErrorMessage="1" sqref="D47:D48">
      <formula1>$C$80:$C$111</formula1>
    </dataValidation>
    <dataValidation type="whole" errorStyle="warning" allowBlank="1" showInputMessage="1" showErrorMessage="1" errorTitle="Invalid Output Code" error="The output code entered exceeds the maximum output code for the device." sqref="D51">
      <formula1>0</formula1>
      <formula2>#REF!</formula2>
    </dataValidation>
    <dataValidation type="list" allowBlank="1" showInputMessage="1" showErrorMessage="1" sqref="E50">
      <formula1>"Hex,Decimal"</formula1>
    </dataValidation>
    <dataValidation errorStyle="warning" allowBlank="1" showInputMessage="1" showErrorMessage="1" errorTitle="Invalid Output Code" error="The output code entered exceeds the maximum output code for the device." sqref="D50"/>
    <dataValidation type="decimal" errorStyle="warning" allowBlank="1" showInputMessage="1" showErrorMessage="1" errorTitle="Extreme Value" error="Please verify the value is correct, note the units are μH, pF, and MHz." sqref="D58:D59">
      <formula1>0.001</formula1>
      <formula2>1000000</formula2>
    </dataValidation>
    <dataValidation type="list" allowBlank="1" showInputMessage="1" showErrorMessage="1" sqref="C60">
      <formula1>"fsensor,L,C"</formula1>
    </dataValidation>
    <dataValidation type="list" allowBlank="1" showInputMessage="1" showErrorMessage="1" sqref="E33 E13 E15">
      <formula1>"Hex,decimal"</formula1>
    </dataValidation>
    <dataValidation type="decimal" allowBlank="1" showInputMessage="1" showErrorMessage="1" sqref="D14">
      <formula1>0</formula1>
      <formula2>D11</formula2>
    </dataValidation>
  </dataValidations>
  <hyperlinks>
    <hyperlink ref="F2" location="Contents!A1" display="Return to Main Page"/>
  </hyperlink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theme="4" tint="0.59999389629810485"/>
  </sheetPr>
  <dimension ref="B2:I127"/>
  <sheetViews>
    <sheetView showGridLines="0" showRowColHeaders="0" workbookViewId="0">
      <selection activeCell="D21" sqref="D21"/>
    </sheetView>
  </sheetViews>
  <sheetFormatPr defaultRowHeight="15" x14ac:dyDescent="0.25"/>
  <cols>
    <col min="1" max="1" width="4.42578125" customWidth="1"/>
    <col min="2" max="2" width="3.42578125" customWidth="1"/>
    <col min="3" max="3" width="21.5703125" customWidth="1"/>
    <col min="4" max="4" width="20.28515625" customWidth="1"/>
    <col min="5" max="5" width="8.5703125" customWidth="1"/>
    <col min="6" max="6" width="11.85546875" customWidth="1"/>
    <col min="9" max="9" width="11.5703125" customWidth="1"/>
  </cols>
  <sheetData>
    <row r="2" spans="2:7" ht="18.75" x14ac:dyDescent="0.3">
      <c r="B2" s="4" t="s">
        <v>153</v>
      </c>
      <c r="G2" s="71" t="s">
        <v>251</v>
      </c>
    </row>
    <row r="3" spans="2:7" ht="18.75" x14ac:dyDescent="0.3">
      <c r="B3" s="4"/>
      <c r="G3" s="71"/>
    </row>
    <row r="4" spans="2:7" x14ac:dyDescent="0.25">
      <c r="C4" s="7" t="s">
        <v>218</v>
      </c>
    </row>
    <row r="5" spans="2:7" x14ac:dyDescent="0.25">
      <c r="C5" s="7" t="s">
        <v>219</v>
      </c>
    </row>
    <row r="6" spans="2:7" x14ac:dyDescent="0.25">
      <c r="C6" s="7" t="s">
        <v>345</v>
      </c>
    </row>
    <row r="7" spans="2:7" x14ac:dyDescent="0.25">
      <c r="C7" s="7" t="s">
        <v>342</v>
      </c>
    </row>
    <row r="8" spans="2:7" x14ac:dyDescent="0.25">
      <c r="C8" s="7" t="s">
        <v>369</v>
      </c>
    </row>
    <row r="9" spans="2:7" x14ac:dyDescent="0.25">
      <c r="C9" s="7"/>
    </row>
    <row r="10" spans="2:7" x14ac:dyDescent="0.25">
      <c r="C10" t="s">
        <v>214</v>
      </c>
      <c r="D10" s="129" t="s">
        <v>155</v>
      </c>
    </row>
    <row r="11" spans="2:7" hidden="1" x14ac:dyDescent="0.25">
      <c r="C11" t="s">
        <v>156</v>
      </c>
      <c r="D11" s="131">
        <f>INDEX(F107:F127,MATCH(D10,C107:C127))</f>
        <v>1.673</v>
      </c>
      <c r="E11" s="75" t="s">
        <v>157</v>
      </c>
    </row>
    <row r="12" spans="2:7" x14ac:dyDescent="0.25">
      <c r="C12" t="s">
        <v>156</v>
      </c>
      <c r="D12" s="217">
        <f>D11/1000000/100</f>
        <v>1.6730000000000002E-8</v>
      </c>
      <c r="E12" s="216" t="s">
        <v>158</v>
      </c>
    </row>
    <row r="13" spans="2:7" x14ac:dyDescent="0.25">
      <c r="C13" t="s">
        <v>159</v>
      </c>
      <c r="D13" s="132">
        <f>IF(D10="Nickel",100,1)</f>
        <v>1</v>
      </c>
      <c r="E13" s="9"/>
    </row>
    <row r="14" spans="2:7" x14ac:dyDescent="0.25">
      <c r="C14" t="s">
        <v>2</v>
      </c>
      <c r="D14" s="98">
        <v>6.6</v>
      </c>
      <c r="E14" s="9" t="s">
        <v>0</v>
      </c>
    </row>
    <row r="15" spans="2:7" hidden="1" x14ac:dyDescent="0.25">
      <c r="D15" s="157">
        <f>D14*1000000</f>
        <v>6600000</v>
      </c>
      <c r="E15" s="76" t="s">
        <v>1</v>
      </c>
    </row>
    <row r="16" spans="2:7" hidden="1" x14ac:dyDescent="0.25">
      <c r="C16" s="65" t="s">
        <v>160</v>
      </c>
      <c r="D16" s="157">
        <f>4*PI()*0.0000001</f>
        <v>1.2566370614359173E-6</v>
      </c>
      <c r="E16" s="76" t="s">
        <v>161</v>
      </c>
    </row>
    <row r="17" spans="3:8" hidden="1" x14ac:dyDescent="0.25">
      <c r="C17" s="65" t="s">
        <v>162</v>
      </c>
      <c r="D17" s="157">
        <f>SQRT((2*D12)/(2*PI()*D16*D13*D15))</f>
        <v>2.5339388747503117E-5</v>
      </c>
      <c r="E17" s="76" t="s">
        <v>163</v>
      </c>
    </row>
    <row r="18" spans="3:8" x14ac:dyDescent="0.25">
      <c r="C18" t="s">
        <v>162</v>
      </c>
      <c r="D18" s="89">
        <f>D17*1000000</f>
        <v>25.339388747503119</v>
      </c>
      <c r="E18" s="75" t="s">
        <v>164</v>
      </c>
    </row>
    <row r="19" spans="3:8" x14ac:dyDescent="0.25">
      <c r="C19" t="s">
        <v>165</v>
      </c>
      <c r="D19" s="306">
        <v>18</v>
      </c>
      <c r="E19" s="499" t="s">
        <v>370</v>
      </c>
    </row>
    <row r="20" spans="3:8" ht="14.25" hidden="1" customHeight="1" x14ac:dyDescent="0.25">
      <c r="D20" s="158">
        <f>IF(E19="mm",D19*0.001,IF(E19="um",D19*0.000001,D19*0.0000254))</f>
        <v>1.8E-5</v>
      </c>
      <c r="E20" s="90" t="s">
        <v>166</v>
      </c>
      <c r="G20" s="61"/>
    </row>
    <row r="21" spans="3:8" x14ac:dyDescent="0.25">
      <c r="C21" t="s">
        <v>208</v>
      </c>
      <c r="D21" s="87">
        <f>D20/D17</f>
        <v>0.7103565196210061</v>
      </c>
      <c r="E21" s="9" t="s">
        <v>168</v>
      </c>
    </row>
    <row r="22" spans="3:8" x14ac:dyDescent="0.25">
      <c r="C22" t="s">
        <v>167</v>
      </c>
      <c r="D22" s="79">
        <f>100*(1-EXP(-1*D21))</f>
        <v>50.853105210017368</v>
      </c>
      <c r="E22" s="9" t="s">
        <v>213</v>
      </c>
    </row>
    <row r="23" spans="3:8" ht="15.75" x14ac:dyDescent="0.25">
      <c r="E23" s="9"/>
      <c r="H23" s="78" t="s">
        <v>215</v>
      </c>
    </row>
    <row r="24" spans="3:8" x14ac:dyDescent="0.25">
      <c r="E24" s="9"/>
    </row>
    <row r="25" spans="3:8" ht="15.75" x14ac:dyDescent="0.25">
      <c r="C25" s="144" t="s">
        <v>256</v>
      </c>
      <c r="D25" s="38"/>
      <c r="E25" s="38"/>
    </row>
    <row r="26" spans="3:8" x14ac:dyDescent="0.25">
      <c r="C26" s="80" t="str">
        <f>IF(C28="L","fsensor","L")</f>
        <v>L</v>
      </c>
      <c r="D26" s="98">
        <v>17.5</v>
      </c>
      <c r="E26" s="145" t="str">
        <f>IF(C26="fsensor","MHz","µH")</f>
        <v>µH</v>
      </c>
    </row>
    <row r="27" spans="3:8" x14ac:dyDescent="0.25">
      <c r="C27" s="80" t="str">
        <f>IF(C28="C","fsensor","C")</f>
        <v>C</v>
      </c>
      <c r="D27" s="98">
        <v>330</v>
      </c>
      <c r="E27" s="146" t="str">
        <f>IF(C27="fsensor","MHz","pF")</f>
        <v>pF</v>
      </c>
    </row>
    <row r="28" spans="3:8" x14ac:dyDescent="0.25">
      <c r="C28" s="97" t="s">
        <v>284</v>
      </c>
      <c r="D28" s="79">
        <f>IF(C28="fsensor",0.000001/(2*PI()*SQRT(D26*0.000001*D27*0.000000000001)),IF(C28="C",1000000000000/((D26*0.000001)*(2*PI()*D27*1000000)^2),1000000/((D27*0.000000000001)*(2*PI()*D26*1000000)^2)))</f>
        <v>2.0943252913707622</v>
      </c>
      <c r="E28" s="80" t="str">
        <f>IF(C28="fsensor","MHz",IF(C28="L","µH","pF"))</f>
        <v>MHz</v>
      </c>
    </row>
    <row r="104" spans="3:9" ht="15.75" x14ac:dyDescent="0.25">
      <c r="C104" s="78" t="s">
        <v>169</v>
      </c>
    </row>
    <row r="105" spans="3:9" ht="38.25" x14ac:dyDescent="0.25">
      <c r="E105" s="151" t="s">
        <v>323</v>
      </c>
      <c r="F105" s="151" t="s">
        <v>170</v>
      </c>
      <c r="G105" s="151" t="s">
        <v>151</v>
      </c>
      <c r="H105" s="151" t="s">
        <v>151</v>
      </c>
      <c r="I105" s="151" t="s">
        <v>319</v>
      </c>
    </row>
    <row r="106" spans="3:9" ht="18" x14ac:dyDescent="0.25">
      <c r="C106" s="147" t="s">
        <v>154</v>
      </c>
      <c r="D106" s="147" t="s">
        <v>324</v>
      </c>
      <c r="E106" s="148" t="s">
        <v>322</v>
      </c>
      <c r="F106" s="149" t="s">
        <v>157</v>
      </c>
      <c r="G106" s="148" t="s">
        <v>171</v>
      </c>
      <c r="H106" s="148" t="s">
        <v>152</v>
      </c>
      <c r="I106" s="148" t="s">
        <v>473</v>
      </c>
    </row>
    <row r="107" spans="3:9" x14ac:dyDescent="0.25">
      <c r="C107" s="150" t="s">
        <v>172</v>
      </c>
      <c r="D107" s="150" t="s">
        <v>173</v>
      </c>
      <c r="E107" s="150">
        <v>4200</v>
      </c>
      <c r="F107" s="150">
        <v>2.65</v>
      </c>
      <c r="G107" s="150">
        <v>660</v>
      </c>
      <c r="H107" s="150">
        <v>1221</v>
      </c>
      <c r="I107" s="150">
        <v>1</v>
      </c>
    </row>
    <row r="108" spans="3:9" x14ac:dyDescent="0.25">
      <c r="C108" s="150" t="s">
        <v>174</v>
      </c>
      <c r="D108" s="150" t="s">
        <v>29</v>
      </c>
      <c r="E108" s="150">
        <v>-500</v>
      </c>
      <c r="F108" s="150">
        <v>3000</v>
      </c>
      <c r="G108" s="150"/>
      <c r="H108" s="150"/>
      <c r="I108" s="80">
        <v>1</v>
      </c>
    </row>
    <row r="109" spans="3:9" x14ac:dyDescent="0.25">
      <c r="C109" s="150" t="s">
        <v>175</v>
      </c>
      <c r="D109" s="150" t="s">
        <v>176</v>
      </c>
      <c r="E109" s="150">
        <v>5900</v>
      </c>
      <c r="F109" s="150">
        <v>18</v>
      </c>
      <c r="G109" s="150">
        <v>1857</v>
      </c>
      <c r="H109" s="150">
        <v>3374.6</v>
      </c>
      <c r="I109" s="150">
        <v>1</v>
      </c>
    </row>
    <row r="110" spans="3:9" x14ac:dyDescent="0.25">
      <c r="C110" s="150" t="s">
        <v>155</v>
      </c>
      <c r="D110" s="150" t="s">
        <v>177</v>
      </c>
      <c r="E110" s="150">
        <v>4300</v>
      </c>
      <c r="F110" s="150">
        <v>1.673</v>
      </c>
      <c r="G110" s="150">
        <v>1083</v>
      </c>
      <c r="H110" s="150">
        <v>1981.4</v>
      </c>
      <c r="I110" s="150">
        <v>1</v>
      </c>
    </row>
    <row r="111" spans="3:9" x14ac:dyDescent="0.25">
      <c r="C111" s="150" t="s">
        <v>178</v>
      </c>
      <c r="D111" s="150" t="s">
        <v>179</v>
      </c>
      <c r="E111" s="150">
        <v>4000</v>
      </c>
      <c r="F111" s="150">
        <v>2.44</v>
      </c>
      <c r="G111" s="150">
        <v>1064</v>
      </c>
      <c r="H111" s="150">
        <v>1947.2</v>
      </c>
      <c r="I111" s="150">
        <v>1</v>
      </c>
    </row>
    <row r="112" spans="3:9" x14ac:dyDescent="0.25">
      <c r="C112" s="150" t="s">
        <v>180</v>
      </c>
      <c r="D112" s="150" t="s">
        <v>181</v>
      </c>
      <c r="E112" s="150">
        <v>6500</v>
      </c>
      <c r="F112" s="150">
        <v>9.66</v>
      </c>
      <c r="G112" s="150">
        <v>1535</v>
      </c>
      <c r="H112" s="150">
        <v>2795</v>
      </c>
      <c r="I112" s="150">
        <v>5000</v>
      </c>
    </row>
    <row r="113" spans="3:9" x14ac:dyDescent="0.25">
      <c r="C113" s="150" t="s">
        <v>182</v>
      </c>
      <c r="D113" s="150" t="s">
        <v>183</v>
      </c>
      <c r="E113" s="150">
        <v>4200</v>
      </c>
      <c r="F113" s="150">
        <v>20.65</v>
      </c>
      <c r="G113" s="150">
        <v>328</v>
      </c>
      <c r="H113" s="150">
        <v>622.4</v>
      </c>
      <c r="I113" s="150">
        <v>1</v>
      </c>
    </row>
    <row r="114" spans="3:9" x14ac:dyDescent="0.25">
      <c r="C114" s="150" t="s">
        <v>184</v>
      </c>
      <c r="D114" s="150" t="s">
        <v>185</v>
      </c>
      <c r="E114" s="150"/>
      <c r="F114" s="150">
        <v>4.2</v>
      </c>
      <c r="G114" s="150"/>
      <c r="H114" s="150"/>
      <c r="I114" s="150">
        <v>1</v>
      </c>
    </row>
    <row r="115" spans="3:9" x14ac:dyDescent="0.25">
      <c r="C115" s="150" t="s">
        <v>186</v>
      </c>
      <c r="D115" s="150" t="s">
        <v>187</v>
      </c>
      <c r="E115" s="150">
        <v>6800</v>
      </c>
      <c r="F115" s="150">
        <v>8.7070000000000007</v>
      </c>
      <c r="G115" s="150">
        <v>1453</v>
      </c>
      <c r="H115" s="150">
        <v>2647.4</v>
      </c>
      <c r="I115" s="150">
        <v>100</v>
      </c>
    </row>
    <row r="116" spans="3:9" x14ac:dyDescent="0.25">
      <c r="C116" s="150" t="s">
        <v>188</v>
      </c>
      <c r="D116" s="150" t="s">
        <v>189</v>
      </c>
      <c r="E116" s="150" t="s">
        <v>190</v>
      </c>
      <c r="F116" s="150">
        <v>110</v>
      </c>
      <c r="G116" s="150"/>
      <c r="H116" s="150"/>
      <c r="I116" s="150">
        <v>1</v>
      </c>
    </row>
    <row r="117" spans="3:9" x14ac:dyDescent="0.25">
      <c r="C117" s="150" t="s">
        <v>191</v>
      </c>
      <c r="D117" s="150" t="s">
        <v>192</v>
      </c>
      <c r="E117" s="150">
        <v>4100</v>
      </c>
      <c r="F117" s="150">
        <v>1.59</v>
      </c>
      <c r="G117" s="150">
        <v>962</v>
      </c>
      <c r="H117" s="150">
        <v>1763.6</v>
      </c>
      <c r="I117" s="150">
        <v>1</v>
      </c>
    </row>
    <row r="118" spans="3:9" x14ac:dyDescent="0.25">
      <c r="C118" s="150" t="s">
        <v>472</v>
      </c>
      <c r="D118" s="150" t="s">
        <v>474</v>
      </c>
      <c r="E118" s="150">
        <v>8010</v>
      </c>
      <c r="F118" s="150">
        <v>74</v>
      </c>
      <c r="G118" s="150">
        <v>1371</v>
      </c>
      <c r="H118" s="150"/>
      <c r="I118" s="150">
        <v>1.0029999999999999</v>
      </c>
    </row>
    <row r="119" spans="3:9" x14ac:dyDescent="0.25">
      <c r="C119" s="150" t="s">
        <v>480</v>
      </c>
      <c r="D119" s="150"/>
      <c r="E119" s="150"/>
      <c r="F119" s="150">
        <v>23.68</v>
      </c>
      <c r="G119" s="150"/>
      <c r="H119" s="150"/>
      <c r="I119" s="150">
        <v>409</v>
      </c>
    </row>
    <row r="120" spans="3:9" x14ac:dyDescent="0.25">
      <c r="C120" s="150" t="s">
        <v>481</v>
      </c>
      <c r="D120" s="150"/>
      <c r="E120" s="150"/>
      <c r="F120" s="150">
        <v>17.239999999999998</v>
      </c>
      <c r="G120" s="150"/>
      <c r="H120" s="150"/>
      <c r="I120" s="150">
        <v>1404</v>
      </c>
    </row>
    <row r="121" spans="3:9" x14ac:dyDescent="0.25">
      <c r="C121" s="150" t="s">
        <v>193</v>
      </c>
      <c r="D121" s="150" t="s">
        <v>194</v>
      </c>
      <c r="E121" s="150"/>
      <c r="F121" s="150">
        <v>15.52</v>
      </c>
      <c r="G121" s="150">
        <v>2996</v>
      </c>
      <c r="H121" s="150">
        <v>5424.8</v>
      </c>
      <c r="I121" s="150">
        <v>1</v>
      </c>
    </row>
    <row r="122" spans="3:9" x14ac:dyDescent="0.25">
      <c r="C122" s="150" t="s">
        <v>195</v>
      </c>
      <c r="D122" s="150" t="s">
        <v>196</v>
      </c>
      <c r="E122" s="150">
        <v>-100</v>
      </c>
      <c r="F122" s="150">
        <v>252</v>
      </c>
      <c r="G122" s="150"/>
      <c r="H122" s="150"/>
      <c r="I122" s="150">
        <v>1</v>
      </c>
    </row>
    <row r="123" spans="3:9" x14ac:dyDescent="0.25">
      <c r="C123" s="150" t="s">
        <v>197</v>
      </c>
      <c r="D123" s="150" t="s">
        <v>198</v>
      </c>
      <c r="E123" s="150">
        <v>4600</v>
      </c>
      <c r="F123" s="150">
        <v>11.55</v>
      </c>
      <c r="G123" s="150">
        <v>232</v>
      </c>
      <c r="H123" s="150">
        <v>449.6</v>
      </c>
      <c r="I123" s="150">
        <v>1</v>
      </c>
    </row>
    <row r="124" spans="3:9" x14ac:dyDescent="0.25">
      <c r="C124" s="150" t="s">
        <v>199</v>
      </c>
      <c r="D124" s="150" t="s">
        <v>200</v>
      </c>
      <c r="E124" s="150"/>
      <c r="F124" s="150">
        <v>55</v>
      </c>
      <c r="G124" s="150">
        <v>1660</v>
      </c>
      <c r="H124" s="150">
        <v>3020</v>
      </c>
      <c r="I124" s="150">
        <v>1</v>
      </c>
    </row>
    <row r="125" spans="3:9" x14ac:dyDescent="0.25">
      <c r="C125" s="150" t="s">
        <v>201</v>
      </c>
      <c r="D125" s="150" t="s">
        <v>202</v>
      </c>
      <c r="E125" s="150">
        <v>4800</v>
      </c>
      <c r="F125" s="150">
        <v>5.6</v>
      </c>
      <c r="G125" s="150">
        <v>3422</v>
      </c>
      <c r="H125" s="150">
        <v>6192</v>
      </c>
      <c r="I125" s="150">
        <v>1</v>
      </c>
    </row>
    <row r="126" spans="3:9" x14ac:dyDescent="0.25">
      <c r="C126" s="150" t="s">
        <v>203</v>
      </c>
      <c r="D126" s="150" t="s">
        <v>204</v>
      </c>
      <c r="E126" s="150">
        <v>4200</v>
      </c>
      <c r="F126" s="150">
        <v>5.68</v>
      </c>
      <c r="G126" s="150">
        <v>420</v>
      </c>
      <c r="H126" s="150">
        <v>788</v>
      </c>
      <c r="I126" s="150">
        <v>1</v>
      </c>
    </row>
    <row r="127" spans="3:9" x14ac:dyDescent="0.25">
      <c r="C127" s="150" t="s">
        <v>205</v>
      </c>
      <c r="D127" s="150" t="s">
        <v>206</v>
      </c>
      <c r="E127" s="150"/>
      <c r="F127" s="150">
        <v>4.0999999999999996</v>
      </c>
      <c r="G127" s="150">
        <v>1852</v>
      </c>
      <c r="H127" s="150">
        <v>3365.6</v>
      </c>
      <c r="I127" s="150">
        <v>1</v>
      </c>
    </row>
  </sheetData>
  <sheetProtection sheet="1" objects="1" scenarios="1"/>
  <dataValidations count="4">
    <dataValidation type="list" allowBlank="1" showInputMessage="1" showErrorMessage="1" sqref="E19">
      <formula1>"mm,um,mil"</formula1>
    </dataValidation>
    <dataValidation type="list" allowBlank="1" showInputMessage="1" showErrorMessage="1" sqref="D10">
      <formula1>$C$107:$C$127</formula1>
    </dataValidation>
    <dataValidation type="list" allowBlank="1" showInputMessage="1" showErrorMessage="1" sqref="C28">
      <formula1>"fsensor,L,C"</formula1>
    </dataValidation>
    <dataValidation type="decimal" operator="greaterThan" allowBlank="1" showInputMessage="1" showErrorMessage="1" sqref="D26:D27">
      <formula1>0.0001</formula1>
    </dataValidation>
  </dataValidations>
  <hyperlinks>
    <hyperlink ref="G2" location="Contents!A1" display="Return to Main Page"/>
  </hyperlink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59999389629810485"/>
  </sheetPr>
  <dimension ref="A2:Q174"/>
  <sheetViews>
    <sheetView showGridLines="0" showRowColHeaders="0" zoomScaleNormal="100" workbookViewId="0">
      <selection activeCell="E20" sqref="E20"/>
    </sheetView>
  </sheetViews>
  <sheetFormatPr defaultRowHeight="15" x14ac:dyDescent="0.25"/>
  <cols>
    <col min="1" max="1" width="9.140625" style="2"/>
    <col min="2" max="2" width="37.28515625" style="2" customWidth="1"/>
    <col min="3" max="3" width="10.85546875" style="2" customWidth="1"/>
    <col min="4" max="4" width="7.140625" style="2" customWidth="1"/>
    <col min="5" max="5" width="48.85546875" style="2" customWidth="1"/>
    <col min="6" max="16384" width="9.140625" style="2"/>
  </cols>
  <sheetData>
    <row r="2" spans="2:8" ht="18.75" x14ac:dyDescent="0.3">
      <c r="B2" s="308" t="s">
        <v>593</v>
      </c>
      <c r="D2" s="309" t="s">
        <v>251</v>
      </c>
    </row>
    <row r="3" spans="2:8" ht="15.75" x14ac:dyDescent="0.25">
      <c r="B3" s="310" t="s">
        <v>594</v>
      </c>
    </row>
    <row r="4" spans="2:8" ht="15.75" x14ac:dyDescent="0.25">
      <c r="B4" s="310" t="s">
        <v>595</v>
      </c>
    </row>
    <row r="5" spans="2:8" ht="15.75" x14ac:dyDescent="0.25">
      <c r="B5" s="311"/>
      <c r="H5" s="1"/>
    </row>
    <row r="6" spans="2:8" x14ac:dyDescent="0.25">
      <c r="B6" s="312" t="s">
        <v>543</v>
      </c>
      <c r="C6" s="97">
        <v>3.3</v>
      </c>
      <c r="D6" s="314" t="s">
        <v>489</v>
      </c>
    </row>
    <row r="7" spans="2:8" x14ac:dyDescent="0.25">
      <c r="B7" s="312" t="s">
        <v>589</v>
      </c>
      <c r="C7" s="315">
        <f>IF(C6=1.8,4.35,6)</f>
        <v>6</v>
      </c>
      <c r="D7" s="314" t="s">
        <v>301</v>
      </c>
    </row>
    <row r="8" spans="2:8" x14ac:dyDescent="0.25">
      <c r="B8" s="312" t="s">
        <v>350</v>
      </c>
      <c r="C8" s="128">
        <v>20</v>
      </c>
      <c r="D8" s="316" t="s">
        <v>146</v>
      </c>
      <c r="E8" s="317" t="str">
        <f>IF(C8&lt;C47,CONCATENATE("Inductance is below acceptable minimum of ",ROUND(C47,2),"µH"),"")</f>
        <v/>
      </c>
    </row>
    <row r="9" spans="2:8" ht="18" x14ac:dyDescent="0.35">
      <c r="B9" s="312" t="s">
        <v>591</v>
      </c>
      <c r="C9" s="303">
        <v>68</v>
      </c>
      <c r="D9" s="316" t="s">
        <v>30</v>
      </c>
      <c r="E9" s="317" t="str">
        <f>IF(C9+C10+10&lt;33,"Total Capacitance is below minimum of 33pF.","")</f>
        <v/>
      </c>
    </row>
    <row r="10" spans="2:8" ht="18" x14ac:dyDescent="0.35">
      <c r="B10" s="312" t="s">
        <v>592</v>
      </c>
      <c r="C10" s="303">
        <v>4</v>
      </c>
      <c r="D10" s="312" t="s">
        <v>30</v>
      </c>
    </row>
    <row r="11" spans="2:8" ht="18" x14ac:dyDescent="0.35">
      <c r="B11" s="312" t="s">
        <v>603</v>
      </c>
      <c r="C11" s="318">
        <f>C9+C10+10</f>
        <v>82</v>
      </c>
      <c r="D11" s="312" t="s">
        <v>30</v>
      </c>
      <c r="E11" s="2" t="str">
        <f>IF(C11&lt;33,"Total Sensor Capacitance is less than minimum of 33pF","Includes 10pF on LCOM pin")</f>
        <v>Includes 10pF on LCOM pin</v>
      </c>
    </row>
    <row r="12" spans="2:8" ht="15.75" x14ac:dyDescent="0.25">
      <c r="B12" s="312" t="s">
        <v>2</v>
      </c>
      <c r="C12" s="319">
        <f>1000/(SQRT(2)*PI()*SQRT(C11*C8))</f>
        <v>5.5579316988431424</v>
      </c>
      <c r="D12" s="312" t="s">
        <v>0</v>
      </c>
      <c r="E12" s="311" t="str">
        <f>IF(C12&gt;19,"Sensor Frequency exceeds maximum of 19MHz",IF(C12&lt;0.3,"Sensor Frequency below minimum of 300kHz",""))</f>
        <v/>
      </c>
    </row>
    <row r="13" spans="2:8" x14ac:dyDescent="0.25">
      <c r="B13" s="312" t="s">
        <v>570</v>
      </c>
      <c r="C13" s="320">
        <f>1000000/(231*C12)</f>
        <v>778.88764446410721</v>
      </c>
      <c r="D13" s="316" t="s">
        <v>278</v>
      </c>
    </row>
    <row r="14" spans="2:8" x14ac:dyDescent="0.25">
      <c r="B14" s="312" t="s">
        <v>569</v>
      </c>
      <c r="C14" s="319">
        <f>1000/C13</f>
        <v>1.283882222432766</v>
      </c>
      <c r="D14" s="312" t="s">
        <v>258</v>
      </c>
    </row>
    <row r="15" spans="2:8" ht="18" hidden="1" x14ac:dyDescent="0.35">
      <c r="B15" s="321" t="s">
        <v>550</v>
      </c>
      <c r="C15" s="322">
        <f>0.7*10^-3</f>
        <v>6.9999999999999999E-4</v>
      </c>
      <c r="D15" s="2" t="s">
        <v>551</v>
      </c>
    </row>
    <row r="16" spans="2:8" ht="18" hidden="1" x14ac:dyDescent="0.35">
      <c r="B16" s="321" t="s">
        <v>552</v>
      </c>
      <c r="C16" s="322">
        <f>24.262*10^-12*C12*10^6+1.5*C12*10^6*C10*10^-12</f>
        <v>1.6819412907039118E-4</v>
      </c>
      <c r="D16" s="2" t="s">
        <v>551</v>
      </c>
    </row>
    <row r="17" spans="2:5" ht="18" hidden="1" x14ac:dyDescent="0.35">
      <c r="B17" s="321" t="s">
        <v>553</v>
      </c>
      <c r="C17" s="322">
        <f>1/(17.1*C12*C8)</f>
        <v>5.2609077740119528E-4</v>
      </c>
      <c r="D17" s="2" t="s">
        <v>551</v>
      </c>
    </row>
    <row r="18" spans="2:5" x14ac:dyDescent="0.25">
      <c r="B18" s="323" t="s">
        <v>564</v>
      </c>
      <c r="C18" s="319">
        <f>1000*(C17+C15+C16)</f>
        <v>1.3942849064715865</v>
      </c>
      <c r="D18" s="314" t="s">
        <v>301</v>
      </c>
    </row>
    <row r="19" spans="2:5" hidden="1" x14ac:dyDescent="0.25">
      <c r="B19" s="324"/>
      <c r="C19" s="325"/>
      <c r="D19" s="326"/>
    </row>
    <row r="20" spans="2:5" x14ac:dyDescent="0.25">
      <c r="B20" s="312" t="s">
        <v>540</v>
      </c>
      <c r="C20" s="306">
        <v>10</v>
      </c>
      <c r="D20" s="97" t="s">
        <v>40</v>
      </c>
    </row>
    <row r="21" spans="2:5" hidden="1" x14ac:dyDescent="0.25">
      <c r="B21" s="312" t="s">
        <v>544</v>
      </c>
      <c r="C21" s="307">
        <f>IF(D20="mm",C20,C20*0.0254)</f>
        <v>10</v>
      </c>
      <c r="D21" s="304" t="s">
        <v>40</v>
      </c>
    </row>
    <row r="22" spans="2:5" x14ac:dyDescent="0.25">
      <c r="B22" s="312" t="s">
        <v>580</v>
      </c>
      <c r="C22" s="306">
        <v>0.5</v>
      </c>
      <c r="D22" s="546" t="str">
        <f>D20</f>
        <v>mm</v>
      </c>
      <c r="E22" s="317" t="str">
        <f>IF(C45&lt;C47,CONCATENATE("Inductance is below acceptable minimum of ",ROUND(C47,2),"µH or target is too close to sensor"),"")</f>
        <v/>
      </c>
    </row>
    <row r="23" spans="2:5" hidden="1" x14ac:dyDescent="0.25">
      <c r="B23" s="312" t="s">
        <v>545</v>
      </c>
      <c r="C23" s="315">
        <f>IF(D22="mm",C22,C22*0.0254)</f>
        <v>0.5</v>
      </c>
      <c r="D23" s="314" t="s">
        <v>40</v>
      </c>
    </row>
    <row r="24" spans="2:5" hidden="1" x14ac:dyDescent="0.25">
      <c r="B24" s="312" t="s">
        <v>566</v>
      </c>
      <c r="C24" s="315">
        <f>C23/C21</f>
        <v>0.05</v>
      </c>
      <c r="D24" s="314"/>
    </row>
    <row r="25" spans="2:5" hidden="1" x14ac:dyDescent="0.25">
      <c r="B25" s="323" t="s">
        <v>567</v>
      </c>
      <c r="C25" s="315">
        <f xml:space="preserve"> 4.0204*C24^5 - 13.839*C24^4 + 18.502*C24^3 - 12.097*C24^2 + 3.9604*C24 + 0.4499</f>
        <v>0.61990501262500008</v>
      </c>
      <c r="D25" s="316"/>
    </row>
    <row r="26" spans="2:5" hidden="1" x14ac:dyDescent="0.25">
      <c r="B26" s="327" t="s">
        <v>568</v>
      </c>
      <c r="C26" s="315">
        <f>IF(C25&lt;0.1,0.1,IF(C25&gt;1,1,C25))</f>
        <v>0.61990501262500008</v>
      </c>
      <c r="D26" s="316"/>
    </row>
    <row r="27" spans="2:5" x14ac:dyDescent="0.25">
      <c r="B27" s="327" t="s">
        <v>600</v>
      </c>
      <c r="C27" s="328">
        <f>C26*C8</f>
        <v>12.398100252500001</v>
      </c>
      <c r="D27" s="316" t="s">
        <v>146</v>
      </c>
    </row>
    <row r="28" spans="2:5" x14ac:dyDescent="0.25">
      <c r="B28" s="323" t="s">
        <v>583</v>
      </c>
      <c r="C28" s="328">
        <f>1000/(SQRT(2)*PI()*SQRT(C11*C8*C26))</f>
        <v>7.0591210847160255</v>
      </c>
      <c r="D28" s="312" t="s">
        <v>0</v>
      </c>
    </row>
    <row r="29" spans="2:5" x14ac:dyDescent="0.25">
      <c r="B29" s="327" t="s">
        <v>582</v>
      </c>
      <c r="C29" s="497">
        <v>1.5</v>
      </c>
      <c r="D29" s="546" t="str">
        <f>D20</f>
        <v>mm</v>
      </c>
      <c r="E29" s="317" t="str">
        <f>IF((C30/C21)&gt;0.5,"Switching distance farther than maximum of "&amp;ROUND(C20*0.5,2)&amp;D20&amp;" for coil size",IF(C30&lt;C23,"Desired switching distance is closer than closest target distance of "&amp;ROUND(C22,2)&amp;D22,""))</f>
        <v/>
      </c>
    </row>
    <row r="30" spans="2:5" hidden="1" x14ac:dyDescent="0.25">
      <c r="B30" s="327" t="s">
        <v>581</v>
      </c>
      <c r="C30" s="315">
        <f>IF(D29="mm",C29,C29*0.0254)</f>
        <v>1.5</v>
      </c>
      <c r="D30" s="316" t="s">
        <v>40</v>
      </c>
    </row>
    <row r="31" spans="2:5" hidden="1" x14ac:dyDescent="0.25">
      <c r="B31" s="327"/>
      <c r="C31" s="315">
        <f>C30/C21</f>
        <v>0.15</v>
      </c>
      <c r="D31" s="316"/>
    </row>
    <row r="32" spans="2:5" hidden="1" x14ac:dyDescent="0.25">
      <c r="B32" s="323" t="s">
        <v>567</v>
      </c>
      <c r="C32" s="315">
        <f xml:space="preserve"> 4.0204*C31^5 - 13.839*C31^4 + 18.502*C31^3 - 12.097*C31^2 + 3.9604*C31 + 0.4499</f>
        <v>0.82752105537499987</v>
      </c>
      <c r="D32" s="316"/>
    </row>
    <row r="33" spans="2:5" hidden="1" x14ac:dyDescent="0.25">
      <c r="B33" s="327" t="s">
        <v>568</v>
      </c>
      <c r="C33" s="315">
        <f>IF(C32&lt;0.1,0.1,IF(C32&gt;1,1,C32))</f>
        <v>0.82752105537499987</v>
      </c>
      <c r="D33" s="316"/>
    </row>
    <row r="34" spans="2:5" hidden="1" x14ac:dyDescent="0.25">
      <c r="B34" s="327" t="s">
        <v>611</v>
      </c>
      <c r="C34" s="315">
        <f>ROUND((((100*C30/C21)-52.592)/-3.1434),0)</f>
        <v>12</v>
      </c>
      <c r="D34" s="316"/>
    </row>
    <row r="35" spans="2:5" hidden="1" x14ac:dyDescent="0.25">
      <c r="B35" s="327" t="s">
        <v>613</v>
      </c>
      <c r="C35" s="315">
        <f>IF((0.01*C21*(-2.8312*C34+48.143))&lt;C22,C34-1,C34)</f>
        <v>12</v>
      </c>
      <c r="D35" s="316"/>
    </row>
    <row r="36" spans="2:5" x14ac:dyDescent="0.25">
      <c r="B36" s="327" t="s">
        <v>590</v>
      </c>
      <c r="C36" s="329">
        <f>C35</f>
        <v>12</v>
      </c>
      <c r="D36" s="316"/>
    </row>
    <row r="37" spans="2:5" hidden="1" x14ac:dyDescent="0.25">
      <c r="B37" s="327" t="s">
        <v>612</v>
      </c>
      <c r="C37" s="330">
        <f>0.01*C21*(-2.8312*C36+48.143)</f>
        <v>1.4168599999999998</v>
      </c>
      <c r="D37" s="316" t="s">
        <v>40</v>
      </c>
    </row>
    <row r="38" spans="2:5" x14ac:dyDescent="0.25">
      <c r="B38" s="327" t="s">
        <v>587</v>
      </c>
      <c r="C38" s="331">
        <f>IF(D38="mm",C37,C37/0.0254)</f>
        <v>1.4168599999999998</v>
      </c>
      <c r="D38" s="546" t="str">
        <f>D20</f>
        <v>mm</v>
      </c>
      <c r="E38" s="317" t="str">
        <f>IF(C30&lt;C23,"Switching point is closer than min target distance","")</f>
        <v/>
      </c>
    </row>
    <row r="39" spans="2:5" hidden="1" x14ac:dyDescent="0.25">
      <c r="B39" s="327" t="s">
        <v>584</v>
      </c>
      <c r="C39" s="315">
        <f>0.01*C21*(-3.1434*C36+52.595)</f>
        <v>1.4874199999999995</v>
      </c>
      <c r="D39" s="302" t="s">
        <v>40</v>
      </c>
    </row>
    <row r="40" spans="2:5" x14ac:dyDescent="0.25">
      <c r="B40" s="327" t="s">
        <v>588</v>
      </c>
      <c r="C40" s="331">
        <f>IF(D40="mm",C39,C39/0.0254)</f>
        <v>1.4874199999999995</v>
      </c>
      <c r="D40" s="546" t="str">
        <f>D20</f>
        <v>mm</v>
      </c>
    </row>
    <row r="41" spans="2:5" hidden="1" x14ac:dyDescent="0.25">
      <c r="B41" s="327"/>
      <c r="C41" s="315">
        <f>C39/C27</f>
        <v>0.1199716061095788</v>
      </c>
      <c r="D41" s="313"/>
    </row>
    <row r="42" spans="2:5" hidden="1" x14ac:dyDescent="0.25">
      <c r="B42" s="323" t="s">
        <v>567</v>
      </c>
      <c r="C42" s="315">
        <f xml:space="preserve"> 4.0204*C41^5 - 13.839*C41^4 + 18.502*C41^3 - 12.097*C41^2 + 3.9604*C41 + 0.4499</f>
        <v>0.78010292315299079</v>
      </c>
      <c r="D42" s="313"/>
    </row>
    <row r="43" spans="2:5" hidden="1" x14ac:dyDescent="0.25">
      <c r="B43" s="327" t="s">
        <v>568</v>
      </c>
      <c r="C43" s="315">
        <f>IF(C42&lt;0.1,0.1,IF(C42&gt;1,1,C42))</f>
        <v>0.78010292315299079</v>
      </c>
      <c r="D43" s="313"/>
    </row>
    <row r="44" spans="2:5" hidden="1" x14ac:dyDescent="0.25">
      <c r="B44" s="327"/>
      <c r="C44" s="331"/>
      <c r="D44" s="313"/>
    </row>
    <row r="45" spans="2:5" x14ac:dyDescent="0.25">
      <c r="B45" s="327" t="s">
        <v>571</v>
      </c>
      <c r="C45" s="328">
        <f>C26*C8</f>
        <v>12.398100252500001</v>
      </c>
      <c r="D45" s="316" t="s">
        <v>146</v>
      </c>
    </row>
    <row r="46" spans="2:5" x14ac:dyDescent="0.25">
      <c r="B46" s="323" t="s">
        <v>583</v>
      </c>
      <c r="C46" s="328">
        <f>1000/(SQRT(2)*PI()*SQRT(C11*C8*C26))</f>
        <v>7.0591210847160255</v>
      </c>
      <c r="D46" s="312" t="s">
        <v>0</v>
      </c>
      <c r="E46" s="317" t="str">
        <f>IF(C46&gt;19,"Sensor Frequency exceeds maximum of 19MHz","")</f>
        <v/>
      </c>
    </row>
    <row r="47" spans="2:5" ht="15.75" hidden="1" x14ac:dyDescent="0.25">
      <c r="B47" s="332" t="s">
        <v>565</v>
      </c>
      <c r="C47" s="333">
        <f>1000/(4.83*C46*C7)</f>
        <v>4.8882227449530724</v>
      </c>
      <c r="D47" s="316" t="s">
        <v>146</v>
      </c>
    </row>
    <row r="49" spans="2:5" hidden="1" x14ac:dyDescent="0.25"/>
    <row r="50" spans="2:5" hidden="1" x14ac:dyDescent="0.25">
      <c r="B50" s="334" t="s">
        <v>257</v>
      </c>
      <c r="C50" s="334">
        <v>10</v>
      </c>
      <c r="D50" s="334" t="s">
        <v>542</v>
      </c>
    </row>
    <row r="51" spans="2:5" hidden="1" x14ac:dyDescent="0.25">
      <c r="B51" s="335" t="s">
        <v>546</v>
      </c>
      <c r="C51" s="335">
        <f>ROUND(C49/(C66*1000)/24/365,1)</f>
        <v>0</v>
      </c>
      <c r="D51" s="335" t="s">
        <v>547</v>
      </c>
    </row>
    <row r="52" spans="2:5" hidden="1" x14ac:dyDescent="0.25">
      <c r="B52" s="335" t="s">
        <v>548</v>
      </c>
      <c r="C52" s="335">
        <f>ROUND(C66*10^6,1)</f>
        <v>2.6</v>
      </c>
      <c r="D52" s="335" t="s">
        <v>549</v>
      </c>
    </row>
    <row r="53" spans="2:5" hidden="1" x14ac:dyDescent="0.25"/>
    <row r="54" spans="2:5" hidden="1" x14ac:dyDescent="0.25"/>
    <row r="55" spans="2:5" hidden="1" x14ac:dyDescent="0.25"/>
    <row r="56" spans="2:5" ht="18" hidden="1" x14ac:dyDescent="0.35">
      <c r="B56" s="2" t="s">
        <v>554</v>
      </c>
      <c r="C56" s="336">
        <f>C18*0.0001</f>
        <v>1.3942849064715865E-4</v>
      </c>
      <c r="D56" s="2" t="s">
        <v>551</v>
      </c>
    </row>
    <row r="57" spans="2:5" ht="18" hidden="1" x14ac:dyDescent="0.35">
      <c r="B57" s="2" t="s">
        <v>555</v>
      </c>
      <c r="C57" s="337">
        <f>140*10^-9</f>
        <v>1.4000000000000001E-7</v>
      </c>
      <c r="D57" s="2" t="s">
        <v>551</v>
      </c>
      <c r="E57" s="2" t="s">
        <v>556</v>
      </c>
    </row>
    <row r="58" spans="2:5" hidden="1" x14ac:dyDescent="0.25"/>
    <row r="59" spans="2:5" ht="18" hidden="1" x14ac:dyDescent="0.35">
      <c r="B59" s="2" t="s">
        <v>557</v>
      </c>
      <c r="C59" s="2">
        <f>450*10^-6</f>
        <v>4.4999999999999999E-4</v>
      </c>
      <c r="D59" s="2" t="s">
        <v>541</v>
      </c>
      <c r="E59" s="2" t="s">
        <v>558</v>
      </c>
    </row>
    <row r="60" spans="2:5" ht="18" hidden="1" x14ac:dyDescent="0.35">
      <c r="B60" s="2" t="s">
        <v>559</v>
      </c>
      <c r="C60" s="2">
        <f>1/(C12*10^6*231*10^-6)</f>
        <v>7.7888764446410732E-4</v>
      </c>
      <c r="D60" s="2" t="s">
        <v>541</v>
      </c>
    </row>
    <row r="61" spans="2:5" hidden="1" x14ac:dyDescent="0.25"/>
    <row r="62" spans="2:5" ht="18" hidden="1" x14ac:dyDescent="0.35">
      <c r="B62" s="2" t="s">
        <v>560</v>
      </c>
      <c r="C62" s="2">
        <f>C50*2*C60*(C56)</f>
        <v>2.1719825730270245E-6</v>
      </c>
      <c r="D62" s="2" t="s">
        <v>551</v>
      </c>
    </row>
    <row r="63" spans="2:5" ht="18" hidden="1" x14ac:dyDescent="0.35">
      <c r="B63" s="2" t="s">
        <v>561</v>
      </c>
      <c r="C63" s="2">
        <f>C50*C59*(C56/2)</f>
        <v>3.1371410395610694E-7</v>
      </c>
      <c r="D63" s="2" t="s">
        <v>551</v>
      </c>
    </row>
    <row r="64" spans="2:5" ht="18" hidden="1" x14ac:dyDescent="0.35">
      <c r="B64" s="2" t="s">
        <v>562</v>
      </c>
      <c r="C64" s="2">
        <f>(1-C50*(C59+C60*2))*(C57)</f>
        <v>1.3718911459550052E-7</v>
      </c>
      <c r="D64" s="2" t="s">
        <v>551</v>
      </c>
    </row>
    <row r="65" spans="2:4" hidden="1" x14ac:dyDescent="0.25"/>
    <row r="66" spans="2:4" ht="18" hidden="1" x14ac:dyDescent="0.35">
      <c r="B66" s="2" t="s">
        <v>563</v>
      </c>
      <c r="C66" s="2">
        <f>C62+C63+C64</f>
        <v>2.6228857915786321E-6</v>
      </c>
      <c r="D66" s="2" t="s">
        <v>551</v>
      </c>
    </row>
    <row r="67" spans="2:4" hidden="1" x14ac:dyDescent="0.25"/>
    <row r="68" spans="2:4" hidden="1" x14ac:dyDescent="0.25"/>
    <row r="88" spans="1:17" x14ac:dyDescent="0.25">
      <c r="A88" s="338"/>
      <c r="B88" s="338"/>
      <c r="C88" s="338"/>
      <c r="D88" s="338"/>
      <c r="E88" s="338"/>
      <c r="F88" s="338"/>
      <c r="G88" s="338"/>
      <c r="H88" s="338"/>
      <c r="I88" s="338"/>
      <c r="J88" s="338"/>
      <c r="K88" s="338"/>
    </row>
    <row r="89" spans="1:17" x14ac:dyDescent="0.25">
      <c r="A89" s="338"/>
      <c r="B89" s="338"/>
      <c r="C89" s="338"/>
      <c r="D89" s="338"/>
      <c r="E89" s="338"/>
      <c r="F89" s="338"/>
      <c r="G89" s="338"/>
      <c r="H89" s="338"/>
      <c r="I89" s="338"/>
      <c r="J89" s="338"/>
      <c r="K89" s="338"/>
    </row>
    <row r="90" spans="1:17" x14ac:dyDescent="0.25">
      <c r="A90" s="338"/>
      <c r="B90" s="338"/>
      <c r="C90" s="338"/>
      <c r="D90" s="338"/>
      <c r="E90" s="338"/>
      <c r="F90" s="338"/>
      <c r="G90" s="338"/>
      <c r="H90" s="338"/>
      <c r="I90" s="338"/>
      <c r="J90" s="338"/>
      <c r="K90" s="338"/>
    </row>
    <row r="91" spans="1:17" x14ac:dyDescent="0.25">
      <c r="A91" s="339"/>
      <c r="B91" s="339"/>
      <c r="C91" s="339"/>
      <c r="D91" s="339"/>
      <c r="E91" s="339"/>
      <c r="F91" s="339"/>
      <c r="G91" s="339"/>
      <c r="H91" s="338"/>
      <c r="I91" s="340" t="str">
        <f>CONCATENATE("Switching Distance (",D20,")")</f>
        <v>Switching Distance (mm)</v>
      </c>
      <c r="J91" s="340"/>
      <c r="K91" s="340"/>
      <c r="L91" s="340"/>
      <c r="M91" s="340"/>
      <c r="N91" s="340"/>
      <c r="O91" s="340"/>
      <c r="P91" s="340"/>
      <c r="Q91" s="338"/>
    </row>
    <row r="92" spans="1:17" x14ac:dyDescent="0.25">
      <c r="A92" s="339"/>
      <c r="B92" s="340" t="s">
        <v>575</v>
      </c>
      <c r="C92" s="340" t="s">
        <v>574</v>
      </c>
      <c r="D92" s="340" t="s">
        <v>573</v>
      </c>
      <c r="E92" s="340" t="s">
        <v>576</v>
      </c>
      <c r="F92" s="340" t="s">
        <v>577</v>
      </c>
      <c r="G92" s="339"/>
      <c r="H92" s="341"/>
      <c r="I92" s="340" t="s">
        <v>604</v>
      </c>
      <c r="J92" s="340" t="s">
        <v>605</v>
      </c>
      <c r="K92" s="340" t="s">
        <v>606</v>
      </c>
      <c r="L92" s="340" t="s">
        <v>607</v>
      </c>
      <c r="M92" s="340" t="s">
        <v>608</v>
      </c>
      <c r="N92" s="340" t="s">
        <v>609</v>
      </c>
      <c r="O92" s="340" t="s">
        <v>610</v>
      </c>
      <c r="P92" s="342" t="str">
        <f>C20&amp;D20</f>
        <v>10mm</v>
      </c>
      <c r="Q92" s="338"/>
    </row>
    <row r="93" spans="1:17" x14ac:dyDescent="0.25">
      <c r="A93" s="339"/>
      <c r="B93" s="343">
        <v>250000</v>
      </c>
      <c r="C93" s="343">
        <f>1.3/(2*PI()*C$7*0.001*$B93*10^-6)</f>
        <v>137.93428401297598</v>
      </c>
      <c r="D93" s="344">
        <f>2/((2*PI()*$B93*10^-6)^2*33)*10^6</f>
        <v>24562.711186021286</v>
      </c>
      <c r="E93" s="345">
        <f>C12*1000000</f>
        <v>5557931.698843142</v>
      </c>
      <c r="F93" s="346">
        <f>C8</f>
        <v>20</v>
      </c>
      <c r="G93" s="339"/>
      <c r="H93" s="341"/>
      <c r="I93" s="340">
        <v>15</v>
      </c>
      <c r="J93" s="340">
        <v>4.0773946360153248</v>
      </c>
      <c r="K93" s="340">
        <v>3.73639846743295</v>
      </c>
      <c r="L93" s="340">
        <f>J93/100*$C$20</f>
        <v>0.40773946360153246</v>
      </c>
      <c r="M93" s="340">
        <f>K93/100*$C$20</f>
        <v>0.37363984674329498</v>
      </c>
      <c r="N93" s="340">
        <f>$C$29</f>
        <v>1.5</v>
      </c>
      <c r="O93" s="346">
        <f>$C$22</f>
        <v>0.5</v>
      </c>
      <c r="P93" s="340"/>
      <c r="Q93" s="338"/>
    </row>
    <row r="94" spans="1:17" x14ac:dyDescent="0.25">
      <c r="A94" s="339"/>
      <c r="B94" s="343">
        <v>500000</v>
      </c>
      <c r="C94" s="343">
        <f t="shared" ref="C94:C157" si="0">1.3/(2*PI()*C$7*0.001*$B94*10^-6)</f>
        <v>68.96714200648799</v>
      </c>
      <c r="D94" s="344">
        <f t="shared" ref="D94:D157" si="1">2/((2*PI()*$B94*10^-6)^2*33)*10^6</f>
        <v>6140.6777965053216</v>
      </c>
      <c r="E94" s="345">
        <f>1000000000/(PI()*SQRT(2*F94*C$11))</f>
        <v>5842444.745572269</v>
      </c>
      <c r="F94" s="347">
        <f>F93-(F$93-F$97)/4</f>
        <v>18.099525063125</v>
      </c>
      <c r="G94" s="339"/>
      <c r="H94" s="341"/>
      <c r="I94" s="340">
        <v>14</v>
      </c>
      <c r="J94" s="340">
        <v>8.5272030651341009</v>
      </c>
      <c r="K94" s="340">
        <v>7.9954022988505749</v>
      </c>
      <c r="L94" s="340">
        <f t="shared" ref="L94:M106" si="2">J94/100*$C$20</f>
        <v>0.85272030651341013</v>
      </c>
      <c r="M94" s="340">
        <f t="shared" si="2"/>
        <v>0.79954022988505746</v>
      </c>
      <c r="N94" s="340">
        <f t="shared" ref="N94:N107" si="3">$C$29</f>
        <v>1.5</v>
      </c>
      <c r="O94" s="346">
        <f t="shared" ref="O94:O107" si="4">$C$22</f>
        <v>0.5</v>
      </c>
      <c r="P94" s="340"/>
      <c r="Q94" s="338"/>
    </row>
    <row r="95" spans="1:17" x14ac:dyDescent="0.25">
      <c r="A95" s="339"/>
      <c r="B95" s="343">
        <f>B94+B$93</f>
        <v>750000</v>
      </c>
      <c r="C95" s="343">
        <f t="shared" si="0"/>
        <v>45.978094670991986</v>
      </c>
      <c r="D95" s="344">
        <f t="shared" si="1"/>
        <v>2729.1901317801421</v>
      </c>
      <c r="E95" s="345">
        <f t="shared" ref="E95:E96" si="5">1000000000/(PI()*SQRT(2*F95*C$11))</f>
        <v>6175660.7204429442</v>
      </c>
      <c r="F95" s="347">
        <f t="shared" ref="F95:F96" si="6">F94-(F$93-F$97)/4</f>
        <v>16.19905012625</v>
      </c>
      <c r="G95" s="339"/>
      <c r="H95" s="341"/>
      <c r="I95" s="340">
        <v>13</v>
      </c>
      <c r="J95" s="340">
        <v>12.209961685823755</v>
      </c>
      <c r="K95" s="340">
        <v>11.578160919540201</v>
      </c>
      <c r="L95" s="340">
        <f t="shared" si="2"/>
        <v>1.2209961685823754</v>
      </c>
      <c r="M95" s="340">
        <f t="shared" si="2"/>
        <v>1.1578160919540201</v>
      </c>
      <c r="N95" s="340">
        <f t="shared" si="3"/>
        <v>1.5</v>
      </c>
      <c r="O95" s="346">
        <f t="shared" si="4"/>
        <v>0.5</v>
      </c>
      <c r="P95" s="340"/>
      <c r="Q95" s="338"/>
    </row>
    <row r="96" spans="1:17" x14ac:dyDescent="0.25">
      <c r="A96" s="339"/>
      <c r="B96" s="343">
        <f t="shared" ref="B96:B159" si="7">B95+B$93</f>
        <v>1000000</v>
      </c>
      <c r="C96" s="343">
        <f t="shared" si="0"/>
        <v>34.483571003243995</v>
      </c>
      <c r="D96" s="344">
        <f t="shared" si="1"/>
        <v>1535.1694491263304</v>
      </c>
      <c r="E96" s="345">
        <f t="shared" si="5"/>
        <v>6573275.2983966479</v>
      </c>
      <c r="F96" s="347">
        <f t="shared" si="6"/>
        <v>14.298575189375001</v>
      </c>
      <c r="G96" s="339"/>
      <c r="H96" s="341"/>
      <c r="I96" s="340">
        <v>12</v>
      </c>
      <c r="J96" s="340">
        <v>15.424137931034485</v>
      </c>
      <c r="K96" s="340">
        <v>14.71455938697318</v>
      </c>
      <c r="L96" s="340">
        <f t="shared" si="2"/>
        <v>1.5424137931034485</v>
      </c>
      <c r="M96" s="340">
        <f t="shared" si="2"/>
        <v>1.4714559386973181</v>
      </c>
      <c r="N96" s="340">
        <f t="shared" si="3"/>
        <v>1.5</v>
      </c>
      <c r="O96" s="346">
        <f t="shared" si="4"/>
        <v>0.5</v>
      </c>
      <c r="P96" s="340"/>
      <c r="Q96" s="338"/>
    </row>
    <row r="97" spans="1:17" x14ac:dyDescent="0.25">
      <c r="A97" s="339"/>
      <c r="B97" s="343">
        <f t="shared" si="7"/>
        <v>1250000</v>
      </c>
      <c r="C97" s="343">
        <f t="shared" si="0"/>
        <v>27.586856802595197</v>
      </c>
      <c r="D97" s="344">
        <f t="shared" si="1"/>
        <v>982.50844744085134</v>
      </c>
      <c r="E97" s="345">
        <f>C46*1000000</f>
        <v>7059121.0847160257</v>
      </c>
      <c r="F97" s="347">
        <f>C45</f>
        <v>12.398100252500001</v>
      </c>
      <c r="G97" s="339"/>
      <c r="H97" s="341"/>
      <c r="I97" s="340">
        <v>11</v>
      </c>
      <c r="J97" s="340">
        <v>18.627203065134101</v>
      </c>
      <c r="K97" s="340">
        <v>17.736015325670497</v>
      </c>
      <c r="L97" s="340">
        <f t="shared" si="2"/>
        <v>1.8627203065134101</v>
      </c>
      <c r="M97" s="340">
        <f t="shared" si="2"/>
        <v>1.7736015325670496</v>
      </c>
      <c r="N97" s="340">
        <f t="shared" si="3"/>
        <v>1.5</v>
      </c>
      <c r="O97" s="346">
        <f t="shared" si="4"/>
        <v>0.5</v>
      </c>
      <c r="P97" s="340"/>
      <c r="Q97" s="338"/>
    </row>
    <row r="98" spans="1:17" x14ac:dyDescent="0.25">
      <c r="A98" s="339"/>
      <c r="B98" s="343">
        <f t="shared" si="7"/>
        <v>1500000</v>
      </c>
      <c r="C98" s="343">
        <f t="shared" si="0"/>
        <v>22.989047335495993</v>
      </c>
      <c r="D98" s="344">
        <f t="shared" si="1"/>
        <v>682.29753294503553</v>
      </c>
      <c r="E98" s="345"/>
      <c r="F98" s="340"/>
      <c r="G98" s="339"/>
      <c r="H98" s="341"/>
      <c r="I98" s="340">
        <v>10</v>
      </c>
      <c r="J98" s="340">
        <v>21.622605363984675</v>
      </c>
      <c r="K98" s="340">
        <v>20.666666666666668</v>
      </c>
      <c r="L98" s="340">
        <f t="shared" si="2"/>
        <v>2.1622605363984677</v>
      </c>
      <c r="M98" s="340">
        <f t="shared" si="2"/>
        <v>2.0666666666666664</v>
      </c>
      <c r="N98" s="340">
        <f t="shared" si="3"/>
        <v>1.5</v>
      </c>
      <c r="O98" s="346">
        <f t="shared" si="4"/>
        <v>0.5</v>
      </c>
      <c r="P98" s="340"/>
      <c r="Q98" s="338"/>
    </row>
    <row r="99" spans="1:17" x14ac:dyDescent="0.25">
      <c r="A99" s="339"/>
      <c r="B99" s="343">
        <f t="shared" si="7"/>
        <v>1750000</v>
      </c>
      <c r="C99" s="343">
        <f t="shared" si="0"/>
        <v>19.704897716139428</v>
      </c>
      <c r="D99" s="344">
        <f t="shared" si="1"/>
        <v>501.27982012288322</v>
      </c>
      <c r="E99" s="345"/>
      <c r="F99" s="340"/>
      <c r="G99" s="339"/>
      <c r="H99" s="341"/>
      <c r="I99" s="340">
        <v>9</v>
      </c>
      <c r="J99" s="340">
        <v>24.501149425287355</v>
      </c>
      <c r="K99" s="340">
        <v>23.232183908045972</v>
      </c>
      <c r="L99" s="340">
        <f t="shared" si="2"/>
        <v>2.4501149425287356</v>
      </c>
      <c r="M99" s="340">
        <f t="shared" si="2"/>
        <v>2.3232183908045974</v>
      </c>
      <c r="N99" s="340">
        <f t="shared" si="3"/>
        <v>1.5</v>
      </c>
      <c r="O99" s="346">
        <f t="shared" si="4"/>
        <v>0.5</v>
      </c>
      <c r="P99" s="340"/>
      <c r="Q99" s="338"/>
    </row>
    <row r="100" spans="1:17" x14ac:dyDescent="0.25">
      <c r="A100" s="339"/>
      <c r="B100" s="343">
        <f t="shared" si="7"/>
        <v>2000000</v>
      </c>
      <c r="C100" s="343">
        <f t="shared" si="0"/>
        <v>17.241785501621997</v>
      </c>
      <c r="D100" s="344">
        <f t="shared" si="1"/>
        <v>383.7923622815826</v>
      </c>
      <c r="E100" s="345">
        <f>1000000000/(PI()*SQRT(2*F100*C$11))</f>
        <v>6109753.3626476601</v>
      </c>
      <c r="F100" s="340">
        <f>C8*C33</f>
        <v>16.550421107499997</v>
      </c>
      <c r="G100" s="348" t="s">
        <v>585</v>
      </c>
      <c r="H100" s="341"/>
      <c r="I100" s="340">
        <v>8</v>
      </c>
      <c r="J100" s="340">
        <v>27.383524904214564</v>
      </c>
      <c r="K100" s="340">
        <v>25.91072796934866</v>
      </c>
      <c r="L100" s="340">
        <f t="shared" si="2"/>
        <v>2.7383524904214562</v>
      </c>
      <c r="M100" s="340">
        <f t="shared" si="2"/>
        <v>2.5910727969348657</v>
      </c>
      <c r="N100" s="340">
        <f t="shared" si="3"/>
        <v>1.5</v>
      </c>
      <c r="O100" s="346">
        <f t="shared" si="4"/>
        <v>0.5</v>
      </c>
      <c r="P100" s="340"/>
      <c r="Q100" s="338"/>
    </row>
    <row r="101" spans="1:17" x14ac:dyDescent="0.25">
      <c r="A101" s="339"/>
      <c r="B101" s="343">
        <f t="shared" si="7"/>
        <v>2250000</v>
      </c>
      <c r="C101" s="343">
        <f t="shared" si="0"/>
        <v>15.32603155699733</v>
      </c>
      <c r="D101" s="344">
        <f t="shared" si="1"/>
        <v>303.24334797557145</v>
      </c>
      <c r="E101" s="345">
        <f>1000000000/(PI()*SQRT(2*F101*C$11))</f>
        <v>6292703.2638566112</v>
      </c>
      <c r="F101" s="340">
        <f>C8*C43</f>
        <v>15.602058463059816</v>
      </c>
      <c r="G101" s="348" t="s">
        <v>586</v>
      </c>
      <c r="H101" s="341"/>
      <c r="I101" s="340">
        <v>7</v>
      </c>
      <c r="J101" s="340">
        <v>30.434482758620693</v>
      </c>
      <c r="K101" s="340">
        <v>28.681992337164754</v>
      </c>
      <c r="L101" s="340">
        <f t="shared" si="2"/>
        <v>3.0434482758620689</v>
      </c>
      <c r="M101" s="340">
        <f t="shared" si="2"/>
        <v>2.8681992337164752</v>
      </c>
      <c r="N101" s="340">
        <f t="shared" si="3"/>
        <v>1.5</v>
      </c>
      <c r="O101" s="346">
        <f t="shared" si="4"/>
        <v>0.5</v>
      </c>
      <c r="P101" s="340"/>
      <c r="Q101" s="338"/>
    </row>
    <row r="102" spans="1:17" x14ac:dyDescent="0.25">
      <c r="A102" s="339"/>
      <c r="B102" s="343">
        <f t="shared" si="7"/>
        <v>2500000</v>
      </c>
      <c r="C102" s="343">
        <f t="shared" si="0"/>
        <v>13.793428401297598</v>
      </c>
      <c r="D102" s="344">
        <f t="shared" si="1"/>
        <v>245.62711186021284</v>
      </c>
      <c r="E102" s="340"/>
      <c r="F102" s="340"/>
      <c r="G102" s="339"/>
      <c r="H102" s="341"/>
      <c r="I102" s="340">
        <v>6</v>
      </c>
      <c r="J102" s="340">
        <v>33.48735632183908</v>
      </c>
      <c r="K102" s="340">
        <v>31.35325670498084</v>
      </c>
      <c r="L102" s="340">
        <f t="shared" si="2"/>
        <v>3.3487356321839079</v>
      </c>
      <c r="M102" s="340">
        <f t="shared" si="2"/>
        <v>3.1353256704980841</v>
      </c>
      <c r="N102" s="340">
        <f t="shared" si="3"/>
        <v>1.5</v>
      </c>
      <c r="O102" s="346">
        <f t="shared" si="4"/>
        <v>0.5</v>
      </c>
      <c r="P102" s="340"/>
      <c r="Q102" s="338"/>
    </row>
    <row r="103" spans="1:17" x14ac:dyDescent="0.25">
      <c r="A103" s="339"/>
      <c r="B103" s="343">
        <f t="shared" si="7"/>
        <v>2750000</v>
      </c>
      <c r="C103" s="343">
        <f t="shared" si="0"/>
        <v>12.539480364815997</v>
      </c>
      <c r="D103" s="344">
        <f t="shared" si="1"/>
        <v>202.99761310761392</v>
      </c>
      <c r="E103" s="340"/>
      <c r="F103" s="340"/>
      <c r="G103" s="339"/>
      <c r="H103" s="341"/>
      <c r="I103" s="340">
        <v>5</v>
      </c>
      <c r="J103" s="340">
        <v>36.708812260536398</v>
      </c>
      <c r="K103" s="340">
        <v>33.976245210727967</v>
      </c>
      <c r="L103" s="340">
        <f t="shared" si="2"/>
        <v>3.6708812260536399</v>
      </c>
      <c r="M103" s="340">
        <f t="shared" si="2"/>
        <v>3.3976245210727969</v>
      </c>
      <c r="N103" s="340">
        <f t="shared" si="3"/>
        <v>1.5</v>
      </c>
      <c r="O103" s="346">
        <f t="shared" si="4"/>
        <v>0.5</v>
      </c>
      <c r="P103" s="340"/>
      <c r="Q103" s="338"/>
    </row>
    <row r="104" spans="1:17" x14ac:dyDescent="0.25">
      <c r="A104" s="339"/>
      <c r="B104" s="343">
        <f t="shared" si="7"/>
        <v>3000000</v>
      </c>
      <c r="C104" s="343">
        <f t="shared" si="0"/>
        <v>11.494523667747996</v>
      </c>
      <c r="D104" s="344">
        <f t="shared" si="1"/>
        <v>170.57438323625888</v>
      </c>
      <c r="E104" s="340"/>
      <c r="F104" s="340"/>
      <c r="G104" s="339"/>
      <c r="H104" s="341"/>
      <c r="I104" s="340">
        <v>4</v>
      </c>
      <c r="J104" s="340">
        <v>40.039463601532567</v>
      </c>
      <c r="K104" s="340">
        <v>36.918007662835244</v>
      </c>
      <c r="L104" s="340">
        <f t="shared" si="2"/>
        <v>4.0039463601532566</v>
      </c>
      <c r="M104" s="340">
        <f t="shared" si="2"/>
        <v>3.6918007662835244</v>
      </c>
      <c r="N104" s="340">
        <f t="shared" si="3"/>
        <v>1.5</v>
      </c>
      <c r="O104" s="346">
        <f t="shared" si="4"/>
        <v>0.5</v>
      </c>
      <c r="P104" s="340"/>
      <c r="Q104" s="338"/>
    </row>
    <row r="105" spans="1:17" x14ac:dyDescent="0.25">
      <c r="A105" s="339"/>
      <c r="B105" s="343">
        <f t="shared" si="7"/>
        <v>3250000</v>
      </c>
      <c r="C105" s="343">
        <f t="shared" si="0"/>
        <v>10.610329539459689</v>
      </c>
      <c r="D105" s="344">
        <f t="shared" si="1"/>
        <v>145.34148630781823</v>
      </c>
      <c r="E105" s="340"/>
      <c r="F105" s="340"/>
      <c r="G105" s="339"/>
      <c r="H105" s="341"/>
      <c r="I105" s="340">
        <v>3</v>
      </c>
      <c r="J105" s="340">
        <v>43.125670498084297</v>
      </c>
      <c r="K105" s="340">
        <v>39.567049808429118</v>
      </c>
      <c r="L105" s="340">
        <f t="shared" si="2"/>
        <v>4.3125670498084299</v>
      </c>
      <c r="M105" s="340">
        <f t="shared" si="2"/>
        <v>3.9567049808429116</v>
      </c>
      <c r="N105" s="340">
        <f t="shared" si="3"/>
        <v>1.5</v>
      </c>
      <c r="O105" s="346">
        <f t="shared" si="4"/>
        <v>0.5</v>
      </c>
      <c r="P105" s="340"/>
      <c r="Q105" s="338"/>
    </row>
    <row r="106" spans="1:17" x14ac:dyDescent="0.25">
      <c r="A106" s="339"/>
      <c r="B106" s="343">
        <f t="shared" si="7"/>
        <v>3500000</v>
      </c>
      <c r="C106" s="343">
        <f t="shared" si="0"/>
        <v>9.8524488580697138</v>
      </c>
      <c r="D106" s="344">
        <f t="shared" si="1"/>
        <v>125.31995503072081</v>
      </c>
      <c r="E106" s="340"/>
      <c r="F106" s="340"/>
      <c r="G106" s="339"/>
      <c r="H106" s="341"/>
      <c r="I106" s="340">
        <v>2</v>
      </c>
      <c r="J106" s="340">
        <v>46.011877394636009</v>
      </c>
      <c r="K106" s="340">
        <v>41.769731800766287</v>
      </c>
      <c r="L106" s="340">
        <f t="shared" si="2"/>
        <v>4.6011877394636009</v>
      </c>
      <c r="M106" s="340">
        <f t="shared" si="2"/>
        <v>4.1769731800766285</v>
      </c>
      <c r="N106" s="340">
        <f t="shared" si="3"/>
        <v>1.5</v>
      </c>
      <c r="O106" s="346">
        <f t="shared" si="4"/>
        <v>0.5</v>
      </c>
      <c r="P106" s="340"/>
      <c r="Q106" s="338"/>
    </row>
    <row r="107" spans="1:17" x14ac:dyDescent="0.25">
      <c r="A107" s="339"/>
      <c r="B107" s="343">
        <f t="shared" si="7"/>
        <v>3750000</v>
      </c>
      <c r="C107" s="343">
        <f t="shared" si="0"/>
        <v>9.1956189341983983</v>
      </c>
      <c r="D107" s="344">
        <f t="shared" si="1"/>
        <v>109.16760527120572</v>
      </c>
      <c r="E107" s="340"/>
      <c r="F107" s="340"/>
      <c r="G107" s="339"/>
      <c r="H107" s="341"/>
      <c r="I107" s="340">
        <v>1</v>
      </c>
      <c r="J107" s="340">
        <v>49.546360153256707</v>
      </c>
      <c r="K107" s="340">
        <v>44.563218390804593</v>
      </c>
      <c r="L107" s="340">
        <f>J107/100*$C$20</f>
        <v>4.9546360153256703</v>
      </c>
      <c r="M107" s="340">
        <f>K107/100*$C$20</f>
        <v>4.4563218390804593</v>
      </c>
      <c r="N107" s="340">
        <f t="shared" si="3"/>
        <v>1.5</v>
      </c>
      <c r="O107" s="346">
        <f t="shared" si="4"/>
        <v>0.5</v>
      </c>
      <c r="P107" s="340"/>
      <c r="Q107" s="338"/>
    </row>
    <row r="108" spans="1:17" x14ac:dyDescent="0.25">
      <c r="A108" s="339"/>
      <c r="B108" s="343">
        <f t="shared" si="7"/>
        <v>4000000</v>
      </c>
      <c r="C108" s="343">
        <f t="shared" si="0"/>
        <v>8.6208927508109987</v>
      </c>
      <c r="D108" s="344">
        <f t="shared" si="1"/>
        <v>95.948090570395649</v>
      </c>
      <c r="E108" s="340"/>
      <c r="F108" s="340"/>
      <c r="G108" s="339"/>
      <c r="H108" s="341"/>
      <c r="I108" s="340"/>
      <c r="J108" s="340"/>
      <c r="K108" s="340"/>
      <c r="L108" s="340"/>
      <c r="M108" s="340"/>
      <c r="N108" s="340"/>
      <c r="O108" s="340"/>
      <c r="P108" s="340"/>
      <c r="Q108" s="338"/>
    </row>
    <row r="109" spans="1:17" x14ac:dyDescent="0.25">
      <c r="A109" s="339"/>
      <c r="B109" s="343">
        <f t="shared" si="7"/>
        <v>4250000</v>
      </c>
      <c r="C109" s="343">
        <f t="shared" si="0"/>
        <v>8.1137814125279988</v>
      </c>
      <c r="D109" s="344">
        <f t="shared" si="1"/>
        <v>84.992080228447335</v>
      </c>
      <c r="E109" s="340"/>
      <c r="F109" s="340"/>
      <c r="G109" s="339"/>
      <c r="H109" s="341"/>
      <c r="I109" s="340"/>
      <c r="J109" s="340"/>
      <c r="K109" s="340"/>
      <c r="L109" s="340"/>
      <c r="M109" s="340"/>
      <c r="N109" s="340"/>
      <c r="O109" s="340"/>
      <c r="P109" s="340"/>
    </row>
    <row r="110" spans="1:17" x14ac:dyDescent="0.25">
      <c r="A110" s="339"/>
      <c r="B110" s="343">
        <f t="shared" si="7"/>
        <v>4500000</v>
      </c>
      <c r="C110" s="343">
        <f t="shared" si="0"/>
        <v>7.6630157784986652</v>
      </c>
      <c r="D110" s="344">
        <f t="shared" si="1"/>
        <v>75.810836993892863</v>
      </c>
      <c r="E110" s="340"/>
      <c r="F110" s="340"/>
      <c r="G110" s="339"/>
      <c r="H110" s="341"/>
      <c r="I110" s="338"/>
      <c r="J110" s="338"/>
      <c r="K110" s="338"/>
    </row>
    <row r="111" spans="1:17" x14ac:dyDescent="0.25">
      <c r="A111" s="339"/>
      <c r="B111" s="343">
        <f t="shared" si="7"/>
        <v>4750000</v>
      </c>
      <c r="C111" s="343">
        <f t="shared" si="0"/>
        <v>7.2596991585776829</v>
      </c>
      <c r="D111" s="344">
        <f t="shared" si="1"/>
        <v>68.040751207815177</v>
      </c>
      <c r="E111" s="340"/>
      <c r="F111" s="340"/>
      <c r="G111" s="339"/>
      <c r="H111" s="341"/>
      <c r="I111" s="338"/>
      <c r="J111" s="338"/>
      <c r="K111" s="338"/>
    </row>
    <row r="112" spans="1:17" x14ac:dyDescent="0.25">
      <c r="A112" s="341"/>
      <c r="B112" s="343">
        <f t="shared" si="7"/>
        <v>5000000</v>
      </c>
      <c r="C112" s="343">
        <f t="shared" si="0"/>
        <v>6.8967142006487991</v>
      </c>
      <c r="D112" s="344">
        <f t="shared" si="1"/>
        <v>61.406777965053209</v>
      </c>
      <c r="E112" s="340"/>
      <c r="F112" s="341"/>
      <c r="G112" s="341"/>
      <c r="H112" s="341"/>
      <c r="I112" s="338"/>
      <c r="J112" s="338"/>
      <c r="K112" s="338"/>
    </row>
    <row r="113" spans="1:11" x14ac:dyDescent="0.25">
      <c r="A113" s="341"/>
      <c r="B113" s="343">
        <f t="shared" si="7"/>
        <v>5250000</v>
      </c>
      <c r="C113" s="343">
        <f t="shared" si="0"/>
        <v>6.5682992387131414</v>
      </c>
      <c r="D113" s="344">
        <f t="shared" si="1"/>
        <v>55.697757791431471</v>
      </c>
      <c r="E113" s="340"/>
      <c r="F113" s="341"/>
      <c r="G113" s="341"/>
      <c r="H113" s="341"/>
      <c r="I113" s="338"/>
      <c r="J113" s="338"/>
      <c r="K113" s="338"/>
    </row>
    <row r="114" spans="1:11" x14ac:dyDescent="0.25">
      <c r="A114" s="341"/>
      <c r="B114" s="343">
        <f t="shared" si="7"/>
        <v>5500000</v>
      </c>
      <c r="C114" s="343">
        <f t="shared" si="0"/>
        <v>6.2697401824079986</v>
      </c>
      <c r="D114" s="344">
        <f t="shared" si="1"/>
        <v>50.749403276903479</v>
      </c>
      <c r="E114" s="340"/>
      <c r="F114" s="341"/>
      <c r="G114" s="341"/>
      <c r="H114" s="341"/>
      <c r="I114" s="338"/>
      <c r="J114" s="338"/>
      <c r="K114" s="338"/>
    </row>
    <row r="115" spans="1:11" x14ac:dyDescent="0.25">
      <c r="A115" s="341"/>
      <c r="B115" s="343">
        <f t="shared" si="7"/>
        <v>5750000</v>
      </c>
      <c r="C115" s="343">
        <f t="shared" si="0"/>
        <v>5.997142783172869</v>
      </c>
      <c r="D115" s="344">
        <f t="shared" si="1"/>
        <v>46.432346287374834</v>
      </c>
      <c r="E115" s="340"/>
      <c r="F115" s="341"/>
      <c r="G115" s="341"/>
      <c r="H115" s="341"/>
      <c r="I115" s="338"/>
      <c r="J115" s="338"/>
      <c r="K115" s="338"/>
    </row>
    <row r="116" spans="1:11" x14ac:dyDescent="0.25">
      <c r="A116" s="341"/>
      <c r="B116" s="343">
        <f t="shared" si="7"/>
        <v>6000000</v>
      </c>
      <c r="C116" s="343">
        <f t="shared" si="0"/>
        <v>5.7472618338739982</v>
      </c>
      <c r="D116" s="344">
        <f t="shared" si="1"/>
        <v>42.64359580906472</v>
      </c>
      <c r="E116" s="340"/>
      <c r="F116" s="341"/>
      <c r="G116" s="341"/>
      <c r="H116" s="341"/>
      <c r="I116" s="338"/>
      <c r="J116" s="338"/>
      <c r="K116" s="338"/>
    </row>
    <row r="117" spans="1:11" x14ac:dyDescent="0.25">
      <c r="A117" s="341"/>
      <c r="B117" s="343">
        <f t="shared" si="7"/>
        <v>6250000</v>
      </c>
      <c r="C117" s="343">
        <f t="shared" si="0"/>
        <v>5.5173713605190384</v>
      </c>
      <c r="D117" s="344">
        <f t="shared" si="1"/>
        <v>39.300337897634058</v>
      </c>
      <c r="E117" s="340"/>
      <c r="F117" s="341"/>
      <c r="G117" s="341"/>
      <c r="H117" s="341"/>
      <c r="I117" s="338"/>
      <c r="J117" s="338"/>
      <c r="K117" s="338"/>
    </row>
    <row r="118" spans="1:11" x14ac:dyDescent="0.25">
      <c r="A118" s="341"/>
      <c r="B118" s="343">
        <f t="shared" si="7"/>
        <v>6500000</v>
      </c>
      <c r="C118" s="343">
        <f t="shared" si="0"/>
        <v>5.3051647697298447</v>
      </c>
      <c r="D118" s="344">
        <f t="shared" si="1"/>
        <v>36.335371576954557</v>
      </c>
      <c r="E118" s="340"/>
      <c r="F118" s="341"/>
      <c r="G118" s="341"/>
      <c r="H118" s="341"/>
      <c r="I118" s="338"/>
      <c r="J118" s="338"/>
      <c r="K118" s="338"/>
    </row>
    <row r="119" spans="1:11" x14ac:dyDescent="0.25">
      <c r="A119" s="341"/>
      <c r="B119" s="343">
        <f t="shared" si="7"/>
        <v>6750000</v>
      </c>
      <c r="C119" s="343">
        <f t="shared" si="0"/>
        <v>5.1086771856657771</v>
      </c>
      <c r="D119" s="344">
        <f t="shared" si="1"/>
        <v>33.693705330619039</v>
      </c>
      <c r="E119" s="340"/>
      <c r="F119" s="341"/>
      <c r="G119" s="341"/>
      <c r="H119" s="341"/>
      <c r="I119" s="338"/>
      <c r="J119" s="338"/>
      <c r="K119" s="338"/>
    </row>
    <row r="120" spans="1:11" x14ac:dyDescent="0.25">
      <c r="A120" s="341"/>
      <c r="B120" s="343">
        <f t="shared" si="7"/>
        <v>7000000</v>
      </c>
      <c r="C120" s="343">
        <f t="shared" si="0"/>
        <v>4.9262244290348569</v>
      </c>
      <c r="D120" s="344">
        <f t="shared" si="1"/>
        <v>31.329988757680201</v>
      </c>
      <c r="E120" s="340"/>
      <c r="F120" s="341"/>
      <c r="G120" s="341"/>
      <c r="H120" s="341"/>
      <c r="I120" s="338"/>
      <c r="J120" s="338"/>
      <c r="K120" s="338"/>
    </row>
    <row r="121" spans="1:11" x14ac:dyDescent="0.25">
      <c r="A121" s="341"/>
      <c r="B121" s="343">
        <f t="shared" si="7"/>
        <v>7250000</v>
      </c>
      <c r="C121" s="343">
        <f t="shared" si="0"/>
        <v>4.7563546211371026</v>
      </c>
      <c r="D121" s="344">
        <f t="shared" si="1"/>
        <v>29.206553134389154</v>
      </c>
      <c r="E121" s="340"/>
      <c r="F121" s="341"/>
      <c r="G121" s="341"/>
      <c r="H121" s="341"/>
      <c r="I121" s="338"/>
      <c r="J121" s="338"/>
      <c r="K121" s="338"/>
    </row>
    <row r="122" spans="1:11" x14ac:dyDescent="0.25">
      <c r="A122" s="341"/>
      <c r="B122" s="343">
        <f t="shared" si="7"/>
        <v>7500000</v>
      </c>
      <c r="C122" s="343">
        <f t="shared" si="0"/>
        <v>4.5978094670991991</v>
      </c>
      <c r="D122" s="344">
        <f t="shared" si="1"/>
        <v>27.291901317801429</v>
      </c>
      <c r="E122" s="340"/>
      <c r="F122" s="341"/>
      <c r="G122" s="341"/>
      <c r="H122" s="341"/>
      <c r="I122" s="338"/>
      <c r="J122" s="338"/>
      <c r="K122" s="338"/>
    </row>
    <row r="123" spans="1:11" x14ac:dyDescent="0.25">
      <c r="A123" s="341"/>
      <c r="B123" s="343">
        <f t="shared" si="7"/>
        <v>7750000</v>
      </c>
      <c r="C123" s="343">
        <f t="shared" si="0"/>
        <v>4.4494930326766449</v>
      </c>
      <c r="D123" s="344">
        <f t="shared" si="1"/>
        <v>25.559532971926409</v>
      </c>
      <c r="E123" s="340"/>
      <c r="F123" s="341"/>
      <c r="G123" s="341"/>
      <c r="H123" s="341"/>
      <c r="I123" s="338"/>
      <c r="J123" s="338"/>
      <c r="K123" s="338"/>
    </row>
    <row r="124" spans="1:11" x14ac:dyDescent="0.25">
      <c r="A124" s="341"/>
      <c r="B124" s="343">
        <f t="shared" si="7"/>
        <v>8000000</v>
      </c>
      <c r="C124" s="343">
        <f t="shared" si="0"/>
        <v>4.3104463754054994</v>
      </c>
      <c r="D124" s="344">
        <f t="shared" si="1"/>
        <v>23.987022642598912</v>
      </c>
      <c r="E124" s="340"/>
      <c r="F124" s="341"/>
      <c r="G124" s="341"/>
      <c r="H124" s="341"/>
      <c r="I124" s="338"/>
      <c r="J124" s="338"/>
      <c r="K124" s="338"/>
    </row>
    <row r="125" spans="1:11" x14ac:dyDescent="0.25">
      <c r="A125" s="341"/>
      <c r="B125" s="343">
        <f t="shared" si="7"/>
        <v>8250000</v>
      </c>
      <c r="C125" s="343">
        <f t="shared" si="0"/>
        <v>4.179826788271999</v>
      </c>
      <c r="D125" s="344">
        <f t="shared" si="1"/>
        <v>22.55529034529043</v>
      </c>
      <c r="E125" s="340"/>
      <c r="F125" s="341"/>
      <c r="G125" s="341"/>
      <c r="H125" s="341"/>
      <c r="I125" s="338"/>
      <c r="J125" s="338"/>
      <c r="K125" s="338"/>
    </row>
    <row r="126" spans="1:11" x14ac:dyDescent="0.25">
      <c r="A126" s="341"/>
      <c r="B126" s="343">
        <f t="shared" si="7"/>
        <v>8500000</v>
      </c>
      <c r="C126" s="343">
        <f t="shared" si="0"/>
        <v>4.0568907062639994</v>
      </c>
      <c r="D126" s="344">
        <f t="shared" si="1"/>
        <v>21.248020057111834</v>
      </c>
      <c r="E126" s="340"/>
      <c r="F126" s="341"/>
      <c r="G126" s="341"/>
      <c r="H126" s="341"/>
      <c r="I126" s="338"/>
      <c r="J126" s="338"/>
      <c r="K126" s="338"/>
    </row>
    <row r="127" spans="1:11" x14ac:dyDescent="0.25">
      <c r="A127" s="341"/>
      <c r="B127" s="343">
        <f t="shared" si="7"/>
        <v>8750000</v>
      </c>
      <c r="C127" s="343">
        <f t="shared" si="0"/>
        <v>3.9409795432278845</v>
      </c>
      <c r="D127" s="344">
        <f t="shared" si="1"/>
        <v>20.051192804915331</v>
      </c>
      <c r="E127" s="340"/>
      <c r="F127" s="341"/>
      <c r="G127" s="341"/>
      <c r="H127" s="341"/>
      <c r="I127" s="338"/>
      <c r="J127" s="338"/>
      <c r="K127" s="338"/>
    </row>
    <row r="128" spans="1:11" x14ac:dyDescent="0.25">
      <c r="A128" s="341"/>
      <c r="B128" s="343">
        <f t="shared" si="7"/>
        <v>9000000</v>
      </c>
      <c r="C128" s="343">
        <f t="shared" si="0"/>
        <v>3.8315078892493326</v>
      </c>
      <c r="D128" s="344">
        <f t="shared" si="1"/>
        <v>18.952709248473216</v>
      </c>
      <c r="E128" s="340"/>
      <c r="F128" s="341"/>
      <c r="G128" s="341"/>
      <c r="H128" s="341"/>
      <c r="I128" s="338"/>
      <c r="J128" s="338"/>
      <c r="K128" s="338"/>
    </row>
    <row r="129" spans="1:11" x14ac:dyDescent="0.25">
      <c r="A129" s="341"/>
      <c r="B129" s="343">
        <f t="shared" si="7"/>
        <v>9250000</v>
      </c>
      <c r="C129" s="343">
        <f t="shared" si="0"/>
        <v>3.7279536219723237</v>
      </c>
      <c r="D129" s="344">
        <f t="shared" si="1"/>
        <v>17.942082677882603</v>
      </c>
      <c r="E129" s="340"/>
      <c r="F129" s="341"/>
      <c r="G129" s="341"/>
      <c r="H129" s="341"/>
      <c r="I129" s="338"/>
      <c r="J129" s="338"/>
      <c r="K129" s="338"/>
    </row>
    <row r="130" spans="1:11" x14ac:dyDescent="0.25">
      <c r="A130" s="341"/>
      <c r="B130" s="343">
        <f t="shared" si="7"/>
        <v>9500000</v>
      </c>
      <c r="C130" s="343">
        <f t="shared" si="0"/>
        <v>3.6298495792888414</v>
      </c>
      <c r="D130" s="344">
        <f t="shared" si="1"/>
        <v>17.010187801953794</v>
      </c>
      <c r="E130" s="340"/>
      <c r="F130" s="341"/>
      <c r="G130" s="341"/>
      <c r="H130" s="341"/>
      <c r="I130" s="338"/>
      <c r="J130" s="338"/>
      <c r="K130" s="338"/>
    </row>
    <row r="131" spans="1:11" x14ac:dyDescent="0.25">
      <c r="A131" s="341"/>
      <c r="B131" s="343">
        <f t="shared" si="7"/>
        <v>9750000</v>
      </c>
      <c r="C131" s="343">
        <f t="shared" si="0"/>
        <v>3.5367765131532298</v>
      </c>
      <c r="D131" s="344">
        <f t="shared" si="1"/>
        <v>16.149054034202027</v>
      </c>
      <c r="E131" s="340"/>
      <c r="F131" s="341"/>
      <c r="G131" s="341"/>
      <c r="H131" s="341"/>
      <c r="I131" s="338"/>
      <c r="J131" s="338"/>
      <c r="K131" s="338"/>
    </row>
    <row r="132" spans="1:11" x14ac:dyDescent="0.25">
      <c r="A132" s="341"/>
      <c r="B132" s="343">
        <f t="shared" si="7"/>
        <v>10000000</v>
      </c>
      <c r="C132" s="343">
        <f t="shared" si="0"/>
        <v>3.4483571003243996</v>
      </c>
      <c r="D132" s="344">
        <f t="shared" si="1"/>
        <v>15.351694491263302</v>
      </c>
      <c r="E132" s="340"/>
      <c r="F132" s="341"/>
      <c r="G132" s="341"/>
      <c r="H132" s="341"/>
      <c r="I132" s="338"/>
      <c r="J132" s="338"/>
      <c r="K132" s="338"/>
    </row>
    <row r="133" spans="1:11" x14ac:dyDescent="0.25">
      <c r="A133" s="341"/>
      <c r="B133" s="343">
        <f t="shared" si="7"/>
        <v>10250000</v>
      </c>
      <c r="C133" s="343">
        <f t="shared" si="0"/>
        <v>3.3642508295847797</v>
      </c>
      <c r="D133" s="344">
        <f t="shared" si="1"/>
        <v>14.611963822737229</v>
      </c>
      <c r="E133" s="340"/>
      <c r="F133" s="341"/>
      <c r="G133" s="341"/>
      <c r="H133" s="341"/>
      <c r="I133" s="338"/>
      <c r="J133" s="338"/>
      <c r="K133" s="338"/>
    </row>
    <row r="134" spans="1:11" x14ac:dyDescent="0.25">
      <c r="A134" s="341"/>
      <c r="B134" s="343">
        <f t="shared" si="7"/>
        <v>10500000</v>
      </c>
      <c r="C134" s="343">
        <f t="shared" si="0"/>
        <v>3.2841496193565707</v>
      </c>
      <c r="D134" s="344">
        <f t="shared" si="1"/>
        <v>13.924439447857868</v>
      </c>
      <c r="E134" s="340"/>
      <c r="F134" s="341"/>
      <c r="G134" s="341"/>
      <c r="H134" s="341"/>
      <c r="I134" s="338"/>
      <c r="J134" s="338"/>
      <c r="K134" s="338"/>
    </row>
    <row r="135" spans="1:11" x14ac:dyDescent="0.25">
      <c r="A135" s="341"/>
      <c r="B135" s="343">
        <f t="shared" si="7"/>
        <v>10750000</v>
      </c>
      <c r="C135" s="343">
        <f t="shared" si="0"/>
        <v>3.2077740468133946</v>
      </c>
      <c r="D135" s="344">
        <f t="shared" si="1"/>
        <v>13.284321896171596</v>
      </c>
      <c r="E135" s="340"/>
      <c r="F135" s="341"/>
      <c r="G135" s="341"/>
      <c r="H135" s="341"/>
      <c r="I135" s="338"/>
      <c r="J135" s="338"/>
      <c r="K135" s="338"/>
    </row>
    <row r="136" spans="1:11" x14ac:dyDescent="0.25">
      <c r="A136" s="341"/>
      <c r="B136" s="343">
        <f t="shared" si="7"/>
        <v>11000000</v>
      </c>
      <c r="C136" s="343">
        <f t="shared" si="0"/>
        <v>3.1348700912039993</v>
      </c>
      <c r="D136" s="344">
        <f t="shared" si="1"/>
        <v>12.68735081922587</v>
      </c>
      <c r="E136" s="340"/>
      <c r="F136" s="341"/>
      <c r="G136" s="341"/>
      <c r="H136" s="341"/>
      <c r="I136" s="338"/>
      <c r="J136" s="338"/>
      <c r="K136" s="338"/>
    </row>
    <row r="137" spans="1:11" x14ac:dyDescent="0.25">
      <c r="A137" s="341"/>
      <c r="B137" s="343">
        <f t="shared" si="7"/>
        <v>11250000</v>
      </c>
      <c r="C137" s="343">
        <f t="shared" si="0"/>
        <v>3.0652063113994661</v>
      </c>
      <c r="D137" s="344">
        <f t="shared" si="1"/>
        <v>12.129733919022854</v>
      </c>
      <c r="E137" s="340"/>
      <c r="F137" s="341"/>
      <c r="G137" s="341"/>
      <c r="H137" s="341"/>
      <c r="I137" s="338"/>
      <c r="J137" s="338"/>
      <c r="K137" s="338"/>
    </row>
    <row r="138" spans="1:11" x14ac:dyDescent="0.25">
      <c r="A138" s="341"/>
      <c r="B138" s="343">
        <f t="shared" si="7"/>
        <v>11500000</v>
      </c>
      <c r="C138" s="343">
        <f t="shared" si="0"/>
        <v>2.9985713915864345</v>
      </c>
      <c r="D138" s="344">
        <f t="shared" si="1"/>
        <v>11.608086571843709</v>
      </c>
      <c r="E138" s="340"/>
      <c r="F138" s="341"/>
      <c r="G138" s="341"/>
      <c r="H138" s="341"/>
      <c r="I138" s="338"/>
      <c r="J138" s="338"/>
      <c r="K138" s="338"/>
    </row>
    <row r="139" spans="1:11" x14ac:dyDescent="0.25">
      <c r="A139" s="341"/>
      <c r="B139" s="343">
        <f t="shared" si="7"/>
        <v>11750000</v>
      </c>
      <c r="C139" s="343">
        <f t="shared" si="0"/>
        <v>2.9347720002760842</v>
      </c>
      <c r="D139" s="344">
        <f t="shared" si="1"/>
        <v>11.119380346772871</v>
      </c>
      <c r="E139" s="340"/>
      <c r="F139" s="341"/>
      <c r="G139" s="341"/>
      <c r="H139" s="341"/>
      <c r="I139" s="338"/>
      <c r="J139" s="338"/>
      <c r="K139" s="338"/>
    </row>
    <row r="140" spans="1:11" x14ac:dyDescent="0.25">
      <c r="A140" s="341"/>
      <c r="B140" s="343">
        <f t="shared" si="7"/>
        <v>12000000</v>
      </c>
      <c r="C140" s="343">
        <f t="shared" si="0"/>
        <v>2.8736309169369991</v>
      </c>
      <c r="D140" s="344">
        <f t="shared" si="1"/>
        <v>10.66089895226618</v>
      </c>
      <c r="E140" s="340"/>
      <c r="F140" s="341"/>
      <c r="G140" s="341"/>
      <c r="H140" s="341"/>
      <c r="I140" s="338"/>
      <c r="J140" s="338"/>
      <c r="K140" s="338"/>
    </row>
    <row r="141" spans="1:11" x14ac:dyDescent="0.25">
      <c r="A141" s="341"/>
      <c r="B141" s="343">
        <f t="shared" si="7"/>
        <v>12250000</v>
      </c>
      <c r="C141" s="343">
        <f t="shared" si="0"/>
        <v>2.814985388019918</v>
      </c>
      <c r="D141" s="344">
        <f t="shared" si="1"/>
        <v>10.23020041067109</v>
      </c>
      <c r="E141" s="340"/>
      <c r="F141" s="341"/>
      <c r="G141" s="341"/>
      <c r="H141" s="341"/>
      <c r="I141" s="338"/>
      <c r="J141" s="338"/>
      <c r="K141" s="338"/>
    </row>
    <row r="142" spans="1:11" x14ac:dyDescent="0.25">
      <c r="A142" s="341"/>
      <c r="B142" s="343">
        <f t="shared" si="7"/>
        <v>12500000</v>
      </c>
      <c r="C142" s="343">
        <f t="shared" si="0"/>
        <v>2.7586856802595192</v>
      </c>
      <c r="D142" s="344">
        <f t="shared" si="1"/>
        <v>9.8250844744085146</v>
      </c>
      <c r="E142" s="340"/>
      <c r="F142" s="341"/>
      <c r="G142" s="341"/>
      <c r="H142" s="341"/>
      <c r="I142" s="338"/>
      <c r="J142" s="338"/>
      <c r="K142" s="338"/>
    </row>
    <row r="143" spans="1:11" x14ac:dyDescent="0.25">
      <c r="A143" s="341"/>
      <c r="B143" s="343">
        <f t="shared" si="7"/>
        <v>12750000</v>
      </c>
      <c r="C143" s="343">
        <f t="shared" si="0"/>
        <v>2.7045938041759996</v>
      </c>
      <c r="D143" s="344">
        <f t="shared" si="1"/>
        <v>9.4435644698274821</v>
      </c>
      <c r="E143" s="340"/>
      <c r="F143" s="341"/>
      <c r="G143" s="341"/>
      <c r="H143" s="341"/>
      <c r="I143" s="338"/>
      <c r="J143" s="338"/>
      <c r="K143" s="338"/>
    </row>
    <row r="144" spans="1:11" x14ac:dyDescent="0.25">
      <c r="A144" s="341"/>
      <c r="B144" s="343">
        <f t="shared" si="7"/>
        <v>13000000</v>
      </c>
      <c r="C144" s="343">
        <f t="shared" si="0"/>
        <v>2.6525823848649224</v>
      </c>
      <c r="D144" s="344">
        <f t="shared" si="1"/>
        <v>9.0838428942386393</v>
      </c>
      <c r="E144" s="340"/>
      <c r="F144" s="341"/>
      <c r="G144" s="341"/>
      <c r="H144" s="341"/>
      <c r="I144" s="338"/>
      <c r="J144" s="338"/>
      <c r="K144" s="338"/>
    </row>
    <row r="145" spans="1:11" x14ac:dyDescent="0.25">
      <c r="A145" s="341"/>
      <c r="B145" s="343">
        <f t="shared" si="7"/>
        <v>13250000</v>
      </c>
      <c r="C145" s="343">
        <f t="shared" si="0"/>
        <v>2.6025336606221878</v>
      </c>
      <c r="D145" s="344">
        <f t="shared" si="1"/>
        <v>8.7442902050627573</v>
      </c>
      <c r="E145" s="340"/>
      <c r="F145" s="341"/>
      <c r="G145" s="341"/>
      <c r="H145" s="341"/>
      <c r="I145" s="338"/>
      <c r="J145" s="338"/>
      <c r="K145" s="338"/>
    </row>
    <row r="146" spans="1:11" x14ac:dyDescent="0.25">
      <c r="A146" s="341"/>
      <c r="B146" s="343">
        <f t="shared" si="7"/>
        <v>13500000</v>
      </c>
      <c r="C146" s="343">
        <f t="shared" si="0"/>
        <v>2.5543385928328886</v>
      </c>
      <c r="D146" s="344">
        <f t="shared" si="1"/>
        <v>8.4234263326547598</v>
      </c>
      <c r="E146" s="340"/>
      <c r="F146" s="341"/>
      <c r="G146" s="341"/>
      <c r="H146" s="341"/>
      <c r="I146" s="338"/>
      <c r="J146" s="338"/>
      <c r="K146" s="338"/>
    </row>
    <row r="147" spans="1:11" x14ac:dyDescent="0.25">
      <c r="A147" s="341"/>
      <c r="B147" s="343">
        <f t="shared" si="7"/>
        <v>13750000</v>
      </c>
      <c r="C147" s="343">
        <f t="shared" si="0"/>
        <v>2.5078960729631996</v>
      </c>
      <c r="D147" s="344">
        <f t="shared" si="1"/>
        <v>8.1199045243045536</v>
      </c>
      <c r="E147" s="340"/>
      <c r="F147" s="341"/>
      <c r="G147" s="341"/>
      <c r="H147" s="341"/>
      <c r="I147" s="338"/>
      <c r="J147" s="338"/>
      <c r="K147" s="338"/>
    </row>
    <row r="148" spans="1:11" x14ac:dyDescent="0.25">
      <c r="A148" s="341"/>
      <c r="B148" s="343">
        <f t="shared" si="7"/>
        <v>14000000</v>
      </c>
      <c r="C148" s="343">
        <f t="shared" si="0"/>
        <v>2.4631122145174285</v>
      </c>
      <c r="D148" s="344">
        <f t="shared" si="1"/>
        <v>7.8324971894200504</v>
      </c>
      <c r="E148" s="340"/>
      <c r="F148" s="341"/>
      <c r="G148" s="341"/>
      <c r="H148" s="341"/>
      <c r="I148" s="338"/>
      <c r="J148" s="338"/>
      <c r="K148" s="338"/>
    </row>
    <row r="149" spans="1:11" x14ac:dyDescent="0.25">
      <c r="A149" s="341"/>
      <c r="B149" s="343">
        <f t="shared" si="7"/>
        <v>14250000</v>
      </c>
      <c r="C149" s="343">
        <f t="shared" si="0"/>
        <v>2.4198997195258944</v>
      </c>
      <c r="D149" s="344">
        <f t="shared" si="1"/>
        <v>7.560083467535021</v>
      </c>
      <c r="E149" s="340"/>
      <c r="F149" s="341"/>
      <c r="G149" s="341"/>
      <c r="H149" s="341"/>
      <c r="I149" s="338"/>
      <c r="J149" s="338"/>
      <c r="K149" s="338"/>
    </row>
    <row r="150" spans="1:11" x14ac:dyDescent="0.25">
      <c r="A150" s="341"/>
      <c r="B150" s="343">
        <f t="shared" si="7"/>
        <v>14500000</v>
      </c>
      <c r="C150" s="343">
        <f t="shared" si="0"/>
        <v>2.3781773105685513</v>
      </c>
      <c r="D150" s="344">
        <f t="shared" si="1"/>
        <v>7.3016382835972884</v>
      </c>
      <c r="E150" s="340"/>
      <c r="F150" s="341"/>
      <c r="G150" s="341"/>
      <c r="H150" s="341"/>
      <c r="I150" s="338"/>
      <c r="J150" s="338"/>
      <c r="K150" s="338"/>
    </row>
    <row r="151" spans="1:11" x14ac:dyDescent="0.25">
      <c r="A151" s="341"/>
      <c r="B151" s="343">
        <f t="shared" si="7"/>
        <v>14750000</v>
      </c>
      <c r="C151" s="343">
        <f t="shared" si="0"/>
        <v>2.3378692205589147</v>
      </c>
      <c r="D151" s="344">
        <f t="shared" si="1"/>
        <v>7.0562226906122607</v>
      </c>
      <c r="E151" s="340"/>
      <c r="F151" s="341"/>
      <c r="G151" s="341"/>
      <c r="H151" s="341"/>
      <c r="I151" s="338"/>
      <c r="J151" s="338"/>
      <c r="K151" s="338"/>
    </row>
    <row r="152" spans="1:11" x14ac:dyDescent="0.25">
      <c r="A152" s="341"/>
      <c r="B152" s="343">
        <f t="shared" si="7"/>
        <v>15000000</v>
      </c>
      <c r="C152" s="343">
        <f t="shared" si="0"/>
        <v>2.2989047335495996</v>
      </c>
      <c r="D152" s="344">
        <f t="shared" si="1"/>
        <v>6.8229753294503572</v>
      </c>
      <c r="E152" s="340"/>
      <c r="F152" s="341"/>
      <c r="G152" s="341"/>
      <c r="H152" s="341"/>
      <c r="I152" s="338"/>
      <c r="J152" s="338"/>
      <c r="K152" s="338"/>
    </row>
    <row r="153" spans="1:11" x14ac:dyDescent="0.25">
      <c r="A153" s="341"/>
      <c r="B153" s="343">
        <f t="shared" si="7"/>
        <v>15250000</v>
      </c>
      <c r="C153" s="343">
        <f t="shared" si="0"/>
        <v>2.261217770704524</v>
      </c>
      <c r="D153" s="344">
        <f t="shared" si="1"/>
        <v>6.6011048605270854</v>
      </c>
      <c r="E153" s="340"/>
      <c r="F153" s="341"/>
      <c r="G153" s="341"/>
      <c r="H153" s="341"/>
      <c r="I153" s="338"/>
      <c r="J153" s="338"/>
      <c r="K153" s="338"/>
    </row>
    <row r="154" spans="1:11" x14ac:dyDescent="0.25">
      <c r="A154" s="341"/>
      <c r="B154" s="343">
        <f t="shared" si="7"/>
        <v>15500000</v>
      </c>
      <c r="C154" s="343">
        <f t="shared" si="0"/>
        <v>2.2247465163383224</v>
      </c>
      <c r="D154" s="344">
        <f t="shared" si="1"/>
        <v>6.3898832429816022</v>
      </c>
      <c r="E154" s="340"/>
      <c r="F154" s="341"/>
      <c r="G154" s="341"/>
      <c r="H154" s="341"/>
      <c r="I154" s="338"/>
      <c r="J154" s="338"/>
      <c r="K154" s="338"/>
    </row>
    <row r="155" spans="1:11" x14ac:dyDescent="0.25">
      <c r="A155" s="341"/>
      <c r="B155" s="343">
        <f t="shared" si="7"/>
        <v>15750000</v>
      </c>
      <c r="C155" s="343">
        <f t="shared" si="0"/>
        <v>2.1894330795710473</v>
      </c>
      <c r="D155" s="344">
        <f t="shared" si="1"/>
        <v>6.1886397546034981</v>
      </c>
      <c r="E155" s="340"/>
      <c r="F155" s="341"/>
      <c r="G155" s="341"/>
      <c r="H155" s="341"/>
      <c r="I155" s="338"/>
      <c r="J155" s="338"/>
      <c r="K155" s="338"/>
    </row>
    <row r="156" spans="1:11" x14ac:dyDescent="0.25">
      <c r="A156" s="341"/>
      <c r="B156" s="343">
        <f t="shared" si="7"/>
        <v>16000000</v>
      </c>
      <c r="C156" s="343">
        <f t="shared" si="0"/>
        <v>2.1552231877027497</v>
      </c>
      <c r="D156" s="344">
        <f t="shared" si="1"/>
        <v>5.9967556606497281</v>
      </c>
      <c r="E156" s="340"/>
      <c r="F156" s="341"/>
      <c r="G156" s="341"/>
      <c r="H156" s="341"/>
      <c r="I156" s="338"/>
      <c r="J156" s="338"/>
      <c r="K156" s="338"/>
    </row>
    <row r="157" spans="1:11" x14ac:dyDescent="0.25">
      <c r="A157" s="341"/>
      <c r="B157" s="343">
        <f t="shared" si="7"/>
        <v>16250000</v>
      </c>
      <c r="C157" s="343">
        <f t="shared" si="0"/>
        <v>2.1220659078919382</v>
      </c>
      <c r="D157" s="344">
        <f t="shared" si="1"/>
        <v>5.813659452312729</v>
      </c>
      <c r="E157" s="340"/>
      <c r="F157" s="341"/>
      <c r="G157" s="341"/>
      <c r="H157" s="341"/>
      <c r="I157" s="338"/>
      <c r="J157" s="338"/>
      <c r="K157" s="338"/>
    </row>
    <row r="158" spans="1:11" x14ac:dyDescent="0.25">
      <c r="A158" s="341"/>
      <c r="B158" s="343">
        <f t="shared" si="7"/>
        <v>16500000</v>
      </c>
      <c r="C158" s="343">
        <f t="shared" ref="C158:C171" si="8">1.3/(2*PI()*C$7*0.001*$B158*10^-6)</f>
        <v>2.0899133941359995</v>
      </c>
      <c r="D158" s="344">
        <f t="shared" ref="D158:D171" si="9">2/((2*PI()*$B158*10^-6)^2*33)*10^6</f>
        <v>5.6388225863226076</v>
      </c>
      <c r="E158" s="340"/>
      <c r="F158" s="341"/>
      <c r="G158" s="341"/>
      <c r="H158" s="341"/>
      <c r="I158" s="338"/>
      <c r="J158" s="338"/>
      <c r="K158" s="338"/>
    </row>
    <row r="159" spans="1:11" x14ac:dyDescent="0.25">
      <c r="A159" s="341"/>
      <c r="B159" s="343">
        <f t="shared" si="7"/>
        <v>16750000</v>
      </c>
      <c r="C159" s="343">
        <f t="shared" si="8"/>
        <v>2.0587206569100895</v>
      </c>
      <c r="D159" s="344">
        <f t="shared" si="9"/>
        <v>5.4717556663001288</v>
      </c>
      <c r="E159" s="340"/>
      <c r="F159" s="341"/>
      <c r="G159" s="341"/>
      <c r="H159" s="341"/>
      <c r="I159" s="338"/>
      <c r="J159" s="338"/>
      <c r="K159" s="338"/>
    </row>
    <row r="160" spans="1:11" x14ac:dyDescent="0.25">
      <c r="A160" s="341"/>
      <c r="B160" s="343">
        <f t="shared" ref="B160:B171" si="10">B159+B$93</f>
        <v>17000000</v>
      </c>
      <c r="C160" s="343">
        <f t="shared" si="8"/>
        <v>2.0284453531319997</v>
      </c>
      <c r="D160" s="344">
        <f t="shared" si="9"/>
        <v>5.3120050142779585</v>
      </c>
      <c r="E160" s="340"/>
      <c r="F160" s="341"/>
      <c r="G160" s="341"/>
      <c r="H160" s="341"/>
      <c r="I160" s="338"/>
      <c r="J160" s="338"/>
      <c r="K160" s="338"/>
    </row>
    <row r="161" spans="1:11" x14ac:dyDescent="0.25">
      <c r="A161" s="341"/>
      <c r="B161" s="343">
        <f t="shared" si="10"/>
        <v>17250000</v>
      </c>
      <c r="C161" s="343">
        <f t="shared" si="8"/>
        <v>1.9990475943909563</v>
      </c>
      <c r="D161" s="344">
        <f t="shared" si="9"/>
        <v>5.1591495874860911</v>
      </c>
      <c r="E161" s="340"/>
      <c r="F161" s="341"/>
      <c r="G161" s="341"/>
      <c r="H161" s="341"/>
      <c r="I161" s="338"/>
      <c r="J161" s="338"/>
      <c r="K161" s="338"/>
    </row>
    <row r="162" spans="1:11" x14ac:dyDescent="0.25">
      <c r="A162" s="341"/>
      <c r="B162" s="343">
        <f t="shared" si="10"/>
        <v>17500000</v>
      </c>
      <c r="C162" s="343">
        <f t="shared" si="8"/>
        <v>1.9704897716139422</v>
      </c>
      <c r="D162" s="344">
        <f t="shared" si="9"/>
        <v>5.0127982012288328</v>
      </c>
      <c r="E162" s="340"/>
      <c r="F162" s="341"/>
      <c r="G162" s="341"/>
      <c r="H162" s="341"/>
      <c r="I162" s="338"/>
      <c r="J162" s="338"/>
      <c r="K162" s="338"/>
    </row>
    <row r="163" spans="1:11" x14ac:dyDescent="0.25">
      <c r="A163" s="341"/>
      <c r="B163" s="343">
        <f t="shared" si="10"/>
        <v>17750000</v>
      </c>
      <c r="C163" s="343">
        <f t="shared" si="8"/>
        <v>1.9427363945489573</v>
      </c>
      <c r="D163" s="344">
        <f t="shared" si="9"/>
        <v>4.8725870236106497</v>
      </c>
      <c r="E163" s="340"/>
      <c r="F163" s="341"/>
      <c r="G163" s="341"/>
      <c r="H163" s="341"/>
      <c r="I163" s="338"/>
      <c r="J163" s="338"/>
      <c r="K163" s="338"/>
    </row>
    <row r="164" spans="1:11" x14ac:dyDescent="0.25">
      <c r="A164" s="341"/>
      <c r="B164" s="343">
        <f t="shared" si="10"/>
        <v>18000000</v>
      </c>
      <c r="C164" s="343">
        <f t="shared" si="8"/>
        <v>1.9157539446246663</v>
      </c>
      <c r="D164" s="344">
        <f t="shared" si="9"/>
        <v>4.738177312118304</v>
      </c>
      <c r="E164" s="340"/>
      <c r="F164" s="341"/>
      <c r="G164" s="341"/>
      <c r="H164" s="341"/>
      <c r="I164" s="338"/>
      <c r="J164" s="338"/>
      <c r="K164" s="338"/>
    </row>
    <row r="165" spans="1:11" x14ac:dyDescent="0.25">
      <c r="A165" s="341"/>
      <c r="B165" s="343">
        <f t="shared" si="10"/>
        <v>18250000</v>
      </c>
      <c r="C165" s="343">
        <f t="shared" si="8"/>
        <v>1.8895107399037805</v>
      </c>
      <c r="D165" s="344">
        <f t="shared" si="9"/>
        <v>4.6092533657386534</v>
      </c>
      <c r="E165" s="340"/>
      <c r="F165" s="341"/>
      <c r="G165" s="341"/>
      <c r="H165" s="341"/>
      <c r="I165" s="338"/>
      <c r="J165" s="338"/>
      <c r="K165" s="338"/>
    </row>
    <row r="166" spans="1:11" x14ac:dyDescent="0.25">
      <c r="A166" s="341"/>
      <c r="B166" s="343">
        <f t="shared" si="10"/>
        <v>18500000</v>
      </c>
      <c r="C166" s="343">
        <f t="shared" si="8"/>
        <v>1.8639768109861619</v>
      </c>
      <c r="D166" s="344">
        <f t="shared" si="9"/>
        <v>4.4855206694706506</v>
      </c>
      <c r="E166" s="340"/>
      <c r="F166" s="341"/>
      <c r="G166" s="341"/>
      <c r="H166" s="341"/>
      <c r="I166" s="338"/>
      <c r="J166" s="338"/>
      <c r="K166" s="338"/>
    </row>
    <row r="167" spans="1:11" x14ac:dyDescent="0.25">
      <c r="A167" s="341"/>
      <c r="B167" s="343">
        <f t="shared" si="10"/>
        <v>18750000</v>
      </c>
      <c r="C167" s="343">
        <f t="shared" si="8"/>
        <v>1.8391237868396799</v>
      </c>
      <c r="D167" s="344">
        <f t="shared" si="9"/>
        <v>4.3667042108482281</v>
      </c>
      <c r="E167" s="340"/>
      <c r="F167" s="341"/>
      <c r="G167" s="341"/>
      <c r="H167" s="341"/>
      <c r="I167" s="338"/>
      <c r="J167" s="338"/>
      <c r="K167" s="338"/>
    </row>
    <row r="168" spans="1:11" x14ac:dyDescent="0.25">
      <c r="A168" s="341"/>
      <c r="B168" s="343">
        <f t="shared" si="10"/>
        <v>19000000</v>
      </c>
      <c r="C168" s="343">
        <f t="shared" si="8"/>
        <v>1.8149247896444207</v>
      </c>
      <c r="D168" s="344">
        <f t="shared" si="9"/>
        <v>4.2525469504884486</v>
      </c>
      <c r="E168" s="340"/>
      <c r="F168" s="341"/>
      <c r="G168" s="341"/>
      <c r="H168" s="341"/>
      <c r="I168" s="338"/>
      <c r="J168" s="338"/>
      <c r="K168" s="338"/>
    </row>
    <row r="169" spans="1:11" x14ac:dyDescent="0.25">
      <c r="A169" s="341"/>
      <c r="B169" s="343">
        <f t="shared" si="10"/>
        <v>19250000</v>
      </c>
      <c r="C169" s="343">
        <f t="shared" si="8"/>
        <v>1.7913543378308565</v>
      </c>
      <c r="D169" s="344">
        <f t="shared" si="9"/>
        <v>4.1428084307676301</v>
      </c>
      <c r="E169" s="340"/>
      <c r="F169" s="341"/>
      <c r="G169" s="341"/>
      <c r="H169" s="341"/>
      <c r="I169" s="338"/>
      <c r="J169" s="338"/>
      <c r="K169" s="338"/>
    </row>
    <row r="170" spans="1:11" x14ac:dyDescent="0.25">
      <c r="A170" s="341"/>
      <c r="B170" s="343">
        <f t="shared" si="10"/>
        <v>19500000</v>
      </c>
      <c r="C170" s="343">
        <f t="shared" si="8"/>
        <v>1.7683882565766149</v>
      </c>
      <c r="D170" s="344">
        <f t="shared" si="9"/>
        <v>4.0372635085505069</v>
      </c>
      <c r="E170" s="340"/>
      <c r="F170" s="341"/>
      <c r="G170" s="341"/>
      <c r="H170" s="341"/>
      <c r="I170" s="338"/>
      <c r="J170" s="338"/>
      <c r="K170" s="338"/>
    </row>
    <row r="171" spans="1:11" x14ac:dyDescent="0.25">
      <c r="A171" s="338"/>
      <c r="B171" s="343">
        <f t="shared" si="10"/>
        <v>19750000</v>
      </c>
      <c r="C171" s="343">
        <f t="shared" si="8"/>
        <v>1.7460035951009616</v>
      </c>
      <c r="D171" s="344">
        <f t="shared" si="9"/>
        <v>3.9357011994906719</v>
      </c>
      <c r="E171" s="340"/>
      <c r="F171" s="338"/>
      <c r="G171" s="338"/>
      <c r="H171" s="338"/>
      <c r="I171" s="338"/>
      <c r="J171" s="338"/>
      <c r="K171" s="338"/>
    </row>
    <row r="172" spans="1:11" x14ac:dyDescent="0.25">
      <c r="A172" s="338"/>
      <c r="B172" s="338"/>
      <c r="C172" s="338"/>
      <c r="D172" s="338"/>
      <c r="E172" s="338"/>
      <c r="F172" s="338"/>
      <c r="G172" s="338"/>
      <c r="H172" s="338"/>
      <c r="I172" s="338"/>
      <c r="J172" s="338"/>
      <c r="K172" s="338"/>
    </row>
    <row r="173" spans="1:11" x14ac:dyDescent="0.25">
      <c r="A173" s="338"/>
      <c r="B173" s="338"/>
      <c r="C173" s="338"/>
      <c r="D173" s="338"/>
      <c r="E173" s="338"/>
      <c r="F173" s="338"/>
      <c r="G173" s="338"/>
      <c r="H173" s="338"/>
      <c r="I173" s="338"/>
      <c r="J173" s="338"/>
      <c r="K173" s="338"/>
    </row>
    <row r="174" spans="1:11" x14ac:dyDescent="0.25">
      <c r="A174" s="338"/>
      <c r="B174" s="338"/>
      <c r="C174" s="338"/>
      <c r="D174" s="338"/>
      <c r="E174" s="338"/>
      <c r="F174" s="338"/>
      <c r="G174" s="338"/>
      <c r="H174" s="338"/>
      <c r="I174" s="338"/>
      <c r="J174" s="338"/>
      <c r="K174" s="338"/>
    </row>
  </sheetData>
  <sheetProtection sheet="1" objects="1" scenarios="1"/>
  <conditionalFormatting sqref="E22">
    <cfRule type="expression" dxfId="19" priority="1">
      <formula>IF(E22="This must be closer than Switch-On Distance",1,0)</formula>
    </cfRule>
  </conditionalFormatting>
  <dataValidations count="4">
    <dataValidation type="list" allowBlank="1" showInputMessage="1" showErrorMessage="1" sqref="D20 D22 D29 D40:D44 D38">
      <formula1>"mm, mil"</formula1>
    </dataValidation>
    <dataValidation type="list" allowBlank="1" showInputMessage="1" showErrorMessage="1" sqref="C6">
      <formula1>"1.8, 3.3"</formula1>
    </dataValidation>
    <dataValidation type="decimal" operator="greaterThan" allowBlank="1" showInputMessage="1" showErrorMessage="1" sqref="C8:C10 C22">
      <formula1>0</formula1>
    </dataValidation>
    <dataValidation type="decimal" errorStyle="warning" operator="greaterThan" allowBlank="1" showInputMessage="1" showErrorMessage="1" errorTitle="Sensor Inductance" error="The inductance of a 4.00mm spiral may be too low for the LDC0851 to support." sqref="C20">
      <formula1>4</formula1>
    </dataValidation>
  </dataValidations>
  <hyperlinks>
    <hyperlink ref="D2" location="Contents!A1" display="Return to Main Page"/>
  </hyperlinks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2:F31"/>
  <sheetViews>
    <sheetView showGridLines="0" showRowColHeaders="0" workbookViewId="0">
      <selection activeCell="Q57" sqref="Q57"/>
    </sheetView>
  </sheetViews>
  <sheetFormatPr defaultRowHeight="15" x14ac:dyDescent="0.25"/>
  <cols>
    <col min="1" max="2" width="5.7109375" customWidth="1"/>
    <col min="3" max="3" width="46.7109375" customWidth="1"/>
    <col min="4" max="4" width="12.5703125" customWidth="1"/>
    <col min="5" max="5" width="7.85546875" customWidth="1"/>
    <col min="6" max="6" width="12" bestFit="1" customWidth="1"/>
  </cols>
  <sheetData>
    <row r="2" spans="2:6" ht="18.75" x14ac:dyDescent="0.3">
      <c r="B2" s="4" t="s">
        <v>499</v>
      </c>
      <c r="C2" s="4"/>
      <c r="E2" s="71" t="s">
        <v>251</v>
      </c>
    </row>
    <row r="3" spans="2:6" ht="18.75" x14ac:dyDescent="0.3">
      <c r="B3" s="4"/>
      <c r="C3" s="7" t="s">
        <v>507</v>
      </c>
      <c r="E3" s="71"/>
    </row>
    <row r="4" spans="2:6" ht="18.75" x14ac:dyDescent="0.3">
      <c r="B4" s="4"/>
      <c r="C4" s="4"/>
      <c r="E4" s="71"/>
    </row>
    <row r="5" spans="2:6" ht="15.75" x14ac:dyDescent="0.25">
      <c r="B5" s="10"/>
      <c r="C5" s="10" t="s">
        <v>306</v>
      </c>
      <c r="D5" s="139"/>
      <c r="E5" s="134"/>
    </row>
    <row r="6" spans="2:6" ht="15.75" x14ac:dyDescent="0.25">
      <c r="B6" s="10"/>
      <c r="C6" s="10" t="s">
        <v>490</v>
      </c>
      <c r="D6" s="139"/>
      <c r="E6" s="134"/>
    </row>
    <row r="7" spans="2:6" ht="15.75" x14ac:dyDescent="0.25">
      <c r="B7" s="10"/>
      <c r="C7" s="10"/>
      <c r="D7" s="139"/>
      <c r="E7" s="134"/>
    </row>
    <row r="8" spans="2:6" ht="18" x14ac:dyDescent="0.35">
      <c r="B8" s="10"/>
      <c r="C8" s="21" t="s">
        <v>500</v>
      </c>
      <c r="D8" s="508">
        <v>40</v>
      </c>
      <c r="E8" s="6" t="s">
        <v>0</v>
      </c>
    </row>
    <row r="9" spans="2:6" ht="15.75" hidden="1" x14ac:dyDescent="0.25">
      <c r="B9" s="10"/>
      <c r="C9" s="274" t="str">
        <f>IF(E9="hex","RCOUNT Setting (range:0x0003 to 0xFFFF)","RCOUNT Setting (range:48 to 1048560)")</f>
        <v>RCOUNT Setting (range:48 to 1048560)</v>
      </c>
      <c r="D9" s="509">
        <v>4096</v>
      </c>
      <c r="E9" s="284" t="s">
        <v>468</v>
      </c>
    </row>
    <row r="10" spans="2:6" ht="15.75" hidden="1" x14ac:dyDescent="0.25">
      <c r="B10" s="10"/>
      <c r="C10" s="274" t="s">
        <v>491</v>
      </c>
      <c r="D10" s="510">
        <f>IF(E9="hex",HEX2DEC(D9),D9)</f>
        <v>4096</v>
      </c>
      <c r="E10" s="6"/>
    </row>
    <row r="11" spans="2:6" ht="15.75" hidden="1" x14ac:dyDescent="0.25">
      <c r="B11" s="10"/>
      <c r="C11" s="274" t="s">
        <v>492</v>
      </c>
      <c r="D11" s="105">
        <f>D8*1000/(D13*(D10+D24))</f>
        <v>9.1575091575091569</v>
      </c>
      <c r="E11" s="6" t="s">
        <v>493</v>
      </c>
      <c r="F11" s="188"/>
    </row>
    <row r="12" spans="2:6" ht="15.75" hidden="1" x14ac:dyDescent="0.25">
      <c r="B12" s="10"/>
      <c r="C12" s="274" t="s">
        <v>496</v>
      </c>
      <c r="D12" s="105">
        <f>D29</f>
        <v>0.10880884901332318</v>
      </c>
      <c r="E12" s="6" t="s">
        <v>285</v>
      </c>
      <c r="F12" s="188"/>
    </row>
    <row r="13" spans="2:6" ht="15.75" x14ac:dyDescent="0.25">
      <c r="B13" s="10"/>
      <c r="C13" s="274" t="s">
        <v>266</v>
      </c>
      <c r="D13" s="509">
        <v>1</v>
      </c>
      <c r="E13" s="6"/>
    </row>
    <row r="14" spans="2:6" ht="15.75" x14ac:dyDescent="0.25">
      <c r="B14" s="10"/>
      <c r="C14" s="274" t="s">
        <v>350</v>
      </c>
      <c r="D14" s="511">
        <v>5</v>
      </c>
      <c r="E14" s="72" t="s">
        <v>146</v>
      </c>
    </row>
    <row r="15" spans="2:6" ht="15.75" x14ac:dyDescent="0.25">
      <c r="B15" s="10"/>
      <c r="C15" s="274" t="s">
        <v>328</v>
      </c>
      <c r="D15" s="509">
        <v>510</v>
      </c>
      <c r="E15" s="72" t="s">
        <v>30</v>
      </c>
    </row>
    <row r="16" spans="2:6" ht="15.75" x14ac:dyDescent="0.25">
      <c r="B16" s="10"/>
      <c r="C16" s="274" t="str">
        <f>IF(D16&lt;10,"Sensor Frequency","Sensor Frequency Exceeds Spec!!!")</f>
        <v>Sensor Frequency</v>
      </c>
      <c r="D16" s="287">
        <f>1000/(2*PI()*SQRT(D15*D14))</f>
        <v>3.1517375171006519</v>
      </c>
      <c r="E16" s="6" t="s">
        <v>0</v>
      </c>
    </row>
    <row r="17" spans="2:6" ht="15.75" x14ac:dyDescent="0.25">
      <c r="B17" s="10"/>
      <c r="C17" s="501" t="s">
        <v>299</v>
      </c>
      <c r="D17" s="512">
        <v>2</v>
      </c>
      <c r="E17" s="286" t="str">
        <f>IF(C17="Sensor Q","","kΩ")</f>
        <v>kΩ</v>
      </c>
    </row>
    <row r="18" spans="2:6" ht="15.75" x14ac:dyDescent="0.25">
      <c r="B18" s="10"/>
      <c r="C18" s="274" t="str">
        <f>IF(C17="Sensor Q","Sensor RP","Sensor Q")</f>
        <v>Sensor Q</v>
      </c>
      <c r="D18" s="287">
        <f>IF(C18="Sensor Q",D17*SQRT(D15/D14),D17*SQRT(D14/D15))</f>
        <v>20.199009876724155</v>
      </c>
      <c r="E18" s="285" t="str">
        <f>IF(C18="Sensor Q","","kΩ")</f>
        <v/>
      </c>
    </row>
    <row r="19" spans="2:6" ht="15.75" x14ac:dyDescent="0.25">
      <c r="B19" s="10"/>
      <c r="C19" s="274" t="s">
        <v>494</v>
      </c>
      <c r="D19" s="509">
        <v>1.8</v>
      </c>
      <c r="E19" s="6" t="s">
        <v>486</v>
      </c>
      <c r="F19" t="s">
        <v>498</v>
      </c>
    </row>
    <row r="20" spans="2:6" ht="15.75" x14ac:dyDescent="0.25">
      <c r="B20" s="10"/>
      <c r="C20" s="274" t="s">
        <v>487</v>
      </c>
      <c r="D20" s="509">
        <v>25</v>
      </c>
      <c r="E20" s="6" t="s">
        <v>488</v>
      </c>
    </row>
    <row r="21" spans="2:6" ht="15.75" hidden="1" x14ac:dyDescent="0.25">
      <c r="B21" s="10"/>
      <c r="C21" s="140" t="s">
        <v>299</v>
      </c>
      <c r="D21" s="297">
        <f>IF(C18="Sensor RP",D18,D17)</f>
        <v>2</v>
      </c>
      <c r="E21" s="6" t="s">
        <v>300</v>
      </c>
    </row>
    <row r="22" spans="2:6" ht="14.25" hidden="1" customHeight="1" x14ac:dyDescent="0.25">
      <c r="B22" s="10"/>
      <c r="C22" s="140" t="s">
        <v>495</v>
      </c>
      <c r="D22" s="297">
        <f>IF(C18="Sensor Q",D18,D17)</f>
        <v>20.199009876724155</v>
      </c>
    </row>
    <row r="23" spans="2:6" ht="15.75" hidden="1" x14ac:dyDescent="0.25">
      <c r="B23" s="10"/>
      <c r="C23" s="140" t="s">
        <v>310</v>
      </c>
      <c r="D23" s="298">
        <f>D22*D8/D16</f>
        <v>256.35396053292709</v>
      </c>
    </row>
    <row r="24" spans="2:6" ht="15.75" hidden="1" x14ac:dyDescent="0.25">
      <c r="B24" s="10"/>
      <c r="C24" s="274" t="s">
        <v>339</v>
      </c>
      <c r="D24" s="289">
        <f>16*CEILING(D23/16,1)</f>
        <v>272</v>
      </c>
      <c r="E24" s="232"/>
      <c r="F24" s="77"/>
    </row>
    <row r="25" spans="2:6" ht="15.75" x14ac:dyDescent="0.25">
      <c r="B25" s="10"/>
      <c r="C25" s="274" t="s">
        <v>508</v>
      </c>
      <c r="D25" s="288" t="str">
        <f>"0x"&amp;(DEC2HEX(D24/16,4))</f>
        <v>0x0011</v>
      </c>
      <c r="E25" s="240" t="s">
        <v>420</v>
      </c>
      <c r="F25" s="77"/>
    </row>
    <row r="26" spans="2:6" ht="15.75" hidden="1" x14ac:dyDescent="0.25">
      <c r="B26" s="10"/>
      <c r="C26" s="274" t="s">
        <v>307</v>
      </c>
      <c r="D26" s="291">
        <f>D24/D8</f>
        <v>6.8</v>
      </c>
      <c r="E26" s="69" t="s">
        <v>278</v>
      </c>
    </row>
    <row r="27" spans="2:6" ht="15.75" hidden="1" x14ac:dyDescent="0.25">
      <c r="B27" s="135"/>
      <c r="C27" s="21" t="s">
        <v>293</v>
      </c>
      <c r="D27" s="292">
        <v>0.3</v>
      </c>
      <c r="E27" t="s">
        <v>285</v>
      </c>
    </row>
    <row r="28" spans="2:6" ht="15.75" hidden="1" x14ac:dyDescent="0.25">
      <c r="B28" s="64"/>
      <c r="C28" s="21" t="s">
        <v>294</v>
      </c>
      <c r="D28" s="293">
        <v>0.04</v>
      </c>
      <c r="E28" t="s">
        <v>285</v>
      </c>
    </row>
    <row r="29" spans="2:6" ht="15.75" hidden="1" x14ac:dyDescent="0.25">
      <c r="B29" s="38"/>
      <c r="C29" s="21" t="s">
        <v>298</v>
      </c>
      <c r="D29" s="294">
        <f>0.001*(D23+D9)/D8</f>
        <v>0.10880884901332318</v>
      </c>
      <c r="E29" t="s">
        <v>285</v>
      </c>
    </row>
    <row r="30" spans="2:6" ht="15.75" hidden="1" x14ac:dyDescent="0.25">
      <c r="B30" s="38"/>
      <c r="C30" t="s">
        <v>302</v>
      </c>
      <c r="D30" s="292">
        <f>PI()*(1.160155^D20)/200</f>
        <v>0.64419934512167676</v>
      </c>
      <c r="E30" t="s">
        <v>301</v>
      </c>
    </row>
    <row r="31" spans="2:6" ht="20.25" customHeight="1" x14ac:dyDescent="0.25">
      <c r="C31" s="238" t="s">
        <v>497</v>
      </c>
      <c r="D31" s="290">
        <f>4*D21*D30/PI()</f>
        <v>1.6404401618028275</v>
      </c>
      <c r="E31" s="72" t="s">
        <v>489</v>
      </c>
      <c r="F31" s="188"/>
    </row>
  </sheetData>
  <sheetProtection sheet="1" objects="1" scenarios="1"/>
  <conditionalFormatting sqref="E11:E12">
    <cfRule type="expression" dxfId="18" priority="18">
      <formula>#REF!&lt;0</formula>
    </cfRule>
  </conditionalFormatting>
  <dataValidations count="14">
    <dataValidation type="decimal" errorStyle="information" allowBlank="1" showInputMessage="1" showErrorMessage="1" errorTitle="Sensor Current Drive" error="The FDC sensor current drive setting should be between 0 and 31." sqref="D20">
      <formula1>0</formula1>
      <formula2>31</formula2>
    </dataValidation>
    <dataValidation type="whole" errorStyle="warning" allowBlank="1" showInputMessage="1" showErrorMessage="1" errorTitle="Invalid Reference Frequency" error="The Reference frequency must be greater than the sensor frequency and not greater than 40MHz." sqref="D8">
      <formula1>D16</formula1>
      <formula2>40</formula2>
    </dataValidation>
    <dataValidation errorStyle="warning" allowBlank="1" showInputMessage="1" showErrorMessage="1" errorTitle="Invalid I2C datarate" error="The LDC can support a datarate of up to 400kbit/s." sqref="D21:D26"/>
    <dataValidation type="list" errorStyle="warning" allowBlank="1" showInputMessage="1" showErrorMessage="1" errorTitle="Sample Rate out of bounds" error="The sample rate is either extremely low - use the shutdown mode, or the sample rate needed cannot use the low power modes." sqref="D13">
      <formula1>"1,2,3,4"</formula1>
    </dataValidation>
    <dataValidation type="decimal" errorStyle="information" allowBlank="1" showInputMessage="1" showErrorMessage="1" errorTitle="Sample Rate out of bounds" error="The sample rate is either extremely low - use the shutdown mode, or the sample rate needed cannot use the low power modes." sqref="D11:D12">
      <formula1>0.1</formula1>
      <formula2>800</formula2>
    </dataValidation>
    <dataValidation type="decimal" errorStyle="warning" allowBlank="1" showInputMessage="1" showErrorMessage="1" errorTitle="Invalid Sensor Frequency" error="The LDC is limited to sensor frequencies of 10kHz to 10MHz." sqref="D16">
      <formula1>0.01</formula1>
      <formula2>10</formula2>
    </dataValidation>
    <dataValidation errorStyle="information" allowBlank="1" showInputMessage="1" showErrorMessage="1" errorTitle="Sensor Amplitude" error="The sensor amplitude should be between 0.1V and 1.8V." sqref="D19"/>
    <dataValidation type="decimal" allowBlank="1" showInputMessage="1" showErrorMessage="1" sqref="D10">
      <formula1>48</formula1>
      <formula2>1048560</formula2>
    </dataValidation>
    <dataValidation type="decimal" errorStyle="warning" allowBlank="1" showInputMessage="1" showErrorMessage="1" errorTitle="Sample Rate out of bounds" error="The sample rate is either extremely low - use the shutdown mode, or the sample rate needed cannot use the low power modes." sqref="D14:D15">
      <formula1>0</formula1>
      <formula2>100000</formula2>
    </dataValidation>
    <dataValidation type="list" allowBlank="1" showInputMessage="1" showErrorMessage="1" sqref="E9">
      <formula1>"hex,decimal"</formula1>
    </dataValidation>
    <dataValidation errorStyle="warning" allowBlank="1" showInputMessage="1" showErrorMessage="1" errorTitle="Invalid Sensor Frequency" error="The LDC is limited to sensor frequencies of 10kHz to 10MHz." sqref="D18"/>
    <dataValidation type="decimal" errorStyle="warning" allowBlank="1" showInputMessage="1" showErrorMessage="1" errorTitle="Invalid Sensor Frequency" error="The LDC is limited to sensor frequencies of 10kHz to 10MHz." sqref="D17">
      <formula1>0.5</formula1>
      <formula2>1000000</formula2>
    </dataValidation>
    <dataValidation type="list" allowBlank="1" showInputMessage="1" showErrorMessage="1" sqref="C17">
      <formula1>"Sensor Q,Sensor RP"</formula1>
    </dataValidation>
    <dataValidation type="decimal" allowBlank="1" showInputMessage="1" showErrorMessage="1" errorTitle="Invalid RCOUNT setting" error="Rcount is restricted to the range 3 to 65535 (0x0003 to 0xFFFF)" sqref="D9">
      <formula1>3</formula1>
      <formula2>65535</formula2>
    </dataValidation>
  </dataValidations>
  <hyperlinks>
    <hyperlink ref="E2" location="Contents!A1" display="Return to Main Page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4" tint="0.59999389629810485"/>
  </sheetPr>
  <dimension ref="B2:G44"/>
  <sheetViews>
    <sheetView showGridLines="0" showRowColHeaders="0" workbookViewId="0">
      <selection activeCell="C26" sqref="C26"/>
    </sheetView>
  </sheetViews>
  <sheetFormatPr defaultRowHeight="15" x14ac:dyDescent="0.25"/>
  <cols>
    <col min="2" max="2" width="38.42578125" customWidth="1"/>
    <col min="3" max="3" width="10.5703125" bestFit="1" customWidth="1"/>
    <col min="4" max="4" width="15.5703125" customWidth="1"/>
  </cols>
  <sheetData>
    <row r="2" spans="2:7" ht="18.75" x14ac:dyDescent="0.3">
      <c r="B2" s="4" t="s">
        <v>349</v>
      </c>
      <c r="C2" s="5"/>
      <c r="D2" s="6"/>
      <c r="E2" s="71" t="s">
        <v>251</v>
      </c>
    </row>
    <row r="3" spans="2:7" ht="15.75" x14ac:dyDescent="0.25">
      <c r="B3" s="7" t="s">
        <v>365</v>
      </c>
      <c r="C3" s="5"/>
      <c r="D3" s="6"/>
    </row>
    <row r="4" spans="2:7" ht="15.75" x14ac:dyDescent="0.25">
      <c r="B4" s="7" t="s">
        <v>364</v>
      </c>
      <c r="C4" s="5"/>
      <c r="D4" s="6"/>
    </row>
    <row r="5" spans="2:7" ht="15.75" x14ac:dyDescent="0.25">
      <c r="B5" s="7" t="s">
        <v>363</v>
      </c>
      <c r="C5" s="5"/>
      <c r="D5" s="6"/>
    </row>
    <row r="6" spans="2:7" ht="15.75" x14ac:dyDescent="0.25">
      <c r="B6" s="7"/>
      <c r="C6" s="5"/>
      <c r="D6" s="6"/>
    </row>
    <row r="7" spans="2:7" ht="18.75" x14ac:dyDescent="0.3">
      <c r="B7" s="4" t="s">
        <v>444</v>
      </c>
      <c r="C7" s="5"/>
      <c r="D7" s="6"/>
    </row>
    <row r="8" spans="2:7" ht="15.75" x14ac:dyDescent="0.25">
      <c r="B8" s="7" t="s">
        <v>15</v>
      </c>
      <c r="C8" s="513" t="s">
        <v>419</v>
      </c>
      <c r="D8" s="6"/>
    </row>
    <row r="9" spans="2:7" ht="15.75" hidden="1" x14ac:dyDescent="0.25">
      <c r="B9" s="7" t="s">
        <v>501</v>
      </c>
      <c r="C9" s="514">
        <v>8</v>
      </c>
      <c r="D9" s="6" t="s">
        <v>0</v>
      </c>
    </row>
    <row r="10" spans="2:7" ht="15.75" x14ac:dyDescent="0.25">
      <c r="B10" s="7" t="s">
        <v>17</v>
      </c>
      <c r="C10" s="515">
        <v>8</v>
      </c>
      <c r="D10" s="6" t="s">
        <v>0</v>
      </c>
      <c r="E10" s="152"/>
    </row>
    <row r="11" spans="2:7" hidden="1" x14ac:dyDescent="0.25">
      <c r="B11" s="7"/>
      <c r="C11" s="178">
        <f>C10*1000000</f>
        <v>8000000</v>
      </c>
      <c r="D11" s="191" t="s">
        <v>1</v>
      </c>
      <c r="E11" s="8"/>
      <c r="F11" s="8"/>
      <c r="G11" s="8"/>
    </row>
    <row r="12" spans="2:7" ht="15.75" x14ac:dyDescent="0.25">
      <c r="B12" s="193" t="s">
        <v>350</v>
      </c>
      <c r="C12" s="516">
        <v>2.7290000000000001</v>
      </c>
      <c r="D12" s="192" t="s">
        <v>146</v>
      </c>
      <c r="E12" s="8"/>
      <c r="F12" s="8"/>
      <c r="G12" s="8"/>
    </row>
    <row r="13" spans="2:7" ht="15.75" x14ac:dyDescent="0.25">
      <c r="B13" s="194" t="s">
        <v>328</v>
      </c>
      <c r="C13" s="516">
        <v>200</v>
      </c>
      <c r="D13" s="190" t="s">
        <v>30</v>
      </c>
      <c r="E13" s="8"/>
      <c r="F13" s="8"/>
      <c r="G13" s="8"/>
    </row>
    <row r="14" spans="2:7" ht="15.75" x14ac:dyDescent="0.25">
      <c r="B14" s="195" t="s">
        <v>351</v>
      </c>
      <c r="C14" s="133">
        <f>1000/(2*PI()*SQRT(C13*C12))</f>
        <v>6.8124505989696047</v>
      </c>
      <c r="D14" s="190" t="s">
        <v>0</v>
      </c>
      <c r="E14" t="s">
        <v>449</v>
      </c>
      <c r="F14" s="8"/>
      <c r="G14" s="8"/>
    </row>
    <row r="15" spans="2:7" ht="15.75" hidden="1" x14ac:dyDescent="0.25">
      <c r="B15" s="214" t="s">
        <v>502</v>
      </c>
      <c r="C15" s="295">
        <f>IF(C8="LDC1101",10,5)</f>
        <v>10</v>
      </c>
      <c r="D15" s="190" t="s">
        <v>0</v>
      </c>
      <c r="F15" s="8"/>
      <c r="G15" s="8"/>
    </row>
    <row r="16" spans="2:7" ht="30" x14ac:dyDescent="0.25">
      <c r="B16" s="198" t="s">
        <v>352</v>
      </c>
      <c r="C16" s="517">
        <v>6.8</v>
      </c>
      <c r="D16" s="6" t="s">
        <v>0</v>
      </c>
    </row>
    <row r="17" spans="2:5" ht="15.75" x14ac:dyDescent="0.25">
      <c r="B17" s="7" t="s">
        <v>18</v>
      </c>
      <c r="C17" s="513">
        <v>6144</v>
      </c>
      <c r="D17" s="6" t="s">
        <v>216</v>
      </c>
    </row>
    <row r="18" spans="2:5" ht="15.75" x14ac:dyDescent="0.25">
      <c r="B18" s="7" t="s">
        <v>355</v>
      </c>
      <c r="C18" s="200">
        <f>IF((1/C16*C17/3)&gt;3000,0.001/C16*C17/3,1/C16*C17/3)</f>
        <v>301.1764705882353</v>
      </c>
      <c r="D18" s="146" t="str">
        <f>IF((1/C16*C17/3)&gt;3000,"ms","µs")</f>
        <v>µs</v>
      </c>
    </row>
    <row r="19" spans="2:5" ht="15.75" x14ac:dyDescent="0.25">
      <c r="B19" s="7" t="s">
        <v>257</v>
      </c>
      <c r="C19" s="199">
        <f>1000/C18</f>
        <v>3.3203125</v>
      </c>
      <c r="D19" s="146" t="str">
        <f>IF(D18="µs","ksps","sps")</f>
        <v>ksps</v>
      </c>
    </row>
    <row r="20" spans="2:5" ht="15.75" x14ac:dyDescent="0.25">
      <c r="B20" s="7" t="s">
        <v>362</v>
      </c>
      <c r="C20" s="99">
        <f>LOG(C17/3*C10/C16,2)</f>
        <v>11.234465253637024</v>
      </c>
      <c r="D20" s="197" t="s">
        <v>354</v>
      </c>
    </row>
    <row r="23" spans="2:5" ht="18.75" x14ac:dyDescent="0.3">
      <c r="B23" s="196" t="s">
        <v>448</v>
      </c>
    </row>
    <row r="24" spans="2:5" ht="15.75" x14ac:dyDescent="0.25">
      <c r="B24" s="139" t="s">
        <v>359</v>
      </c>
      <c r="C24" s="518" t="s">
        <v>419</v>
      </c>
    </row>
    <row r="25" spans="2:5" ht="15.75" hidden="1" x14ac:dyDescent="0.25">
      <c r="B25" s="139" t="s">
        <v>447</v>
      </c>
      <c r="C25" s="519">
        <f>IF(C24="LDC1101",1,IF(RIGHT(C24,1)="2",2,4))</f>
        <v>1</v>
      </c>
    </row>
    <row r="26" spans="2:5" ht="15.75" x14ac:dyDescent="0.25">
      <c r="B26" s="214" t="s">
        <v>360</v>
      </c>
      <c r="C26" s="513">
        <v>0</v>
      </c>
      <c r="D26" s="6" t="s">
        <v>361</v>
      </c>
    </row>
    <row r="27" spans="2:5" ht="15.75" x14ac:dyDescent="0.25">
      <c r="B27" s="193" t="s">
        <v>350</v>
      </c>
      <c r="C27" s="516">
        <v>2.73</v>
      </c>
      <c r="D27" s="192" t="s">
        <v>146</v>
      </c>
    </row>
    <row r="28" spans="2:5" ht="15.75" x14ac:dyDescent="0.25">
      <c r="B28" s="194" t="s">
        <v>328</v>
      </c>
      <c r="C28" s="516">
        <v>200</v>
      </c>
      <c r="D28" s="190" t="s">
        <v>30</v>
      </c>
    </row>
    <row r="29" spans="2:5" ht="15.75" x14ac:dyDescent="0.25">
      <c r="B29" s="195" t="s">
        <v>351</v>
      </c>
      <c r="C29" s="133">
        <f>1000/(2*PI()*SQRT(C28*C27))</f>
        <v>6.8112027831153839</v>
      </c>
      <c r="D29" s="190" t="s">
        <v>0</v>
      </c>
    </row>
    <row r="30" spans="2:5" ht="15.75" x14ac:dyDescent="0.25">
      <c r="B30" s="214" t="s">
        <v>505</v>
      </c>
      <c r="C30" s="133">
        <f>IF(C24="LDC1101",16,40)</f>
        <v>16</v>
      </c>
      <c r="D30" s="190"/>
    </row>
    <row r="31" spans="2:5" ht="15.75" x14ac:dyDescent="0.25">
      <c r="B31" s="77" t="s">
        <v>19</v>
      </c>
      <c r="C31" s="508">
        <v>16</v>
      </c>
      <c r="D31" s="6" t="s">
        <v>0</v>
      </c>
      <c r="E31" s="152"/>
    </row>
    <row r="32" spans="2:5" ht="15.75" hidden="1" x14ac:dyDescent="0.25">
      <c r="B32" s="201" t="s">
        <v>602</v>
      </c>
      <c r="C32" s="519">
        <f>(2^20)-16</f>
        <v>1048560</v>
      </c>
    </row>
    <row r="33" spans="2:4" ht="15.75" x14ac:dyDescent="0.25">
      <c r="B33" s="274" t="str">
        <f>IF(D33="hex","RCOUNT Setting (range:0x0003 to 0xFFFF)","RCOUNT Setting (range:3 to 65535)")</f>
        <v>RCOUNT Setting (range:0x0003 to 0xFFFF)</v>
      </c>
      <c r="C33" s="520" t="s">
        <v>618</v>
      </c>
      <c r="D33" s="521" t="s">
        <v>475</v>
      </c>
    </row>
    <row r="34" spans="2:4" hidden="1" x14ac:dyDescent="0.25">
      <c r="B34" s="274" t="s">
        <v>491</v>
      </c>
      <c r="C34" s="283">
        <f>IF(D33="hex",HEX2DEC(C33),C33)</f>
        <v>496</v>
      </c>
      <c r="D34" s="6"/>
    </row>
    <row r="35" spans="2:4" ht="15.75" x14ac:dyDescent="0.25">
      <c r="B35" s="201" t="s">
        <v>483</v>
      </c>
      <c r="C35" s="248" t="str">
        <f>IF(AND(C34&lt;65536,C34&gt;2),"0x"&amp;DEC2HEX(C34,4),"INVALID RCOUNT")</f>
        <v>0x01F0</v>
      </c>
      <c r="D35" s="190" t="s">
        <v>475</v>
      </c>
    </row>
    <row r="36" spans="2:4" ht="15.75" hidden="1" x14ac:dyDescent="0.25">
      <c r="B36" s="201" t="s">
        <v>276</v>
      </c>
      <c r="C36" s="296">
        <f>C34*16</f>
        <v>7936</v>
      </c>
      <c r="D36" s="190"/>
    </row>
    <row r="37" spans="2:4" ht="15.75" x14ac:dyDescent="0.25">
      <c r="B37" s="274" t="str">
        <f>IF(D37="hex","Settle Count (range:0x0001 to 0xFFFF)","Settle Count (range:1 to 65535)")</f>
        <v>Settle Count (range:0x0001 to 0xFFFF)</v>
      </c>
      <c r="C37" s="520" t="s">
        <v>504</v>
      </c>
      <c r="D37" s="521" t="s">
        <v>475</v>
      </c>
    </row>
    <row r="38" spans="2:4" ht="15.75" hidden="1" x14ac:dyDescent="0.25">
      <c r="B38" s="274" t="s">
        <v>503</v>
      </c>
      <c r="C38" s="510">
        <f>IF(D37="hex",HEX2DEC(C37),C37)</f>
        <v>10</v>
      </c>
      <c r="D38" s="6"/>
    </row>
    <row r="39" spans="2:4" ht="15.75" x14ac:dyDescent="0.25">
      <c r="B39" s="77" t="s">
        <v>353</v>
      </c>
      <c r="C39" s="513">
        <v>1</v>
      </c>
      <c r="D39" s="6"/>
    </row>
    <row r="40" spans="2:4" ht="15" hidden="1" customHeight="1" x14ac:dyDescent="0.25">
      <c r="B40" s="201" t="s">
        <v>476</v>
      </c>
      <c r="C40" s="202">
        <f>IF(C24="LDC1101",55,IF(C39=1,0,38))</f>
        <v>55</v>
      </c>
      <c r="D40" s="6"/>
    </row>
    <row r="41" spans="2:4" ht="15.75" hidden="1" x14ac:dyDescent="0.25">
      <c r="B41" s="201" t="s">
        <v>355</v>
      </c>
      <c r="C41" s="202">
        <f>(C36+C40)/C31</f>
        <v>499.4375</v>
      </c>
      <c r="D41" s="72" t="s">
        <v>278</v>
      </c>
    </row>
    <row r="42" spans="2:4" ht="15.75" x14ac:dyDescent="0.25">
      <c r="B42" s="77" t="s">
        <v>355</v>
      </c>
      <c r="C42" s="199">
        <f>IF(C41&gt;1000,C41/1000,C41)</f>
        <v>499.4375</v>
      </c>
      <c r="D42" s="145" t="str">
        <f>IF(C41&gt;1000,"ms","µs")</f>
        <v>µs</v>
      </c>
    </row>
    <row r="43" spans="2:4" ht="15.75" x14ac:dyDescent="0.25">
      <c r="B43" s="77" t="s">
        <v>257</v>
      </c>
      <c r="C43" s="199">
        <f>1000/C42/C39</f>
        <v>2.0022525341008635</v>
      </c>
      <c r="D43" s="146" t="str">
        <f>IF(D42="µs","ksps per channel","sps per channel")</f>
        <v>ksps per channel</v>
      </c>
    </row>
    <row r="44" spans="2:4" ht="15.75" hidden="1" x14ac:dyDescent="0.25">
      <c r="B44" s="77" t="s">
        <v>601</v>
      </c>
      <c r="C44" s="99">
        <f>IF(LEFT(C24,6)="LDC131",MIN(LOG(2*4*C36,2),12+C26),LOG(2*2*C36,2))</f>
        <v>14.954196310386875</v>
      </c>
      <c r="D44" s="6" t="s">
        <v>354</v>
      </c>
    </row>
  </sheetData>
  <sheetProtection sheet="1" objects="1" scenarios="1"/>
  <conditionalFormatting sqref="C39">
    <cfRule type="cellIs" dxfId="17" priority="1" operator="greaterThan">
      <formula>$C$25</formula>
    </cfRule>
  </conditionalFormatting>
  <dataValidations count="15">
    <dataValidation type="decimal" errorStyle="warning" allowBlank="1" showInputMessage="1" showErrorMessage="1" errorTitle="Exceeds Maximum fReference" error="This input exceeds the LDC maximum reference frequency." sqref="C10">
      <formula1>0.001</formula1>
      <formula2>C9</formula2>
    </dataValidation>
    <dataValidation type="decimal" errorStyle="warning" allowBlank="1" showInputMessage="1" showErrorMessage="1" errorTitle="Sensor Frequency out of range" error="The LDC1000/1041/1051 sensor range is limited to the range of 5kHz to 5MHz." sqref="C16">
      <formula1>0.005</formula1>
      <formula2>C15</formula2>
    </dataValidation>
    <dataValidation type="list" errorStyle="warning" allowBlank="1" showInputMessage="1" showErrorMessage="1" sqref="C17">
      <formula1>"192,384,768,1536,3072,6144"</formula1>
    </dataValidation>
    <dataValidation type="decimal" errorStyle="warning" allowBlank="1" showInputMessage="1" showErrorMessage="1" errorTitle="Possible Invalid Reference Freq" error="The Reference Frequency must be greater than the Sensor frequency and also must not exceed the LDC maximum reference frequency." sqref="C31">
      <formula1>1</formula1>
      <formula2>C30</formula2>
    </dataValidation>
    <dataValidation type="whole" allowBlank="1" showInputMessage="1" showErrorMessage="1" errorTitle="Invalid Number of Channels" error="LDC1312 &amp; LDC1612 maximum setting is 2 channels. _x000a_LDC1314 &amp; LDC1614 maximum setting is 4 channels." sqref="C39">
      <formula1>1</formula1>
      <formula2>C25</formula2>
    </dataValidation>
    <dataValidation type="list" allowBlank="1" showInputMessage="1" showErrorMessage="1" sqref="C26">
      <formula1>"0,2,3,4"</formula1>
    </dataValidation>
    <dataValidation type="list" allowBlank="1" showInputMessage="1" showErrorMessage="1" sqref="C24">
      <formula1>"LDC1312,LDC1314,LDC1612,LDC1614,LDC1101"</formula1>
    </dataValidation>
    <dataValidation type="whole" errorStyle="warning" allowBlank="1" showInputMessage="1" showErrorMessage="1" errorTitle="Invalid Reference Count" error="The LDC131x/161x minimum reference count is 48 and the maximum reference count is 1048560." sqref="C35">
      <formula1>64</formula1>
      <formula2>65535*16</formula2>
    </dataValidation>
    <dataValidation type="whole" errorStyle="warning" allowBlank="1" showInputMessage="1" showErrorMessage="1" errorTitle="Invalid Reference Count" error="The LDC131x/161x minimum reference count is 48 and the maximum reference count is 1048560." sqref="C32">
      <formula1>48</formula1>
      <formula2>65535*16</formula2>
    </dataValidation>
    <dataValidation allowBlank="1" showInputMessage="1" showErrorMessage="1" errorTitle="Invalid Number of Channels" error="LDC1312 &amp; LDC1612 maximum setting is 2 channels. _x000a_LDC1314 &amp; LDC1614 maximum setting is 4 channels." sqref="C40:C41"/>
    <dataValidation type="list" allowBlank="1" showInputMessage="1" showErrorMessage="1" sqref="C8">
      <formula1>"LDC1101,LDC1000/41/51"</formula1>
    </dataValidation>
    <dataValidation type="list" allowBlank="1" showInputMessage="1" showErrorMessage="1" sqref="D33 D37">
      <formula1>"hex,decimal"</formula1>
    </dataValidation>
    <dataValidation type="decimal" allowBlank="1" showInputMessage="1" showErrorMessage="1" sqref="C34 C38">
      <formula1>48</formula1>
      <formula2>1048560</formula2>
    </dataValidation>
    <dataValidation allowBlank="1" showInputMessage="1" showErrorMessage="1" errorTitle="Invalid RCount" error="Rcount is restricted to the range of 3 to 65535 (0x0003 to 0xFFFF)." sqref="C33 C37"/>
    <dataValidation errorStyle="warning" allowBlank="1" showInputMessage="1" showErrorMessage="1" errorTitle="Invalid Reference Count" error="The LDC131x/161x minimum reference count is 48 and the maximum reference count is 1048560." sqref="C36"/>
  </dataValidations>
  <hyperlinks>
    <hyperlink ref="E2" location="Contents!A1" display="Return to Main Page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4" tint="0.59999389629810485"/>
  </sheetPr>
  <dimension ref="B2:F43"/>
  <sheetViews>
    <sheetView showGridLines="0" showRowColHeaders="0" workbookViewId="0">
      <selection activeCell="O59" sqref="O59"/>
    </sheetView>
  </sheetViews>
  <sheetFormatPr defaultRowHeight="15" x14ac:dyDescent="0.25"/>
  <cols>
    <col min="1" max="2" width="5.7109375" customWidth="1"/>
    <col min="3" max="3" width="36.140625" customWidth="1"/>
    <col min="4" max="4" width="12.5703125" customWidth="1"/>
    <col min="5" max="5" width="9.28515625" customWidth="1"/>
    <col min="6" max="6" width="12" bestFit="1" customWidth="1"/>
  </cols>
  <sheetData>
    <row r="2" spans="2:6" ht="18.75" x14ac:dyDescent="0.3">
      <c r="B2" s="4" t="s">
        <v>311</v>
      </c>
      <c r="C2" s="4"/>
      <c r="E2" s="71" t="s">
        <v>251</v>
      </c>
    </row>
    <row r="3" spans="2:6" ht="15.75" x14ac:dyDescent="0.25">
      <c r="B3" s="10"/>
      <c r="C3" s="10" t="s">
        <v>306</v>
      </c>
      <c r="D3" s="139"/>
      <c r="E3" s="134"/>
    </row>
    <row r="4" spans="2:6" ht="15.75" x14ac:dyDescent="0.25">
      <c r="B4" s="10"/>
      <c r="C4" s="10" t="s">
        <v>511</v>
      </c>
      <c r="D4" s="139"/>
      <c r="E4" s="134"/>
    </row>
    <row r="5" spans="2:6" ht="15.75" x14ac:dyDescent="0.25">
      <c r="B5" s="10"/>
      <c r="C5" s="10"/>
      <c r="D5" s="139"/>
      <c r="E5" s="134"/>
    </row>
    <row r="6" spans="2:6" ht="18" x14ac:dyDescent="0.35">
      <c r="B6" s="10"/>
      <c r="C6" s="21" t="s">
        <v>471</v>
      </c>
      <c r="D6" s="306">
        <v>40</v>
      </c>
      <c r="E6" s="6" t="s">
        <v>0</v>
      </c>
    </row>
    <row r="7" spans="2:6" ht="15.75" x14ac:dyDescent="0.25">
      <c r="B7" s="10"/>
      <c r="C7" s="274" t="str">
        <f>IF(E7="hex","RCOUNT Setting (range:0x0003 to 0xFFFF)","RCOUNT Setting (range:3 to 65535)")</f>
        <v>RCOUNT Setting (range:0x0003 to 0xFFFF)</v>
      </c>
      <c r="D7" s="520">
        <v>3</v>
      </c>
      <c r="E7" s="521" t="s">
        <v>475</v>
      </c>
      <c r="F7" s="152" t="str">
        <f>IF(D8&lt;3,"Invalid RCOUNT Setting",IF(D8&gt;65535,"Invalid RCOUNT setting",""))</f>
        <v/>
      </c>
    </row>
    <row r="8" spans="2:6" hidden="1" x14ac:dyDescent="0.25">
      <c r="B8" s="10"/>
      <c r="C8" s="274" t="s">
        <v>491</v>
      </c>
      <c r="D8" s="522">
        <f>IF(E7="hex",HEX2DEC(D7),D7)</f>
        <v>3</v>
      </c>
      <c r="E8" s="6"/>
    </row>
    <row r="9" spans="2:6" x14ac:dyDescent="0.25">
      <c r="B9" s="10"/>
      <c r="C9" s="274" t="s">
        <v>288</v>
      </c>
      <c r="D9" s="303">
        <v>1</v>
      </c>
      <c r="E9" s="6" t="str">
        <f>IF(D38&gt;0,"sps","This Sample Rate is too high and cannot use Sleep Mode")</f>
        <v>sps</v>
      </c>
      <c r="F9" s="188"/>
    </row>
    <row r="10" spans="2:6" x14ac:dyDescent="0.25">
      <c r="B10" s="10"/>
      <c r="C10" s="274" t="s">
        <v>266</v>
      </c>
      <c r="D10" s="523">
        <v>16</v>
      </c>
      <c r="E10" s="6"/>
    </row>
    <row r="11" spans="2:6" x14ac:dyDescent="0.25">
      <c r="B11" s="10"/>
      <c r="C11" s="274" t="s">
        <v>2</v>
      </c>
      <c r="D11" s="128">
        <v>1.5</v>
      </c>
      <c r="E11" s="6" t="s">
        <v>0</v>
      </c>
    </row>
    <row r="12" spans="2:6" x14ac:dyDescent="0.25">
      <c r="B12" s="10"/>
      <c r="C12" s="274" t="s">
        <v>289</v>
      </c>
      <c r="D12" s="523">
        <v>20</v>
      </c>
      <c r="E12" s="6"/>
    </row>
    <row r="13" spans="2:6" x14ac:dyDescent="0.25">
      <c r="B13" s="10"/>
      <c r="C13" s="274" t="s">
        <v>286</v>
      </c>
      <c r="D13" s="523">
        <v>400</v>
      </c>
      <c r="E13" s="6" t="s">
        <v>287</v>
      </c>
    </row>
    <row r="14" spans="2:6" x14ac:dyDescent="0.25">
      <c r="B14" s="10"/>
      <c r="C14" s="274" t="s">
        <v>299</v>
      </c>
      <c r="D14" s="523">
        <v>10</v>
      </c>
      <c r="E14" s="72" t="s">
        <v>300</v>
      </c>
    </row>
    <row r="15" spans="2:6" ht="15.75" customHeight="1" x14ac:dyDescent="0.25">
      <c r="B15" s="10"/>
      <c r="C15" s="274" t="s">
        <v>296</v>
      </c>
      <c r="D15" s="524" t="s">
        <v>478</v>
      </c>
      <c r="E15" s="6"/>
    </row>
    <row r="16" spans="2:6" ht="7.5" customHeight="1" x14ac:dyDescent="0.25">
      <c r="B16" s="10"/>
      <c r="C16" s="140"/>
      <c r="D16" s="141"/>
    </row>
    <row r="17" spans="2:6" hidden="1" x14ac:dyDescent="0.25">
      <c r="B17" s="10"/>
      <c r="C17" s="140" t="s">
        <v>310</v>
      </c>
      <c r="D17" s="162">
        <f>((D6/D11)*D12)</f>
        <v>533.33333333333337</v>
      </c>
    </row>
    <row r="18" spans="2:6" x14ac:dyDescent="0.25">
      <c r="B18" s="10"/>
      <c r="C18" s="274" t="s">
        <v>339</v>
      </c>
      <c r="D18" s="275">
        <f>16*CEILING(D17/16,1)</f>
        <v>544</v>
      </c>
      <c r="E18" s="232"/>
      <c r="F18" s="77"/>
    </row>
    <row r="19" spans="2:6" x14ac:dyDescent="0.25">
      <c r="B19" s="10"/>
      <c r="C19" s="274" t="s">
        <v>421</v>
      </c>
      <c r="D19" s="276" t="str">
        <f>"0x"&amp;(DEC2HEX(D18/16))</f>
        <v>0x22</v>
      </c>
      <c r="E19" s="240" t="s">
        <v>420</v>
      </c>
      <c r="F19" s="77"/>
    </row>
    <row r="20" spans="2:6" hidden="1" x14ac:dyDescent="0.25">
      <c r="B20" s="10"/>
      <c r="C20" s="274" t="s">
        <v>307</v>
      </c>
      <c r="D20" s="277">
        <f>D18/D6</f>
        <v>13.6</v>
      </c>
      <c r="E20" s="69" t="s">
        <v>278</v>
      </c>
    </row>
    <row r="21" spans="2:6" hidden="1" x14ac:dyDescent="0.25">
      <c r="B21" s="135"/>
      <c r="C21" s="21" t="s">
        <v>290</v>
      </c>
      <c r="D21" s="278">
        <v>2</v>
      </c>
      <c r="E21" t="s">
        <v>285</v>
      </c>
    </row>
    <row r="22" spans="2:6" hidden="1" x14ac:dyDescent="0.25">
      <c r="B22" s="135"/>
      <c r="C22" s="21" t="s">
        <v>265</v>
      </c>
      <c r="D22" s="163">
        <f>4*D10+5</f>
        <v>69</v>
      </c>
    </row>
    <row r="23" spans="2:6" hidden="1" x14ac:dyDescent="0.25">
      <c r="B23" s="135"/>
      <c r="C23" s="21" t="s">
        <v>292</v>
      </c>
      <c r="D23" s="163">
        <f>4*8+5</f>
        <v>37</v>
      </c>
    </row>
    <row r="24" spans="2:6" hidden="1" x14ac:dyDescent="0.25">
      <c r="B24" s="135"/>
      <c r="C24" s="21" t="s">
        <v>291</v>
      </c>
      <c r="D24" s="164">
        <f>D22*D23/D13</f>
        <v>6.3825000000000003</v>
      </c>
      <c r="E24" t="s">
        <v>285</v>
      </c>
    </row>
    <row r="25" spans="2:6" ht="30" hidden="1" x14ac:dyDescent="0.25">
      <c r="B25" s="135"/>
      <c r="C25" s="299" t="s">
        <v>509</v>
      </c>
      <c r="D25" s="164">
        <f>IF(D15="LDC131x",((D23+D10*D23)/D13),((D23+D10*2*D23)/D13))</f>
        <v>3.0525000000000002</v>
      </c>
      <c r="E25" t="s">
        <v>285</v>
      </c>
    </row>
    <row r="26" spans="2:6" hidden="1" x14ac:dyDescent="0.25">
      <c r="B26" s="135"/>
      <c r="C26" s="21" t="s">
        <v>297</v>
      </c>
      <c r="D26" s="164">
        <f>D24+D21</f>
        <v>8.3825000000000003</v>
      </c>
      <c r="E26" t="s">
        <v>285</v>
      </c>
    </row>
    <row r="27" spans="2:6" hidden="1" x14ac:dyDescent="0.25">
      <c r="B27" s="135"/>
      <c r="C27" s="21" t="s">
        <v>293</v>
      </c>
      <c r="D27" s="164">
        <f>16384000/(40000000/2)</f>
        <v>0.81920000000000004</v>
      </c>
      <c r="E27" t="s">
        <v>285</v>
      </c>
    </row>
    <row r="28" spans="2:6" hidden="1" x14ac:dyDescent="0.25">
      <c r="B28" s="64"/>
      <c r="C28" s="21" t="s">
        <v>294</v>
      </c>
      <c r="D28" s="156">
        <f>0.000625+0.005/D6</f>
        <v>7.5000000000000002E-4</v>
      </c>
      <c r="E28" t="s">
        <v>285</v>
      </c>
    </row>
    <row r="29" spans="2:6" x14ac:dyDescent="0.25">
      <c r="B29" s="38"/>
      <c r="C29" s="21" t="s">
        <v>298</v>
      </c>
      <c r="D29" s="279">
        <f>0.001*(D18+D8*16)/D6</f>
        <v>1.4799999999999999E-2</v>
      </c>
      <c r="E29" t="s">
        <v>285</v>
      </c>
    </row>
    <row r="30" spans="2:6" hidden="1" x14ac:dyDescent="0.25">
      <c r="B30" s="38"/>
      <c r="C30" t="s">
        <v>309</v>
      </c>
      <c r="D30" s="164">
        <f>D10*D29+(D10-1)*D28+D27+D25</f>
        <v>4.1197499999999998</v>
      </c>
      <c r="E30" t="s">
        <v>285</v>
      </c>
    </row>
    <row r="31" spans="2:6" hidden="1" x14ac:dyDescent="0.25">
      <c r="B31" s="38"/>
      <c r="C31" t="s">
        <v>295</v>
      </c>
      <c r="D31" s="161">
        <f>D30*D9</f>
        <v>4.1197499999999998</v>
      </c>
      <c r="E31" t="s">
        <v>285</v>
      </c>
    </row>
    <row r="32" spans="2:6" hidden="1" x14ac:dyDescent="0.25">
      <c r="B32" s="38"/>
      <c r="C32" t="s">
        <v>308</v>
      </c>
      <c r="D32" s="161">
        <f>(D26)*D9</f>
        <v>8.3825000000000003</v>
      </c>
      <c r="E32" t="s">
        <v>285</v>
      </c>
    </row>
    <row r="33" spans="2:6" hidden="1" x14ac:dyDescent="0.25">
      <c r="B33" s="38"/>
      <c r="C33" t="s">
        <v>302</v>
      </c>
      <c r="D33" s="164">
        <f>SQRT(2)*0.5*1.5/D14</f>
        <v>0.10606601717798214</v>
      </c>
      <c r="E33" t="s">
        <v>301</v>
      </c>
    </row>
    <row r="34" spans="2:6" hidden="1" x14ac:dyDescent="0.25">
      <c r="B34" s="38"/>
      <c r="C34" t="s">
        <v>512</v>
      </c>
      <c r="D34" s="165">
        <f>2.02+D6*0.0365</f>
        <v>3.48</v>
      </c>
      <c r="E34" t="s">
        <v>301</v>
      </c>
    </row>
    <row r="35" spans="2:6" hidden="1" x14ac:dyDescent="0.25">
      <c r="B35" s="38"/>
      <c r="C35" t="s">
        <v>513</v>
      </c>
      <c r="D35" s="165">
        <f>D34+D33</f>
        <v>3.5860660171779823</v>
      </c>
      <c r="E35" t="s">
        <v>301</v>
      </c>
    </row>
    <row r="36" spans="2:6" hidden="1" x14ac:dyDescent="0.25">
      <c r="B36" s="38"/>
      <c r="C36" t="s">
        <v>304</v>
      </c>
      <c r="D36" s="156">
        <v>3.5000000000000003E-2</v>
      </c>
      <c r="E36" t="s">
        <v>301</v>
      </c>
    </row>
    <row r="37" spans="2:6" hidden="1" x14ac:dyDescent="0.25">
      <c r="C37" t="s">
        <v>303</v>
      </c>
      <c r="D37" s="156">
        <v>2.0000000000000001E-4</v>
      </c>
      <c r="E37" t="s">
        <v>301</v>
      </c>
    </row>
    <row r="38" spans="2:6" hidden="1" x14ac:dyDescent="0.25">
      <c r="C38" t="s">
        <v>305</v>
      </c>
      <c r="D38" s="164">
        <f>1000-D31-D32</f>
        <v>987.49775</v>
      </c>
      <c r="E38" t="s">
        <v>285</v>
      </c>
    </row>
    <row r="39" spans="2:6" hidden="1" x14ac:dyDescent="0.25">
      <c r="C39" s="140" t="s">
        <v>267</v>
      </c>
      <c r="D39" s="166">
        <f>D37*D38/1000</f>
        <v>1.9749954999999999E-4</v>
      </c>
    </row>
    <row r="40" spans="2:6" hidden="1" x14ac:dyDescent="0.25">
      <c r="C40" s="140" t="s">
        <v>268</v>
      </c>
      <c r="D40" s="166">
        <f>D36*D32/1000</f>
        <v>2.9338750000000005E-4</v>
      </c>
    </row>
    <row r="41" spans="2:6" hidden="1" x14ac:dyDescent="0.25">
      <c r="C41" s="140" t="s">
        <v>269</v>
      </c>
      <c r="D41" s="166">
        <f>D35*D31/1000</f>
        <v>1.4773695474268992E-2</v>
      </c>
    </row>
    <row r="42" spans="2:6" ht="31.5" customHeight="1" x14ac:dyDescent="0.25">
      <c r="C42" s="238" t="s">
        <v>422</v>
      </c>
      <c r="D42" s="142">
        <f>1000*SUM(D39:D41)</f>
        <v>15.264582524268992</v>
      </c>
      <c r="E42" s="6" t="s">
        <v>312</v>
      </c>
      <c r="F42" s="188"/>
    </row>
    <row r="43" spans="2:6" ht="30.75" customHeight="1" x14ac:dyDescent="0.25">
      <c r="C43" s="239" t="s">
        <v>337</v>
      </c>
      <c r="D43" s="241">
        <f>1000*(D36*D38/1000+D40+D41)</f>
        <v>49.629504224268999</v>
      </c>
      <c r="E43" s="6" t="s">
        <v>312</v>
      </c>
    </row>
  </sheetData>
  <sheetProtection sheet="1" objects="1" scenarios="1"/>
  <conditionalFormatting sqref="E9">
    <cfRule type="expression" dxfId="16" priority="1">
      <formula>$D$38&lt;0</formula>
    </cfRule>
  </conditionalFormatting>
  <dataValidations count="12">
    <dataValidation type="decimal" allowBlank="1" showInputMessage="1" showErrorMessage="1" sqref="D8">
      <formula1>48</formula1>
      <formula2>1048560</formula2>
    </dataValidation>
    <dataValidation type="decimal" errorStyle="warning" allowBlank="1" showInputMessage="1" showErrorMessage="1" errorTitle="Invalid I2C datarate" error="The LDC can support a datarate of up to 400kbit/s." sqref="D13">
      <formula1>1</formula1>
      <formula2>400</formula2>
    </dataValidation>
    <dataValidation type="decimal" errorStyle="information" allowBlank="1" showInputMessage="1" showErrorMessage="1" errorTitle="Q value" error="The Q value entered may not be realizable in a system." sqref="D12">
      <formula1>0.1</formula1>
      <formula2>10000</formula2>
    </dataValidation>
    <dataValidation type="decimal" errorStyle="warning" allowBlank="1" showInputMessage="1" showErrorMessage="1" errorTitle="Invalid Sensor Frequency" error="The LDC is limited to sensor frequencies of 10kHz to 10MHz." sqref="D11">
      <formula1>0.01</formula1>
      <formula2>10</formula2>
    </dataValidation>
    <dataValidation type="decimal" errorStyle="information" allowBlank="1" showInputMessage="1" showErrorMessage="1" errorTitle="Sample Rate out of bounds" error="The sample rate is either extremely low - use the shutdown mode, or the sample rate needed cannot use the low power modes." sqref="D9">
      <formula1>0.1</formula1>
      <formula2>800</formula2>
    </dataValidation>
    <dataValidation type="list" errorStyle="warning" allowBlank="1" showInputMessage="1" showErrorMessage="1" errorTitle="Incorrect number of channels" error="The LDC does not have this number of channels." sqref="D10">
      <formula1>"1,2,3,4"</formula1>
    </dataValidation>
    <dataValidation errorStyle="warning" allowBlank="1" showInputMessage="1" showErrorMessage="1" errorTitle="Invalid I2C datarate" error="The LDC can support a datarate of up to 400kbit/s." sqref="D16:D20"/>
    <dataValidation type="list" errorStyle="warning" allowBlank="1" showInputMessage="1" showErrorMessage="1" errorTitle="Invalid I2C datarate" error="The LDC can support a datarate of up to 400kbit/s." sqref="D15">
      <formula1>"LDC131x,LDC161x"</formula1>
    </dataValidation>
    <dataValidation type="whole" errorStyle="warning" allowBlank="1" showInputMessage="1" showErrorMessage="1" errorTitle="Invalid Reference Frequency" error="The Reference frequency must be greater than the sensor frequency and not greater than 40MHz." sqref="D6">
      <formula1>D11</formula1>
      <formula2>40</formula2>
    </dataValidation>
    <dataValidation allowBlank="1" showInputMessage="1" showErrorMessage="1" errorTitle="Invalid RCount" error="Rcount is restricted to the range of 3 to 65535 (0x0003 to 0xFFFF)." sqref="D7"/>
    <dataValidation type="list" allowBlank="1" showInputMessage="1" showErrorMessage="1" sqref="E7">
      <formula1>"hex,decimal"</formula1>
    </dataValidation>
    <dataValidation type="decimal" errorStyle="warning" allowBlank="1" showInputMessage="1" showErrorMessage="1" errorTitle="Improper Rp" error="The Rp is not valid." sqref="D14">
      <formula1>0.25</formula1>
      <formula2>4000</formula2>
    </dataValidation>
  </dataValidations>
  <hyperlinks>
    <hyperlink ref="E2" location="Contents!A1" display="Return to Main Page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Contents</vt:lpstr>
      <vt:lpstr>Spiral_Inductor_Designer</vt:lpstr>
      <vt:lpstr>LDC1101_RP_Config</vt:lpstr>
      <vt:lpstr>Output Code Calculator</vt:lpstr>
      <vt:lpstr>SkinDepth</vt:lpstr>
      <vt:lpstr>LDC0851_calc</vt:lpstr>
      <vt:lpstr>LDC13-16_SensorSetup</vt:lpstr>
      <vt:lpstr>SampleRateCalc</vt:lpstr>
      <vt:lpstr>LDC131x_Current</vt:lpstr>
      <vt:lpstr>Spring Sensor</vt:lpstr>
      <vt:lpstr>Remote Coil Length</vt:lpstr>
      <vt:lpstr>LDC Operating Region</vt:lpstr>
      <vt:lpstr>Racetrack_Inductor_Designer</vt:lpstr>
      <vt:lpstr>LDC1101_RP_Config!Mega</vt:lpstr>
      <vt:lpstr>LDC1101_RP_Config!micro</vt:lpstr>
      <vt:lpstr>Racetrack_Inductor_Designer!N</vt:lpstr>
      <vt:lpstr>N</vt:lpstr>
      <vt:lpstr>LDC1101_RP_Config!pico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Oberhauser</dc:creator>
  <cp:lastModifiedBy>AlexandrY</cp:lastModifiedBy>
  <dcterms:created xsi:type="dcterms:W3CDTF">2014-10-17T20:34:02Z</dcterms:created>
  <dcterms:modified xsi:type="dcterms:W3CDTF">2017-03-02T15:56:40Z</dcterms:modified>
</cp:coreProperties>
</file>