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air/Desktop/Year 2025/Final-Year Exam/SM3 Only/"/>
    </mc:Choice>
  </mc:AlternateContent>
  <xr:revisionPtr revIDLastSave="0" documentId="13_ncr:1_{09BDF691-095F-464B-95D9-A12044403B2D}" xr6:coauthVersionLast="47" xr6:coauthVersionMax="47" xr10:uidLastSave="{00000000-0000-0000-0000-000000000000}"/>
  <bookViews>
    <workbookView xWindow="13120" yWindow="500" windowWidth="15680" windowHeight="15680" xr2:uid="{F5AC2639-2024-DD4E-91DC-1D83546B8EF7}"/>
  </bookViews>
  <sheets>
    <sheet name="Sheet1" sheetId="1" r:id="rId1"/>
  </sheets>
  <definedNames>
    <definedName name="_xlnm.Print_Area" localSheetId="0">Sheet1!$O$2:$X$62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1" l="1"/>
  <c r="W62" i="1"/>
  <c r="W61" i="1"/>
  <c r="W50" i="1"/>
  <c r="W49" i="1"/>
  <c r="V49" i="1"/>
  <c r="V58" i="1"/>
  <c r="W55" i="1"/>
  <c r="W54" i="1"/>
  <c r="W53" i="1"/>
  <c r="W52" i="1"/>
  <c r="W43" i="1"/>
  <c r="V47" i="1"/>
  <c r="U47" i="1"/>
  <c r="U46" i="1"/>
  <c r="V45" i="1"/>
  <c r="W41" i="1"/>
  <c r="W40" i="1"/>
  <c r="X32" i="1"/>
  <c r="S31" i="1" s="1"/>
  <c r="S32" i="1" s="1"/>
  <c r="AC37" i="1"/>
  <c r="AC36" i="1"/>
  <c r="BD54" i="1"/>
  <c r="BA52" i="1"/>
  <c r="BA55" i="1" s="1"/>
  <c r="BD44" i="1"/>
  <c r="BD33" i="1"/>
  <c r="BA32" i="1"/>
  <c r="BA31" i="1"/>
  <c r="BD10" i="1"/>
  <c r="BD9" i="1"/>
  <c r="BA21" i="1" s="1"/>
  <c r="BA14" i="1"/>
  <c r="BD11" i="1" s="1"/>
  <c r="BD7" i="1"/>
  <c r="AW39" i="1"/>
  <c r="AT48" i="1"/>
  <c r="AT46" i="1"/>
  <c r="AT44" i="1"/>
  <c r="AT41" i="1"/>
  <c r="AT39" i="1"/>
  <c r="AT38" i="1"/>
  <c r="AT30" i="1"/>
  <c r="AT43" i="1" s="1"/>
  <c r="AW10" i="1"/>
  <c r="AW40" i="1" s="1"/>
  <c r="AW25" i="1"/>
  <c r="AW33" i="1" s="1"/>
  <c r="AW11" i="1"/>
  <c r="AW41" i="1" s="1"/>
  <c r="AT27" i="1"/>
  <c r="AT47" i="1" s="1"/>
  <c r="AT10" i="1"/>
  <c r="AT40" i="1" s="1"/>
  <c r="AW8" i="1"/>
  <c r="AW38" i="1" s="1"/>
  <c r="AT24" i="1"/>
  <c r="AL46" i="1"/>
  <c r="AM46" i="1" s="1"/>
  <c r="AM35" i="1"/>
  <c r="AM31" i="1"/>
  <c r="AK31" i="1"/>
  <c r="AM26" i="1"/>
  <c r="AK26" i="1"/>
  <c r="AM30" i="1"/>
  <c r="AK30" i="1"/>
  <c r="AM29" i="1"/>
  <c r="AK29" i="1"/>
  <c r="AM27" i="1"/>
  <c r="AK27" i="1"/>
  <c r="AO28" i="1"/>
  <c r="AM28" i="1" s="1"/>
  <c r="AO35" i="1"/>
  <c r="AK35" i="1" s="1"/>
  <c r="AO34" i="1"/>
  <c r="AK34" i="1" s="1"/>
  <c r="AO33" i="1"/>
  <c r="AM33" i="1" s="1"/>
  <c r="AP22" i="1"/>
  <c r="AL22" i="1" s="1"/>
  <c r="AO15" i="1"/>
  <c r="AO13" i="1"/>
  <c r="AO12" i="1"/>
  <c r="AP10" i="1"/>
  <c r="AM25" i="1" s="1"/>
  <c r="AN19" i="1"/>
  <c r="AN20" i="1"/>
  <c r="AL19" i="1"/>
  <c r="AP19" i="1" s="1"/>
  <c r="AL20" i="1"/>
  <c r="AM17" i="1"/>
  <c r="AK17" i="1"/>
  <c r="AO17" i="1" s="1"/>
  <c r="AM14" i="1"/>
  <c r="AM16" i="1" s="1"/>
  <c r="AM18" i="1" s="1"/>
  <c r="AK14" i="1"/>
  <c r="AK16" i="1" s="1"/>
  <c r="AE53" i="1"/>
  <c r="AD53" i="1"/>
  <c r="AF52" i="1"/>
  <c r="AG52" i="1" s="1"/>
  <c r="AF51" i="1"/>
  <c r="AG51" i="1" s="1"/>
  <c r="AF50" i="1"/>
  <c r="AG50" i="1" s="1"/>
  <c r="AC48" i="1"/>
  <c r="AC53" i="1" s="1"/>
  <c r="AB48" i="1"/>
  <c r="AB53" i="1" s="1"/>
  <c r="AG47" i="1"/>
  <c r="AC38" i="1"/>
  <c r="AC33" i="1"/>
  <c r="AC31" i="1"/>
  <c r="AC27" i="1"/>
  <c r="AD38" i="1" s="1"/>
  <c r="AC22" i="1"/>
  <c r="AD23" i="1" s="1"/>
  <c r="AC18" i="1"/>
  <c r="AB14" i="1"/>
  <c r="AB15" i="1" s="1"/>
  <c r="AC16" i="1" s="1"/>
  <c r="AC17" i="1" s="1"/>
  <c r="AD18" i="1" s="1"/>
  <c r="AD9" i="1"/>
  <c r="AD10" i="1" s="1"/>
  <c r="S12" i="1"/>
  <c r="S19" i="1"/>
  <c r="V16" i="1"/>
  <c r="S17" i="1"/>
  <c r="S16" i="1"/>
  <c r="S10" i="1"/>
  <c r="W28" i="1" s="1"/>
  <c r="W32" i="1" s="1"/>
  <c r="S9" i="1"/>
  <c r="V28" i="1" s="1"/>
  <c r="V32" i="1" s="1"/>
  <c r="S8" i="1"/>
  <c r="U28" i="1" s="1"/>
  <c r="U32" i="1" s="1"/>
  <c r="K31" i="1"/>
  <c r="L21" i="1"/>
  <c r="K21" i="1"/>
  <c r="J21" i="1"/>
  <c r="I21" i="1"/>
  <c r="H21" i="1"/>
  <c r="G21" i="1"/>
  <c r="B16" i="1"/>
  <c r="K32" i="1" s="1"/>
  <c r="B8" i="1"/>
  <c r="BA40" i="1" l="1"/>
  <c r="AM19" i="1"/>
  <c r="AL44" i="1" s="1"/>
  <c r="AD19" i="1"/>
  <c r="AD24" i="1" s="1"/>
  <c r="AD39" i="1" s="1"/>
  <c r="AF49" i="1" s="1"/>
  <c r="AF53" i="1" s="1"/>
  <c r="AP20" i="1"/>
  <c r="AP23" i="1" s="1"/>
  <c r="AM34" i="1"/>
  <c r="AN35" i="1" s="1"/>
  <c r="AL23" i="1"/>
  <c r="BA20" i="1"/>
  <c r="BD60" i="1" s="1"/>
  <c r="AG48" i="1"/>
  <c r="BD61" i="1"/>
  <c r="BD37" i="1"/>
  <c r="BA26" i="1"/>
  <c r="BD24" i="1"/>
  <c r="AK28" i="1"/>
  <c r="AT14" i="1"/>
  <c r="AT45" i="1"/>
  <c r="AW42" i="1"/>
  <c r="AW52" i="1" s="1"/>
  <c r="AO14" i="1"/>
  <c r="AP35" i="1"/>
  <c r="AK33" i="1"/>
  <c r="AN22" i="1"/>
  <c r="AN23" i="1" s="1"/>
  <c r="AK18" i="1"/>
  <c r="AO16" i="1"/>
  <c r="AK25" i="1"/>
  <c r="S21" i="1"/>
  <c r="V20" i="1" s="1"/>
  <c r="R27" i="1" s="1"/>
  <c r="B23" i="1"/>
  <c r="G22" i="1" s="1"/>
  <c r="G23" i="1" s="1"/>
  <c r="B24" i="1"/>
  <c r="B25" i="1" s="1"/>
  <c r="K34" i="1" s="1"/>
  <c r="AP36" i="1" l="1"/>
  <c r="AG49" i="1"/>
  <c r="BA23" i="1"/>
  <c r="BD36" i="1"/>
  <c r="BD39" i="1" s="1"/>
  <c r="BD40" i="1" s="1"/>
  <c r="BA24" i="1"/>
  <c r="AG53" i="1"/>
  <c r="AL35" i="1"/>
  <c r="AL36" i="1" s="1"/>
  <c r="BA59" i="1"/>
  <c r="AO18" i="1"/>
  <c r="AK19" i="1"/>
  <c r="AN36" i="1"/>
  <c r="V18" i="1"/>
  <c r="V19" i="1"/>
  <c r="Q27" i="1" s="1"/>
  <c r="Q30" i="1" s="1"/>
  <c r="AT42" i="1"/>
  <c r="R31" i="1"/>
  <c r="W33" i="1" s="1"/>
  <c r="V21" i="1" l="1"/>
  <c r="AT50" i="1"/>
  <c r="AT51" i="1"/>
  <c r="AT31" i="1" s="1"/>
  <c r="P27" i="1"/>
  <c r="P31" i="1" s="1"/>
  <c r="U33" i="1" s="1"/>
  <c r="AL43" i="1"/>
  <c r="AM44" i="1" s="1"/>
  <c r="AN48" i="1" s="1"/>
  <c r="AO19" i="1"/>
  <c r="Q32" i="1"/>
  <c r="R32" i="1"/>
  <c r="AT32" i="1" l="1"/>
  <c r="AT33" i="1" s="1"/>
  <c r="AT15" i="1"/>
  <c r="AT17" i="1" s="1"/>
  <c r="AW12" i="1" s="1"/>
  <c r="AW17" i="1" s="1"/>
  <c r="AT52" i="1"/>
  <c r="P32" i="1"/>
</calcChain>
</file>

<file path=xl/sharedStrings.xml><?xml version="1.0" encoding="utf-8"?>
<sst xmlns="http://schemas.openxmlformats.org/spreadsheetml/2006/main" count="462" uniqueCount="268">
  <si>
    <t>Question 1</t>
  </si>
  <si>
    <t>Receipts</t>
  </si>
  <si>
    <t>Date</t>
  </si>
  <si>
    <t>Folio</t>
  </si>
  <si>
    <t>Particulars</t>
  </si>
  <si>
    <t>V. No.</t>
  </si>
  <si>
    <t>Payments</t>
  </si>
  <si>
    <t>Stationery</t>
  </si>
  <si>
    <t>Refreshment</t>
  </si>
  <si>
    <t>Office Expenses</t>
  </si>
  <si>
    <t>Motor Expenses</t>
  </si>
  <si>
    <t>Ledger Acc.</t>
  </si>
  <si>
    <t>Ledger Folio</t>
  </si>
  <si>
    <t>RM</t>
  </si>
  <si>
    <t>2025</t>
  </si>
  <si>
    <t>Sep 1</t>
  </si>
  <si>
    <t>Balance b/d</t>
  </si>
  <si>
    <t>Bank</t>
  </si>
  <si>
    <t>Motor Car Repairs</t>
  </si>
  <si>
    <t>Petrol for Motor Car</t>
  </si>
  <si>
    <t>Laundry Expenses for office curtains</t>
  </si>
  <si>
    <t>3-in-1 white coffee</t>
  </si>
  <si>
    <t>Tissue paper</t>
  </si>
  <si>
    <t>Office cleaning expenses</t>
  </si>
  <si>
    <t>Entertainment expenses</t>
  </si>
  <si>
    <t>Donation</t>
  </si>
  <si>
    <t>Balance c/d</t>
  </si>
  <si>
    <t>CB1</t>
  </si>
  <si>
    <t>GL1</t>
  </si>
  <si>
    <t>GL2</t>
  </si>
  <si>
    <t>GL3</t>
  </si>
  <si>
    <t>GL4</t>
  </si>
  <si>
    <t>GL5</t>
  </si>
  <si>
    <t>Petty Cash</t>
  </si>
  <si>
    <t xml:space="preserve">           19</t>
  </si>
  <si>
    <t xml:space="preserve">           20</t>
  </si>
  <si>
    <t>Office Equipment/ Printer</t>
  </si>
  <si>
    <t>Oct 1</t>
  </si>
  <si>
    <t>Section A</t>
  </si>
  <si>
    <t>Debit</t>
  </si>
  <si>
    <t>Credit</t>
  </si>
  <si>
    <t>Sep 30</t>
  </si>
  <si>
    <t>Profit and Loss - Advertising Expenses</t>
  </si>
  <si>
    <t xml:space="preserve">            Drawings</t>
  </si>
  <si>
    <t xml:space="preserve">        30</t>
  </si>
  <si>
    <t xml:space="preserve">            Suspense</t>
  </si>
  <si>
    <t>General Journal (4%)</t>
  </si>
  <si>
    <t>Cash Book (2%)</t>
  </si>
  <si>
    <t>Envelops</t>
  </si>
  <si>
    <t>Petty Cash Book (14%)</t>
  </si>
  <si>
    <t>Question 2</t>
  </si>
  <si>
    <t>Capital - KA</t>
  </si>
  <si>
    <t>Capital - WA</t>
  </si>
  <si>
    <t>Capital - YI</t>
  </si>
  <si>
    <t>Motor Vehicles</t>
  </si>
  <si>
    <t>Furniture</t>
  </si>
  <si>
    <t>Allowances</t>
  </si>
  <si>
    <t>Inventory</t>
  </si>
  <si>
    <t xml:space="preserve">Capital - Loss on Revaluation </t>
  </si>
  <si>
    <t>- KA</t>
  </si>
  <si>
    <t>- WA</t>
  </si>
  <si>
    <t>- YI</t>
  </si>
  <si>
    <t>KA</t>
  </si>
  <si>
    <t>WA</t>
  </si>
  <si>
    <t>YI</t>
  </si>
  <si>
    <t>Current</t>
  </si>
  <si>
    <t>Goodwill</t>
  </si>
  <si>
    <t>Revaluation - Loss</t>
  </si>
  <si>
    <t>Office Equipment</t>
  </si>
  <si>
    <t>Loan from WA</t>
  </si>
  <si>
    <t>Jan 1</t>
  </si>
  <si>
    <t>Cash in Hand</t>
  </si>
  <si>
    <t>(ii) Revaluation (4%)</t>
  </si>
  <si>
    <t>(i) Goodwill (2.5%)</t>
  </si>
  <si>
    <t>Question 3</t>
  </si>
  <si>
    <t>Men Group</t>
  </si>
  <si>
    <t>For The Year Ended 31 December 2025</t>
  </si>
  <si>
    <t>Sales</t>
  </si>
  <si>
    <t xml:space="preserve">Less: </t>
  </si>
  <si>
    <t>Sales Returns</t>
  </si>
  <si>
    <t>Net Sales</t>
  </si>
  <si>
    <t>Cost of Sales</t>
  </si>
  <si>
    <t>Opening Inventory</t>
  </si>
  <si>
    <t>Purchases</t>
  </si>
  <si>
    <t>Less: Purchases Returns</t>
  </si>
  <si>
    <t>Wages for Packing Goods</t>
  </si>
  <si>
    <t>Less: Closing Inventory</t>
  </si>
  <si>
    <t>Gross Profit</t>
  </si>
  <si>
    <t>Add:</t>
  </si>
  <si>
    <t>Other Income</t>
  </si>
  <si>
    <t>Rental Income</t>
  </si>
  <si>
    <t>Decreased In Allowances</t>
  </si>
  <si>
    <t>Bad Debts Recovered</t>
  </si>
  <si>
    <t>Less:</t>
  </si>
  <si>
    <t>Expenses</t>
  </si>
  <si>
    <t>Transportation Expenses</t>
  </si>
  <si>
    <t>Rental Expenses</t>
  </si>
  <si>
    <t>Wages and Salaries</t>
  </si>
  <si>
    <t>Maintenance Expenses</t>
  </si>
  <si>
    <t>General Expenses</t>
  </si>
  <si>
    <t>Loan Notes Interest</t>
  </si>
  <si>
    <t>Directors' Remuneration</t>
  </si>
  <si>
    <t>Selling and Distribution Expenses</t>
  </si>
  <si>
    <t>Bad Debts</t>
  </si>
  <si>
    <t>Depreciation</t>
  </si>
  <si>
    <t>- Motor Vehicles</t>
  </si>
  <si>
    <t>- Office Equipment</t>
  </si>
  <si>
    <t>- Property</t>
  </si>
  <si>
    <t>Net Profit</t>
  </si>
  <si>
    <t>Share Capital</t>
  </si>
  <si>
    <t>Share Premium</t>
  </si>
  <si>
    <t>General Reserves</t>
  </si>
  <si>
    <t>Revenue Reserve</t>
  </si>
  <si>
    <t>Retained Profit</t>
  </si>
  <si>
    <t>Total</t>
  </si>
  <si>
    <t>Balance at 1 January 2025</t>
  </si>
  <si>
    <t>Issued of Shares</t>
  </si>
  <si>
    <t>Transfer to General Reserves</t>
  </si>
  <si>
    <t>Transfer to Revenue Reserves</t>
  </si>
  <si>
    <t>Dividend Paid</t>
  </si>
  <si>
    <t>Profit for the year</t>
  </si>
  <si>
    <t>Balance at 31 December 2025</t>
  </si>
  <si>
    <t xml:space="preserve">(c) </t>
  </si>
  <si>
    <t>8% Preferred Shares = 1,500,000/ RM 1.50                              = 1,000,000 Shares</t>
  </si>
  <si>
    <t>(b) Statement of Changes In Equity (5.5%)</t>
  </si>
  <si>
    <t>Section B</t>
  </si>
  <si>
    <t>Question 4</t>
  </si>
  <si>
    <t>(A)</t>
  </si>
  <si>
    <t>(B)</t>
  </si>
  <si>
    <t>Jessie</t>
  </si>
  <si>
    <t>For The Year Ended 31 December 2024</t>
  </si>
  <si>
    <t>Japanese Snack Department</t>
  </si>
  <si>
    <t>Korea Snack Department</t>
  </si>
  <si>
    <t>Freight Inwards</t>
  </si>
  <si>
    <t>Inter-Transfer Goods</t>
  </si>
  <si>
    <t>Commission Income</t>
  </si>
  <si>
    <t>Discount Allowed</t>
  </si>
  <si>
    <t>Insurance Expenses</t>
  </si>
  <si>
    <t>Heat and Lighting</t>
  </si>
  <si>
    <t>Advertising Expenses</t>
  </si>
  <si>
    <t>- Equipment</t>
  </si>
  <si>
    <t>- Motor Car</t>
  </si>
  <si>
    <t xml:space="preserve">Increased In Allowances </t>
  </si>
  <si>
    <t>As At 31 December 2024</t>
  </si>
  <si>
    <t xml:space="preserve">Inventory - Japanese Snack </t>
  </si>
  <si>
    <t xml:space="preserve">Inventory - Korea Snack </t>
  </si>
  <si>
    <t>Account Receivable</t>
  </si>
  <si>
    <t>Prepaid Rental</t>
  </si>
  <si>
    <t>Accrued Commission Income</t>
  </si>
  <si>
    <t>(b) Statement of Financial Position (Extract) (2%)</t>
  </si>
  <si>
    <t>(a) Income Statement (18%)</t>
  </si>
  <si>
    <t>Question 5</t>
  </si>
  <si>
    <t>Joint Venture with Sem</t>
  </si>
  <si>
    <t>Joint Venture with Goh</t>
  </si>
  <si>
    <t>Bank - Rental</t>
  </si>
  <si>
    <t>Sep 2</t>
  </si>
  <si>
    <t>Bank - Purchases</t>
  </si>
  <si>
    <t xml:space="preserve">         3</t>
  </si>
  <si>
    <t xml:space="preserve">         4</t>
  </si>
  <si>
    <t>- Packing Expenses</t>
  </si>
  <si>
    <t>- Delivery Fees</t>
  </si>
  <si>
    <t>Sep 5</t>
  </si>
  <si>
    <t>Bank - Sales</t>
  </si>
  <si>
    <t>Sep 7</t>
  </si>
  <si>
    <t xml:space="preserve">         9</t>
  </si>
  <si>
    <t xml:space="preserve">         15</t>
  </si>
  <si>
    <t>- Discount Allowed</t>
  </si>
  <si>
    <t>- Bad Debts</t>
  </si>
  <si>
    <t xml:space="preserve">         16</t>
  </si>
  <si>
    <t xml:space="preserve">         19</t>
  </si>
  <si>
    <t>Bank - to Sem</t>
  </si>
  <si>
    <t>Bank - from Goh</t>
  </si>
  <si>
    <t xml:space="preserve">         20</t>
  </si>
  <si>
    <t>Bank - Selling Expenses</t>
  </si>
  <si>
    <t>Bank - Distribution Expenses</t>
  </si>
  <si>
    <t xml:space="preserve">         30</t>
  </si>
  <si>
    <t>Purchases - Inventory TO</t>
  </si>
  <si>
    <t>Drawings - Inventory TO</t>
  </si>
  <si>
    <t xml:space="preserve">         25</t>
  </si>
  <si>
    <t>Furniture - Taken Over</t>
  </si>
  <si>
    <t>Profit and Loss</t>
  </si>
  <si>
    <t>- Sales Commission</t>
  </si>
  <si>
    <t>- Profit on Joint Venture</t>
  </si>
  <si>
    <t>Goh and Sem</t>
  </si>
  <si>
    <t>Rental - Goh</t>
  </si>
  <si>
    <t>Furniture - Goh</t>
  </si>
  <si>
    <t xml:space="preserve">Discount Allowed - Goh </t>
  </si>
  <si>
    <t xml:space="preserve">Selling Expenses - Goh </t>
  </si>
  <si>
    <t>Sales Commission - Goh</t>
  </si>
  <si>
    <t>Sales Commission - Sem</t>
  </si>
  <si>
    <t>Purchases - Sem</t>
  </si>
  <si>
    <t>Delivery Fees - Sem</t>
  </si>
  <si>
    <t>Packing Expenses - Sem</t>
  </si>
  <si>
    <t>Bad Debts - Sem</t>
  </si>
  <si>
    <t>Distribution Expense = Sem</t>
  </si>
  <si>
    <t>Sales - Goh</t>
  </si>
  <si>
    <t>Sales - Sem</t>
  </si>
  <si>
    <t>Inventory Taken Over - Goh</t>
  </si>
  <si>
    <t>Inventory Taken Over - Sem</t>
  </si>
  <si>
    <t>Profit on Joint Venture</t>
  </si>
  <si>
    <t>- Sem</t>
  </si>
  <si>
    <t>- Goh</t>
  </si>
  <si>
    <t>Bank - from Sem</t>
  </si>
  <si>
    <t>Bank - to Goh</t>
  </si>
  <si>
    <t>(a) In the books of Goh: (6%)</t>
  </si>
  <si>
    <t>(b) In the books of Sem: (5.5%)</t>
  </si>
  <si>
    <t>Memorandum Joint Venture (8.5%)</t>
  </si>
  <si>
    <t>Question 6</t>
  </si>
  <si>
    <t>(a) In the ledger of consignor:</t>
  </si>
  <si>
    <t>Mar 1</t>
  </si>
  <si>
    <t>Goods Sent on Consignment</t>
  </si>
  <si>
    <t xml:space="preserve">         1</t>
  </si>
  <si>
    <t>- Freight and Insurance</t>
  </si>
  <si>
    <t>- Custom Duties</t>
  </si>
  <si>
    <t>Mar 15</t>
  </si>
  <si>
    <t>Bank - Insurance Claim</t>
  </si>
  <si>
    <t xml:space="preserve">         12</t>
  </si>
  <si>
    <t>Consignee</t>
  </si>
  <si>
    <t>- Handing and Warehouse Charges</t>
  </si>
  <si>
    <t>- Carriage Outwards</t>
  </si>
  <si>
    <t>- Import Duty</t>
  </si>
  <si>
    <t>- Selling Expenses</t>
  </si>
  <si>
    <t>Jun 20</t>
  </si>
  <si>
    <t>- Credit Sales</t>
  </si>
  <si>
    <t>- Cash Sales</t>
  </si>
  <si>
    <t>Jul 4</t>
  </si>
  <si>
    <t>Bill Receivable</t>
  </si>
  <si>
    <t>- Discounting Charges</t>
  </si>
  <si>
    <t>Dec 31</t>
  </si>
  <si>
    <t>- Del Credere Commission</t>
  </si>
  <si>
    <t>- Profit on Consignment</t>
  </si>
  <si>
    <t xml:space="preserve">         31</t>
  </si>
  <si>
    <t>Unsold Inventory c/d</t>
  </si>
  <si>
    <t>Consignment</t>
  </si>
  <si>
    <t>Mar 12</t>
  </si>
  <si>
    <t>Jul 1</t>
  </si>
  <si>
    <t>(b) In the ledger of Consignee:</t>
  </si>
  <si>
    <t>Consignee - Credit Sales</t>
  </si>
  <si>
    <t>Consignor - Discount Allowed</t>
  </si>
  <si>
    <t>2026</t>
  </si>
  <si>
    <t>Unsold Inventory b/d</t>
  </si>
  <si>
    <t>(i) Consignment (8%)</t>
  </si>
  <si>
    <t>(ii) Consignee - Ming Hui (5.5%)</t>
  </si>
  <si>
    <t>(iii) Bill Receivable (1.5%)</t>
  </si>
  <si>
    <t>(i) Consignment Account Receivable (2%)</t>
  </si>
  <si>
    <t xml:space="preserve">- Sales Commission </t>
  </si>
  <si>
    <t>Consignor --&gt; Consignee --&gt; Customers</t>
  </si>
  <si>
    <t>Ordinary Shares = 2,500,000/ RM 2.50 + 50,000 Shares      = 1,050,000 Shares</t>
  </si>
  <si>
    <t>(a) Income Statement (12.5%)</t>
  </si>
  <si>
    <t>(c) Flow chart of consignment (1.5%)</t>
  </si>
  <si>
    <t>(ii) Commission Income (1.5%)</t>
  </si>
  <si>
    <t xml:space="preserve">Account Receivable </t>
  </si>
  <si>
    <t>NIE</t>
  </si>
  <si>
    <t>KYN Partnership</t>
  </si>
  <si>
    <t>As At 1 January 2025</t>
  </si>
  <si>
    <t>Non-Current Assets</t>
  </si>
  <si>
    <t>Current Assets</t>
  </si>
  <si>
    <t>Less: Allowances</t>
  </si>
  <si>
    <t>Equity</t>
  </si>
  <si>
    <t>Capital</t>
  </si>
  <si>
    <t>- NIE</t>
  </si>
  <si>
    <t>Non-Current Liabilities</t>
  </si>
  <si>
    <t>Bank Loan</t>
  </si>
  <si>
    <t>Current Liabilities</t>
  </si>
  <si>
    <t xml:space="preserve">Account Payable </t>
  </si>
  <si>
    <t>(iii) Capital (7.5%)</t>
  </si>
  <si>
    <t>Statement Of Financial Position (6%)</t>
  </si>
  <si>
    <t>(a) In the books of KYN Partnership: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</si>
</sst>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1" fontId="0" fillId="0" borderId="0" xfId="0" applyNumberFormat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2" borderId="0" xfId="0" applyFill="1"/>
    <xf numFmtId="41" fontId="0" fillId="3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left"/>
    </xf>
    <xf numFmtId="41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41" fontId="0" fillId="2" borderId="0" xfId="0" applyNumberFormat="1" applyFill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0" fillId="0" borderId="4" xfId="0" applyNumberFormat="1" applyBorder="1" applyAlignment="1">
      <alignment horizontal="center" vertical="center"/>
    </xf>
    <xf numFmtId="41" fontId="0" fillId="3" borderId="5" xfId="0" applyNumberFormat="1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0" fontId="0" fillId="0" borderId="4" xfId="0" quotePrefix="1" applyBorder="1"/>
    <xf numFmtId="0" fontId="0" fillId="0" borderId="5" xfId="0" quotePrefix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/>
    </xf>
    <xf numFmtId="0" fontId="0" fillId="0" borderId="7" xfId="0" applyBorder="1"/>
    <xf numFmtId="164" fontId="0" fillId="0" borderId="2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4" xfId="0" applyBorder="1"/>
    <xf numFmtId="164" fontId="0" fillId="0" borderId="3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41" fontId="0" fillId="0" borderId="9" xfId="0" applyNumberFormat="1" applyBorder="1" applyAlignment="1">
      <alignment horizontal="center" vertical="center"/>
    </xf>
    <xf numFmtId="0" fontId="0" fillId="0" borderId="3" xfId="0" quotePrefix="1" applyBorder="1"/>
    <xf numFmtId="41" fontId="0" fillId="3" borderId="14" xfId="0" applyNumberFormat="1" applyFill="1" applyBorder="1" applyAlignment="1">
      <alignment horizontal="center" vertical="center"/>
    </xf>
    <xf numFmtId="41" fontId="0" fillId="0" borderId="16" xfId="0" applyNumberFormat="1" applyBorder="1" applyAlignment="1">
      <alignment horizontal="center" vertical="center"/>
    </xf>
    <xf numFmtId="41" fontId="0" fillId="3" borderId="15" xfId="0" applyNumberFormat="1" applyFill="1" applyBorder="1" applyAlignment="1">
      <alignment horizontal="center" vertical="center"/>
    </xf>
    <xf numFmtId="41" fontId="0" fillId="0" borderId="14" xfId="0" applyNumberFormat="1" applyBorder="1" applyAlignment="1">
      <alignment horizontal="center" vertical="center"/>
    </xf>
    <xf numFmtId="41" fontId="0" fillId="0" borderId="11" xfId="0" applyNumberFormat="1" applyBorder="1" applyAlignment="1">
      <alignment horizontal="center" vertical="center"/>
    </xf>
    <xf numFmtId="41" fontId="0" fillId="0" borderId="13" xfId="0" applyNumberFormat="1" applyBorder="1" applyAlignment="1">
      <alignment horizontal="center" vertical="center"/>
    </xf>
    <xf numFmtId="41" fontId="0" fillId="3" borderId="7" xfId="0" applyNumberFormat="1" applyFill="1" applyBorder="1" applyAlignment="1">
      <alignment horizontal="center" vertical="center"/>
    </xf>
    <xf numFmtId="0" fontId="0" fillId="0" borderId="2" xfId="0" quotePrefix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1" fontId="0" fillId="0" borderId="10" xfId="0" applyNumberForma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41" fontId="0" fillId="0" borderId="0" xfId="0" applyNumberFormat="1" applyFill="1" applyAlignment="1">
      <alignment horizontal="center" vertical="center"/>
    </xf>
    <xf numFmtId="41" fontId="0" fillId="0" borderId="4" xfId="0" applyNumberFormat="1" applyFill="1" applyBorder="1" applyAlignment="1">
      <alignment horizontal="center" vertical="center"/>
    </xf>
    <xf numFmtId="41" fontId="0" fillId="0" borderId="5" xfId="0" applyNumberFormat="1" applyFill="1" applyBorder="1" applyAlignment="1">
      <alignment horizontal="center" vertical="center"/>
    </xf>
    <xf numFmtId="41" fontId="0" fillId="0" borderId="8" xfId="0" applyNumberFormat="1" applyFill="1" applyBorder="1" applyAlignment="1">
      <alignment horizontal="center" vertical="center"/>
    </xf>
    <xf numFmtId="0" fontId="0" fillId="0" borderId="0" xfId="0" applyFill="1" applyBorder="1"/>
    <xf numFmtId="41" fontId="0" fillId="0" borderId="0" xfId="0" applyNumberFormat="1" applyFill="1" applyBorder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41" fontId="0" fillId="0" borderId="0" xfId="0" quotePrefix="1" applyNumberFormat="1" applyFill="1" applyBorder="1" applyAlignment="1">
      <alignment horizontal="center" vertical="center"/>
    </xf>
    <xf numFmtId="41" fontId="0" fillId="0" borderId="0" xfId="0" applyNumberFormat="1" applyFill="1" applyBorder="1" applyAlignment="1">
      <alignment vertical="center"/>
    </xf>
    <xf numFmtId="41" fontId="0" fillId="0" borderId="0" xfId="0" applyNumberFormat="1" applyBorder="1" applyAlignment="1">
      <alignment horizontal="center" vertical="center"/>
    </xf>
    <xf numFmtId="41" fontId="0" fillId="3" borderId="0" xfId="0" applyNumberFormat="1" applyFill="1" applyBorder="1" applyAlignment="1">
      <alignment horizontal="center" vertical="center"/>
    </xf>
    <xf numFmtId="41" fontId="0" fillId="0" borderId="0" xfId="0" applyNumberFormat="1" applyBorder="1" applyAlignment="1">
      <alignment vertical="center"/>
    </xf>
    <xf numFmtId="0" fontId="0" fillId="0" borderId="0" xfId="0" quotePrefix="1" applyFill="1" applyBorder="1"/>
    <xf numFmtId="41" fontId="0" fillId="0" borderId="0" xfId="0" quotePrefix="1" applyNumberFormat="1" applyFill="1" applyBorder="1" applyAlignment="1">
      <alignment horizontal="left" vertical="center"/>
    </xf>
    <xf numFmtId="41" fontId="0" fillId="0" borderId="0" xfId="0" applyNumberFormat="1" applyFill="1" applyBorder="1" applyAlignment="1">
      <alignment horizontal="left" vertical="center"/>
    </xf>
    <xf numFmtId="41" fontId="0" fillId="3" borderId="0" xfId="0" applyNumberFormat="1" applyFill="1" applyBorder="1" applyAlignment="1">
      <alignment horizontal="center" vertical="center"/>
    </xf>
    <xf numFmtId="41" fontId="0" fillId="0" borderId="10" xfId="0" applyNumberFormat="1" applyFill="1" applyBorder="1" applyAlignment="1">
      <alignment horizontal="center" vertical="center"/>
    </xf>
    <xf numFmtId="41" fontId="0" fillId="3" borderId="10" xfId="0" applyNumberFormat="1" applyFill="1" applyBorder="1" applyAlignment="1">
      <alignment horizontal="center" vertical="center"/>
    </xf>
    <xf numFmtId="41" fontId="0" fillId="0" borderId="1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E46C-734E-214A-A65B-67EF403A7AE6}">
  <sheetPr>
    <pageSetUpPr fitToPage="1"/>
  </sheetPr>
  <dimension ref="B1:BD65"/>
  <sheetViews>
    <sheetView tabSelected="1" topLeftCell="M1" zoomScale="89" workbookViewId="0">
      <selection activeCell="O2" sqref="O2:X62"/>
    </sheetView>
  </sheetViews>
  <sheetFormatPr baseColWidth="10" defaultRowHeight="16" x14ac:dyDescent="0.2"/>
  <cols>
    <col min="1" max="1" width="6" customWidth="1"/>
    <col min="2" max="2" width="9.6640625" style="1" customWidth="1"/>
    <col min="3" max="3" width="5.1640625" bestFit="1" customWidth="1"/>
    <col min="4" max="4" width="5.5" bestFit="1" customWidth="1"/>
    <col min="5" max="5" width="30.5" bestFit="1" customWidth="1"/>
    <col min="6" max="6" width="6.33203125" customWidth="1"/>
    <col min="7" max="7" width="9.33203125" style="3" customWidth="1"/>
    <col min="8" max="8" width="10.83203125" style="3"/>
    <col min="9" max="9" width="11.5" style="3" customWidth="1"/>
    <col min="10" max="10" width="13.6640625" style="3" customWidth="1"/>
    <col min="11" max="11" width="14.6640625" style="3" customWidth="1"/>
    <col min="12" max="12" width="11.6640625" style="3" bestFit="1" customWidth="1"/>
    <col min="14" max="14" width="1.83203125" style="9" customWidth="1"/>
    <col min="15" max="15" width="17.33203125" customWidth="1"/>
    <col min="16" max="19" width="10.83203125" style="1"/>
    <col min="20" max="20" width="22.5" customWidth="1"/>
    <col min="21" max="24" width="10.83203125" style="1"/>
    <col min="25" max="25" width="1.83203125" style="9" customWidth="1"/>
    <col min="26" max="26" width="6.33203125" customWidth="1"/>
    <col min="27" max="27" width="26.5" style="10" customWidth="1"/>
    <col min="28" max="29" width="13.5" style="1" customWidth="1"/>
    <col min="30" max="30" width="15" style="1" customWidth="1"/>
    <col min="31" max="31" width="16.5" style="1" bestFit="1" customWidth="1"/>
    <col min="32" max="32" width="13.5" style="1" customWidth="1"/>
    <col min="33" max="33" width="10.83203125" style="1"/>
    <col min="34" max="34" width="1.83203125" style="9" customWidth="1"/>
    <col min="35" max="35" width="5.83203125" customWidth="1"/>
    <col min="36" max="36" width="25.5" customWidth="1"/>
    <col min="37" max="40" width="11.83203125" style="1" customWidth="1"/>
    <col min="41" max="42" width="10.83203125" style="1"/>
    <col min="43" max="43" width="1.83203125" style="9" customWidth="1"/>
    <col min="44" max="44" width="7.5" customWidth="1"/>
    <col min="45" max="45" width="21.83203125" customWidth="1"/>
    <col min="46" max="46" width="10.83203125" style="1"/>
    <col min="47" max="47" width="9.1640625" customWidth="1"/>
    <col min="48" max="48" width="21.33203125" customWidth="1"/>
    <col min="49" max="49" width="10.83203125" style="1"/>
    <col min="50" max="50" width="1.83203125" style="9" customWidth="1"/>
    <col min="51" max="51" width="7.6640625" customWidth="1"/>
    <col min="52" max="52" width="29.1640625" customWidth="1"/>
    <col min="53" max="53" width="10.83203125" style="1"/>
    <col min="54" max="54" width="9.33203125" customWidth="1"/>
    <col min="55" max="55" width="25" customWidth="1"/>
    <col min="56" max="56" width="10.83203125" style="1"/>
  </cols>
  <sheetData>
    <row r="1" spans="2:56" x14ac:dyDescent="0.2">
      <c r="B1" s="1" t="s">
        <v>38</v>
      </c>
    </row>
    <row r="2" spans="2:56" x14ac:dyDescent="0.2">
      <c r="B2" s="1" t="s">
        <v>0</v>
      </c>
      <c r="O2" t="s">
        <v>74</v>
      </c>
      <c r="Z2" t="s">
        <v>50</v>
      </c>
      <c r="AI2" t="s">
        <v>125</v>
      </c>
      <c r="AR2" t="s">
        <v>126</v>
      </c>
      <c r="AY2" t="s">
        <v>207</v>
      </c>
    </row>
    <row r="3" spans="2:56" x14ac:dyDescent="0.2">
      <c r="B3" s="1" t="s">
        <v>127</v>
      </c>
      <c r="AI3" t="s">
        <v>151</v>
      </c>
    </row>
    <row r="4" spans="2:56" x14ac:dyDescent="0.2">
      <c r="O4" t="s">
        <v>267</v>
      </c>
      <c r="Z4" s="58" t="s">
        <v>75</v>
      </c>
      <c r="AA4" s="58"/>
      <c r="AB4" s="58"/>
      <c r="AC4" s="58"/>
      <c r="AD4" s="58"/>
      <c r="AR4" t="s">
        <v>204</v>
      </c>
      <c r="AY4" t="s">
        <v>208</v>
      </c>
    </row>
    <row r="5" spans="2:56" x14ac:dyDescent="0.2">
      <c r="B5" s="63" t="s">
        <v>49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P5" s="62" t="s">
        <v>73</v>
      </c>
      <c r="Q5" s="62"/>
      <c r="R5" s="62"/>
      <c r="S5" s="62"/>
      <c r="T5" s="62"/>
      <c r="U5" s="62"/>
      <c r="V5" s="62"/>
      <c r="W5" s="79"/>
      <c r="X5" s="77"/>
      <c r="Z5" s="58" t="s">
        <v>248</v>
      </c>
      <c r="AA5" s="58"/>
      <c r="AB5" s="58"/>
      <c r="AC5" s="58"/>
      <c r="AD5" s="58"/>
      <c r="AI5" s="58" t="s">
        <v>129</v>
      </c>
      <c r="AJ5" s="58"/>
      <c r="AK5" s="58"/>
      <c r="AL5" s="58"/>
      <c r="AM5" s="58"/>
      <c r="AN5" s="58"/>
      <c r="AO5" s="58"/>
      <c r="AP5" s="58"/>
      <c r="AR5" s="57" t="s">
        <v>152</v>
      </c>
      <c r="AS5" s="57"/>
      <c r="AT5" s="57"/>
      <c r="AU5" s="57"/>
      <c r="AV5" s="57"/>
      <c r="AW5" s="57"/>
      <c r="AY5" s="57" t="s">
        <v>241</v>
      </c>
      <c r="AZ5" s="57"/>
      <c r="BA5" s="57"/>
      <c r="BB5" s="57"/>
      <c r="BC5" s="57"/>
      <c r="BD5" s="57"/>
    </row>
    <row r="6" spans="2:56" x14ac:dyDescent="0.2">
      <c r="B6" s="14" t="s">
        <v>1</v>
      </c>
      <c r="C6" s="16" t="s">
        <v>3</v>
      </c>
      <c r="D6" s="16" t="s">
        <v>2</v>
      </c>
      <c r="E6" s="16" t="s">
        <v>4</v>
      </c>
      <c r="F6" s="16" t="s">
        <v>5</v>
      </c>
      <c r="G6" s="15" t="s">
        <v>6</v>
      </c>
      <c r="H6" s="15" t="s">
        <v>7</v>
      </c>
      <c r="I6" s="15" t="s">
        <v>8</v>
      </c>
      <c r="J6" s="15" t="s">
        <v>9</v>
      </c>
      <c r="K6" s="15" t="s">
        <v>10</v>
      </c>
      <c r="L6" s="15" t="s">
        <v>11</v>
      </c>
      <c r="M6" s="16" t="s">
        <v>12</v>
      </c>
      <c r="R6" s="1" t="s">
        <v>13</v>
      </c>
      <c r="T6" s="23"/>
      <c r="V6" s="1" t="s">
        <v>13</v>
      </c>
      <c r="Z6" s="57" t="s">
        <v>76</v>
      </c>
      <c r="AA6" s="57"/>
      <c r="AB6" s="57"/>
      <c r="AC6" s="57"/>
      <c r="AD6" s="57"/>
      <c r="AI6" s="58" t="s">
        <v>150</v>
      </c>
      <c r="AJ6" s="58"/>
      <c r="AK6" s="58"/>
      <c r="AL6" s="58"/>
      <c r="AM6" s="58"/>
      <c r="AN6" s="58"/>
      <c r="AO6" s="58"/>
      <c r="AP6" s="58"/>
      <c r="AR6" s="2" t="s">
        <v>14</v>
      </c>
      <c r="AT6" s="1" t="s">
        <v>13</v>
      </c>
      <c r="AU6" s="48" t="s">
        <v>14</v>
      </c>
      <c r="AW6" s="1" t="s">
        <v>13</v>
      </c>
      <c r="AY6" s="2" t="s">
        <v>14</v>
      </c>
      <c r="BA6" s="1" t="s">
        <v>13</v>
      </c>
      <c r="BB6" s="56" t="s">
        <v>14</v>
      </c>
      <c r="BD6" s="1" t="s">
        <v>13</v>
      </c>
    </row>
    <row r="7" spans="2:56" x14ac:dyDescent="0.2">
      <c r="B7" s="17" t="s">
        <v>13</v>
      </c>
      <c r="D7" s="20" t="s">
        <v>14</v>
      </c>
      <c r="F7" s="25"/>
      <c r="G7" s="3" t="s">
        <v>13</v>
      </c>
      <c r="H7" s="28" t="s">
        <v>13</v>
      </c>
      <c r="I7" s="3" t="s">
        <v>13</v>
      </c>
      <c r="J7" s="28" t="s">
        <v>13</v>
      </c>
      <c r="K7" s="3" t="s">
        <v>13</v>
      </c>
      <c r="L7" s="28" t="s">
        <v>13</v>
      </c>
      <c r="M7" s="25"/>
      <c r="P7" s="4" t="s">
        <v>16</v>
      </c>
      <c r="S7" s="8">
        <v>10000</v>
      </c>
      <c r="T7" s="24" t="s">
        <v>26</v>
      </c>
      <c r="V7" s="1">
        <v>15000</v>
      </c>
      <c r="AB7" s="17" t="s">
        <v>13</v>
      </c>
      <c r="AC7" s="1" t="s">
        <v>13</v>
      </c>
      <c r="AD7" s="17" t="s">
        <v>13</v>
      </c>
      <c r="AI7" s="57" t="s">
        <v>130</v>
      </c>
      <c r="AJ7" s="57"/>
      <c r="AK7" s="57"/>
      <c r="AL7" s="57"/>
      <c r="AM7" s="57"/>
      <c r="AN7" s="57"/>
      <c r="AO7" s="57"/>
      <c r="AP7" s="57"/>
      <c r="AR7" s="2" t="s">
        <v>15</v>
      </c>
      <c r="AS7" t="s">
        <v>154</v>
      </c>
      <c r="AT7" s="8">
        <v>500</v>
      </c>
      <c r="AU7" s="48" t="s">
        <v>161</v>
      </c>
      <c r="AV7" t="s">
        <v>162</v>
      </c>
      <c r="AW7" s="8">
        <v>1500</v>
      </c>
      <c r="AY7" s="2" t="s">
        <v>209</v>
      </c>
      <c r="AZ7" t="s">
        <v>210</v>
      </c>
      <c r="BA7" s="8">
        <v>40000</v>
      </c>
      <c r="BB7" s="48" t="s">
        <v>214</v>
      </c>
      <c r="BC7" t="s">
        <v>215</v>
      </c>
      <c r="BD7" s="8">
        <f>40000/500*20</f>
        <v>1600</v>
      </c>
    </row>
    <row r="8" spans="2:56" x14ac:dyDescent="0.2">
      <c r="B8" s="18">
        <f>250-185</f>
        <v>65</v>
      </c>
      <c r="D8" s="21" t="s">
        <v>15</v>
      </c>
      <c r="E8" t="s">
        <v>16</v>
      </c>
      <c r="F8" s="22"/>
      <c r="H8" s="29"/>
      <c r="J8" s="29"/>
      <c r="L8" s="29"/>
      <c r="M8" s="22"/>
      <c r="P8" s="10" t="s">
        <v>51</v>
      </c>
      <c r="S8" s="8">
        <f>5000*5/10</f>
        <v>2500</v>
      </c>
      <c r="T8" s="24"/>
      <c r="Z8" t="s">
        <v>77</v>
      </c>
      <c r="AB8" s="19"/>
      <c r="AD8" s="18">
        <v>2490000</v>
      </c>
      <c r="AK8" s="64" t="s">
        <v>131</v>
      </c>
      <c r="AL8" s="64"/>
      <c r="AM8" s="64" t="s">
        <v>132</v>
      </c>
      <c r="AN8" s="64"/>
      <c r="AO8" s="64" t="s">
        <v>114</v>
      </c>
      <c r="AP8" s="64"/>
      <c r="AR8" s="2" t="s">
        <v>157</v>
      </c>
      <c r="AS8" t="s">
        <v>55</v>
      </c>
      <c r="AT8" s="8">
        <v>800</v>
      </c>
      <c r="AU8" s="48" t="s">
        <v>164</v>
      </c>
      <c r="AV8" t="s">
        <v>146</v>
      </c>
      <c r="AW8" s="8">
        <f>80*12</f>
        <v>960</v>
      </c>
      <c r="AY8" s="2" t="s">
        <v>211</v>
      </c>
      <c r="AZ8" t="s">
        <v>17</v>
      </c>
      <c r="BB8" s="48" t="s">
        <v>222</v>
      </c>
      <c r="BC8" t="s">
        <v>217</v>
      </c>
    </row>
    <row r="9" spans="2:56" x14ac:dyDescent="0.2">
      <c r="B9" s="18">
        <v>185</v>
      </c>
      <c r="C9" s="7" t="s">
        <v>27</v>
      </c>
      <c r="D9" s="22">
        <v>1</v>
      </c>
      <c r="E9" t="s">
        <v>17</v>
      </c>
      <c r="F9" s="22"/>
      <c r="H9" s="29"/>
      <c r="J9" s="29"/>
      <c r="L9" s="29"/>
      <c r="M9" s="22"/>
      <c r="P9" s="10" t="s">
        <v>52</v>
      </c>
      <c r="S9" s="8">
        <f>5000*2/10</f>
        <v>1000</v>
      </c>
      <c r="T9" s="24"/>
      <c r="Z9" t="s">
        <v>78</v>
      </c>
      <c r="AA9" s="10" t="s">
        <v>79</v>
      </c>
      <c r="AB9" s="19"/>
      <c r="AD9" s="49">
        <f>-8500</f>
        <v>-8500</v>
      </c>
      <c r="AK9" s="17" t="s">
        <v>13</v>
      </c>
      <c r="AL9" s="1" t="s">
        <v>13</v>
      </c>
      <c r="AM9" s="17" t="s">
        <v>13</v>
      </c>
      <c r="AN9" s="1" t="s">
        <v>13</v>
      </c>
      <c r="AO9" s="17" t="s">
        <v>13</v>
      </c>
      <c r="AP9" s="17" t="s">
        <v>13</v>
      </c>
      <c r="AR9" s="2" t="s">
        <v>165</v>
      </c>
      <c r="AS9" s="1" t="s">
        <v>146</v>
      </c>
      <c r="AU9" s="48" t="s">
        <v>172</v>
      </c>
      <c r="AV9" t="s">
        <v>162</v>
      </c>
      <c r="AW9" s="8">
        <v>5400</v>
      </c>
      <c r="AZ9" s="2" t="s">
        <v>212</v>
      </c>
      <c r="BA9" s="8">
        <v>1800</v>
      </c>
      <c r="BB9" s="24"/>
      <c r="BC9" s="2" t="s">
        <v>223</v>
      </c>
      <c r="BD9" s="8">
        <f>220*230</f>
        <v>50600</v>
      </c>
    </row>
    <row r="10" spans="2:56" x14ac:dyDescent="0.2">
      <c r="B10" s="19"/>
      <c r="D10" s="22">
        <v>2</v>
      </c>
      <c r="E10" t="s">
        <v>7</v>
      </c>
      <c r="F10" s="26">
        <v>388</v>
      </c>
      <c r="G10" s="3">
        <v>28.6</v>
      </c>
      <c r="H10" s="30">
        <v>28.6</v>
      </c>
      <c r="J10" s="29"/>
      <c r="L10" s="29"/>
      <c r="M10" s="22"/>
      <c r="P10" s="10" t="s">
        <v>53</v>
      </c>
      <c r="S10" s="8">
        <f>5000*3/10</f>
        <v>1500</v>
      </c>
      <c r="T10" s="24"/>
      <c r="Z10" t="s">
        <v>80</v>
      </c>
      <c r="AB10" s="19"/>
      <c r="AD10" s="18">
        <f>AD8+AD9</f>
        <v>2481500</v>
      </c>
      <c r="AI10" t="s">
        <v>77</v>
      </c>
      <c r="AK10" s="19"/>
      <c r="AL10" s="8">
        <v>124000</v>
      </c>
      <c r="AM10" s="19"/>
      <c r="AN10" s="8">
        <v>68000</v>
      </c>
      <c r="AO10" s="19"/>
      <c r="AP10" s="19">
        <f>AL10+AN10</f>
        <v>192000</v>
      </c>
      <c r="AS10" s="2" t="s">
        <v>166</v>
      </c>
      <c r="AT10" s="8">
        <f>960*5%</f>
        <v>48</v>
      </c>
      <c r="AU10" s="48" t="s">
        <v>178</v>
      </c>
      <c r="AV10" t="s">
        <v>179</v>
      </c>
      <c r="AW10" s="8">
        <f>AT8*95%</f>
        <v>760</v>
      </c>
      <c r="AZ10" s="2" t="s">
        <v>213</v>
      </c>
      <c r="BA10" s="8">
        <v>520</v>
      </c>
      <c r="BB10" s="24"/>
      <c r="BC10" s="2" t="s">
        <v>224</v>
      </c>
      <c r="BD10" s="8">
        <f>180*205</f>
        <v>36900</v>
      </c>
    </row>
    <row r="11" spans="2:56" ht="17" thickBot="1" x14ac:dyDescent="0.25">
      <c r="B11" s="19"/>
      <c r="D11" s="22">
        <v>3</v>
      </c>
      <c r="E11" t="s">
        <v>18</v>
      </c>
      <c r="F11" s="22">
        <v>389</v>
      </c>
      <c r="G11" s="3">
        <v>89</v>
      </c>
      <c r="H11" s="29"/>
      <c r="J11" s="29"/>
      <c r="K11" s="5">
        <v>89</v>
      </c>
      <c r="L11" s="29"/>
      <c r="M11" s="22"/>
      <c r="P11" s="11"/>
      <c r="S11" s="47">
        <v>15000</v>
      </c>
      <c r="T11" s="24"/>
      <c r="V11" s="47">
        <v>15000</v>
      </c>
      <c r="Z11" t="s">
        <v>78</v>
      </c>
      <c r="AA11" s="10" t="s">
        <v>81</v>
      </c>
      <c r="AB11" s="19"/>
      <c r="AD11" s="19"/>
      <c r="AI11" t="s">
        <v>93</v>
      </c>
      <c r="AJ11" t="s">
        <v>81</v>
      </c>
      <c r="AK11" s="19"/>
      <c r="AM11" s="19"/>
      <c r="AO11" s="19"/>
      <c r="AP11" s="19"/>
      <c r="AR11" s="2" t="s">
        <v>169</v>
      </c>
      <c r="AS11" t="s">
        <v>170</v>
      </c>
      <c r="AT11" s="8">
        <v>2000</v>
      </c>
      <c r="AU11" s="48" t="s">
        <v>175</v>
      </c>
      <c r="AV11" t="s">
        <v>176</v>
      </c>
      <c r="AW11" s="8">
        <f>4200/1400*42</f>
        <v>126</v>
      </c>
      <c r="AY11" s="2" t="s">
        <v>216</v>
      </c>
      <c r="AZ11" t="s">
        <v>217</v>
      </c>
      <c r="BB11" s="48" t="s">
        <v>228</v>
      </c>
      <c r="BC11" t="s">
        <v>232</v>
      </c>
      <c r="BD11" s="1">
        <f>(BA7+BA9+BA10)*70/500+(BA12+BA14)*70/480</f>
        <v>6408.9666666666672</v>
      </c>
    </row>
    <row r="12" spans="2:56" ht="17" thickTop="1" x14ac:dyDescent="0.2">
      <c r="B12" s="19"/>
      <c r="D12" s="22">
        <v>5</v>
      </c>
      <c r="E12" t="s">
        <v>19</v>
      </c>
      <c r="F12" s="22">
        <v>390</v>
      </c>
      <c r="G12" s="3">
        <v>68.3</v>
      </c>
      <c r="H12" s="29"/>
      <c r="J12" s="29"/>
      <c r="K12" s="5">
        <v>68.3</v>
      </c>
      <c r="L12" s="29"/>
      <c r="M12" s="22"/>
      <c r="P12" s="11" t="s">
        <v>16</v>
      </c>
      <c r="S12" s="8">
        <f>V7</f>
        <v>15000</v>
      </c>
      <c r="T12" s="24"/>
      <c r="AA12" s="10" t="s">
        <v>82</v>
      </c>
      <c r="AB12" s="19"/>
      <c r="AC12" s="8">
        <v>90500</v>
      </c>
      <c r="AD12" s="19"/>
      <c r="AJ12" t="s">
        <v>82</v>
      </c>
      <c r="AK12" s="18">
        <v>5600</v>
      </c>
      <c r="AM12" s="18">
        <v>2800</v>
      </c>
      <c r="AO12" s="19">
        <f t="shared" ref="AO12:AO19" si="0">AK12+AM12</f>
        <v>8400</v>
      </c>
      <c r="AP12" s="19"/>
      <c r="AR12" s="2" t="s">
        <v>172</v>
      </c>
      <c r="AS12" t="s">
        <v>173</v>
      </c>
      <c r="AT12" s="8">
        <v>460</v>
      </c>
      <c r="AU12" s="48" t="s">
        <v>175</v>
      </c>
      <c r="AV12" t="s">
        <v>202</v>
      </c>
      <c r="AW12" s="8">
        <f>AT17-SUM(AW7:AW11)</f>
        <v>183</v>
      </c>
      <c r="AZ12" s="2" t="s">
        <v>218</v>
      </c>
      <c r="BA12" s="8">
        <v>820</v>
      </c>
      <c r="BB12" s="24"/>
    </row>
    <row r="13" spans="2:56" x14ac:dyDescent="0.2">
      <c r="B13" s="19"/>
      <c r="D13" s="22">
        <v>7</v>
      </c>
      <c r="E13" t="s">
        <v>20</v>
      </c>
      <c r="F13" s="22">
        <v>391</v>
      </c>
      <c r="G13" s="3">
        <v>18.7</v>
      </c>
      <c r="H13" s="29"/>
      <c r="J13" s="30">
        <v>18.7</v>
      </c>
      <c r="L13" s="29"/>
      <c r="M13" s="22"/>
      <c r="AA13" s="10" t="s">
        <v>83</v>
      </c>
      <c r="AB13" s="18">
        <v>1200900</v>
      </c>
      <c r="AD13" s="19"/>
      <c r="AJ13" t="s">
        <v>83</v>
      </c>
      <c r="AK13" s="18">
        <v>54000</v>
      </c>
      <c r="AM13" s="18">
        <v>18000</v>
      </c>
      <c r="AO13" s="19">
        <f t="shared" si="0"/>
        <v>72000</v>
      </c>
      <c r="AP13" s="19"/>
      <c r="AR13" s="2" t="s">
        <v>175</v>
      </c>
      <c r="AS13" t="s">
        <v>180</v>
      </c>
      <c r="AU13" s="24"/>
      <c r="AZ13" s="2" t="s">
        <v>219</v>
      </c>
      <c r="BA13" s="8">
        <v>2100</v>
      </c>
      <c r="BB13" s="24"/>
    </row>
    <row r="14" spans="2:56" x14ac:dyDescent="0.2">
      <c r="B14" s="19"/>
      <c r="D14" s="22">
        <v>12</v>
      </c>
      <c r="E14" t="s">
        <v>21</v>
      </c>
      <c r="F14" s="22">
        <v>392</v>
      </c>
      <c r="G14" s="3">
        <v>25.8</v>
      </c>
      <c r="H14" s="29"/>
      <c r="I14" s="5">
        <v>25.8</v>
      </c>
      <c r="J14" s="29"/>
      <c r="L14" s="29"/>
      <c r="M14" s="22"/>
      <c r="P14" s="62" t="s">
        <v>72</v>
      </c>
      <c r="Q14" s="62"/>
      <c r="R14" s="62"/>
      <c r="S14" s="62"/>
      <c r="T14" s="62"/>
      <c r="U14" s="62"/>
      <c r="V14" s="62"/>
      <c r="W14" s="79"/>
      <c r="X14" s="77"/>
      <c r="AA14" s="10" t="s">
        <v>84</v>
      </c>
      <c r="AB14" s="49">
        <f>-4600</f>
        <v>-4600</v>
      </c>
      <c r="AD14" s="19"/>
      <c r="AK14" s="17">
        <f>SUM(AK12:AK13)</f>
        <v>59600</v>
      </c>
      <c r="AM14" s="17">
        <f>SUM(AM12:AM13)</f>
        <v>20800</v>
      </c>
      <c r="AO14" s="17">
        <f t="shared" si="0"/>
        <v>80400</v>
      </c>
      <c r="AP14" s="19"/>
      <c r="AS14" s="2" t="s">
        <v>181</v>
      </c>
      <c r="AT14" s="8">
        <f>(AW7+AW8+AW9)*5%</f>
        <v>393</v>
      </c>
      <c r="AU14" s="24"/>
      <c r="AZ14" s="2" t="s">
        <v>220</v>
      </c>
      <c r="BA14" s="8">
        <f>500*5</f>
        <v>2500</v>
      </c>
      <c r="BB14" s="24"/>
    </row>
    <row r="15" spans="2:56" x14ac:dyDescent="0.2">
      <c r="B15" s="19"/>
      <c r="D15" s="22">
        <v>15</v>
      </c>
      <c r="E15" t="s">
        <v>22</v>
      </c>
      <c r="F15" s="22">
        <v>393</v>
      </c>
      <c r="G15" s="3">
        <v>8.8000000000000007</v>
      </c>
      <c r="H15" s="29"/>
      <c r="J15" s="30">
        <v>8.8000000000000007</v>
      </c>
      <c r="L15" s="29"/>
      <c r="M15" s="22"/>
      <c r="S15" s="1" t="s">
        <v>13</v>
      </c>
      <c r="T15" s="23"/>
      <c r="V15" s="1" t="s">
        <v>13</v>
      </c>
      <c r="AB15" s="18">
        <f>AB13+AB14</f>
        <v>1196300</v>
      </c>
      <c r="AD15" s="19"/>
      <c r="AJ15" t="s">
        <v>133</v>
      </c>
      <c r="AK15" s="18">
        <v>2100</v>
      </c>
      <c r="AM15" s="18">
        <v>1100</v>
      </c>
      <c r="AO15" s="19">
        <f t="shared" si="0"/>
        <v>3200</v>
      </c>
      <c r="AP15" s="19"/>
      <c r="AS15" s="2" t="s">
        <v>182</v>
      </c>
      <c r="AT15" s="1">
        <f>AT50</f>
        <v>4728</v>
      </c>
      <c r="AU15" s="24"/>
      <c r="AZ15" s="2" t="s">
        <v>221</v>
      </c>
      <c r="BA15" s="8">
        <v>1150</v>
      </c>
      <c r="BB15" s="24"/>
    </row>
    <row r="16" spans="2:56" x14ac:dyDescent="0.2">
      <c r="B16" s="18">
        <f>SUM(G10:G15)</f>
        <v>239.2</v>
      </c>
      <c r="C16" t="s">
        <v>27</v>
      </c>
      <c r="D16" s="22">
        <v>19</v>
      </c>
      <c r="E16" t="s">
        <v>17</v>
      </c>
      <c r="F16" s="22"/>
      <c r="H16" s="29"/>
      <c r="J16" s="29"/>
      <c r="L16" s="29"/>
      <c r="M16" s="22"/>
      <c r="P16" s="11" t="s">
        <v>54</v>
      </c>
      <c r="S16" s="8">
        <f>67000*10%</f>
        <v>6700</v>
      </c>
      <c r="T16" s="24" t="s">
        <v>57</v>
      </c>
      <c r="V16" s="8">
        <f>2310-1980</f>
        <v>330</v>
      </c>
      <c r="AA16" s="10" t="s">
        <v>85</v>
      </c>
      <c r="AB16" s="49">
        <v>28000</v>
      </c>
      <c r="AC16" s="50">
        <f>AB15+AB16</f>
        <v>1224300</v>
      </c>
      <c r="AD16" s="19"/>
      <c r="AK16" s="17">
        <f>SUM(AK14:AK15)</f>
        <v>61700</v>
      </c>
      <c r="AM16" s="17">
        <f>SUM(AM14:AM15)</f>
        <v>21900</v>
      </c>
      <c r="AO16" s="17">
        <f t="shared" si="0"/>
        <v>83600</v>
      </c>
      <c r="AP16" s="19"/>
      <c r="AU16" s="24"/>
      <c r="AY16" s="2" t="s">
        <v>225</v>
      </c>
      <c r="AZ16" t="s">
        <v>226</v>
      </c>
      <c r="BB16" s="24"/>
    </row>
    <row r="17" spans="2:56" ht="17" thickBot="1" x14ac:dyDescent="0.25">
      <c r="B17" s="19"/>
      <c r="D17" s="22">
        <v>19</v>
      </c>
      <c r="E17" t="s">
        <v>23</v>
      </c>
      <c r="F17" s="22">
        <v>394</v>
      </c>
      <c r="G17" s="3">
        <v>35</v>
      </c>
      <c r="H17" s="29"/>
      <c r="J17" s="30">
        <v>35</v>
      </c>
      <c r="L17" s="29"/>
      <c r="M17" s="22"/>
      <c r="P17" s="11" t="s">
        <v>55</v>
      </c>
      <c r="S17" s="8">
        <f>10800*5%</f>
        <v>540</v>
      </c>
      <c r="T17" s="24" t="s">
        <v>58</v>
      </c>
      <c r="AB17" s="19"/>
      <c r="AC17" s="1">
        <f>AC16+AC12</f>
        <v>1314800</v>
      </c>
      <c r="AD17" s="19"/>
      <c r="AJ17" t="s">
        <v>134</v>
      </c>
      <c r="AK17" s="18">
        <f>-2000</f>
        <v>-2000</v>
      </c>
      <c r="AM17" s="18">
        <f>2000</f>
        <v>2000</v>
      </c>
      <c r="AO17" s="19">
        <f t="shared" si="0"/>
        <v>0</v>
      </c>
      <c r="AP17" s="19"/>
      <c r="AT17" s="47">
        <f>SUM(AT7:AT16)</f>
        <v>8929</v>
      </c>
      <c r="AU17" s="24"/>
      <c r="AW17" s="47">
        <f>SUM(AW7:AW16)</f>
        <v>8929</v>
      </c>
      <c r="AZ17" s="2" t="s">
        <v>227</v>
      </c>
      <c r="BA17" s="8">
        <v>300</v>
      </c>
      <c r="BB17" s="24"/>
    </row>
    <row r="18" spans="2:56" ht="17" thickTop="1" x14ac:dyDescent="0.2">
      <c r="B18" s="19"/>
      <c r="D18" s="22">
        <v>23</v>
      </c>
      <c r="E18" t="s">
        <v>24</v>
      </c>
      <c r="F18" s="22">
        <v>395</v>
      </c>
      <c r="G18" s="3">
        <v>79</v>
      </c>
      <c r="H18" s="29"/>
      <c r="I18" s="5">
        <v>79</v>
      </c>
      <c r="J18" s="29"/>
      <c r="L18" s="29"/>
      <c r="M18" s="22"/>
      <c r="P18" s="11" t="s">
        <v>56</v>
      </c>
      <c r="S18" s="8">
        <v>400</v>
      </c>
      <c r="T18" s="48" t="s">
        <v>59</v>
      </c>
      <c r="V18" s="8">
        <f>($S$21-$V$16)*5/10</f>
        <v>3825</v>
      </c>
      <c r="AA18" s="10" t="s">
        <v>86</v>
      </c>
      <c r="AB18" s="19"/>
      <c r="AC18" s="51">
        <f>-126000</f>
        <v>-126000</v>
      </c>
      <c r="AD18" s="52">
        <f>-(AC17+AC18)</f>
        <v>-1188800</v>
      </c>
      <c r="AK18" s="17">
        <f>SUM(AK16:AK17)</f>
        <v>59700</v>
      </c>
      <c r="AM18" s="17">
        <f>SUM(AM16:AM17)</f>
        <v>23900</v>
      </c>
      <c r="AO18" s="17">
        <f t="shared" si="0"/>
        <v>83600</v>
      </c>
      <c r="AP18" s="19"/>
      <c r="AY18" s="2" t="s">
        <v>228</v>
      </c>
      <c r="AZ18" t="s">
        <v>217</v>
      </c>
      <c r="BB18" s="24"/>
    </row>
    <row r="19" spans="2:56" x14ac:dyDescent="0.2">
      <c r="B19" s="19"/>
      <c r="D19" s="22">
        <v>25</v>
      </c>
      <c r="E19" t="s">
        <v>48</v>
      </c>
      <c r="F19" s="22">
        <v>396</v>
      </c>
      <c r="G19" s="3">
        <v>5.8</v>
      </c>
      <c r="H19" s="30">
        <v>5.8</v>
      </c>
      <c r="J19" s="29"/>
      <c r="L19" s="29"/>
      <c r="M19" s="22"/>
      <c r="P19" s="11" t="s">
        <v>251</v>
      </c>
      <c r="S19" s="8">
        <f>6800*5%</f>
        <v>340</v>
      </c>
      <c r="T19" s="48" t="s">
        <v>60</v>
      </c>
      <c r="V19" s="8">
        <f>($S$21-$V$16)*2/10</f>
        <v>1530</v>
      </c>
      <c r="Z19" t="s">
        <v>87</v>
      </c>
      <c r="AB19" s="19"/>
      <c r="AD19" s="18">
        <f>AD10+AD18</f>
        <v>1292700</v>
      </c>
      <c r="AJ19" t="s">
        <v>86</v>
      </c>
      <c r="AK19" s="18">
        <f>-(AK18+AL19)</f>
        <v>-22500</v>
      </c>
      <c r="AL19" s="1">
        <f>-AL10*30/100</f>
        <v>-37200</v>
      </c>
      <c r="AM19" s="18">
        <f>-(AM18+AN19)</f>
        <v>-3500</v>
      </c>
      <c r="AN19" s="1">
        <f>-AN10*30/100</f>
        <v>-20400</v>
      </c>
      <c r="AO19" s="19">
        <f t="shared" si="0"/>
        <v>-26000</v>
      </c>
      <c r="AP19" s="19">
        <f>AL19+AN19</f>
        <v>-57600</v>
      </c>
      <c r="AR19" t="s">
        <v>205</v>
      </c>
      <c r="AZ19" s="2" t="s">
        <v>166</v>
      </c>
      <c r="BA19" s="8">
        <v>450</v>
      </c>
      <c r="BB19" s="24"/>
    </row>
    <row r="20" spans="2:56" x14ac:dyDescent="0.2">
      <c r="B20" s="19"/>
      <c r="D20" s="22">
        <v>29</v>
      </c>
      <c r="E20" t="s">
        <v>25</v>
      </c>
      <c r="F20" s="22">
        <v>397</v>
      </c>
      <c r="G20" s="3">
        <v>100</v>
      </c>
      <c r="H20" s="29"/>
      <c r="J20" s="29"/>
      <c r="L20" s="30">
        <v>100</v>
      </c>
      <c r="M20" s="22" t="s">
        <v>32</v>
      </c>
      <c r="T20" s="48" t="s">
        <v>61</v>
      </c>
      <c r="V20" s="8">
        <f>($S$21-$V$16)*3/10</f>
        <v>2295</v>
      </c>
      <c r="Z20" t="s">
        <v>88</v>
      </c>
      <c r="AA20" s="10" t="s">
        <v>89</v>
      </c>
      <c r="AB20" s="19"/>
      <c r="AD20" s="19"/>
      <c r="AI20" t="s">
        <v>87</v>
      </c>
      <c r="AK20" s="17"/>
      <c r="AL20" s="55">
        <f>AL10*70%</f>
        <v>86800</v>
      </c>
      <c r="AM20" s="17"/>
      <c r="AN20" s="55">
        <f>AN10*70%</f>
        <v>47600</v>
      </c>
      <c r="AO20" s="17"/>
      <c r="AP20" s="17">
        <f>AL20+AN20</f>
        <v>134400</v>
      </c>
      <c r="AR20" s="57" t="s">
        <v>153</v>
      </c>
      <c r="AS20" s="57"/>
      <c r="AT20" s="57"/>
      <c r="AU20" s="57"/>
      <c r="AV20" s="57"/>
      <c r="AW20" s="57"/>
      <c r="AZ20" s="2" t="s">
        <v>181</v>
      </c>
      <c r="BA20" s="8">
        <f>(BD9+BD10)*8%</f>
        <v>7000</v>
      </c>
      <c r="BB20" s="24"/>
    </row>
    <row r="21" spans="2:56" ht="17" thickBot="1" x14ac:dyDescent="0.25">
      <c r="B21" s="19"/>
      <c r="D21" s="22"/>
      <c r="F21" s="22"/>
      <c r="G21" s="31">
        <f t="shared" ref="G21:L21" si="1">SUM(G8:G20)</f>
        <v>459</v>
      </c>
      <c r="H21" s="34">
        <f t="shared" si="1"/>
        <v>34.4</v>
      </c>
      <c r="I21" s="35">
        <f t="shared" si="1"/>
        <v>104.8</v>
      </c>
      <c r="J21" s="34">
        <f t="shared" si="1"/>
        <v>62.5</v>
      </c>
      <c r="K21" s="35">
        <f t="shared" si="1"/>
        <v>157.30000000000001</v>
      </c>
      <c r="L21" s="34">
        <f t="shared" si="1"/>
        <v>100</v>
      </c>
      <c r="M21" s="22"/>
      <c r="S21" s="47">
        <f>SUM(S16:S20)</f>
        <v>7980</v>
      </c>
      <c r="T21" s="24"/>
      <c r="V21" s="47">
        <f>SUM(V16:V20)</f>
        <v>7980</v>
      </c>
      <c r="AA21" s="10" t="s">
        <v>90</v>
      </c>
      <c r="AB21" s="19"/>
      <c r="AC21" s="8">
        <v>3400</v>
      </c>
      <c r="AD21" s="19"/>
      <c r="AI21" t="s">
        <v>88</v>
      </c>
      <c r="AJ21" t="s">
        <v>89</v>
      </c>
      <c r="AK21" s="19"/>
      <c r="AM21" s="19"/>
      <c r="AO21" s="19"/>
      <c r="AP21" s="19"/>
      <c r="AR21" s="2" t="s">
        <v>14</v>
      </c>
      <c r="AT21" s="1" t="s">
        <v>13</v>
      </c>
      <c r="AU21" s="48" t="s">
        <v>14</v>
      </c>
      <c r="AW21" s="1" t="s">
        <v>13</v>
      </c>
      <c r="AZ21" s="2" t="s">
        <v>229</v>
      </c>
      <c r="BA21" s="8">
        <f>BD9*5%</f>
        <v>2530</v>
      </c>
      <c r="BB21" s="24"/>
    </row>
    <row r="22" spans="2:56" ht="17" thickTop="1" x14ac:dyDescent="0.2">
      <c r="B22" s="19"/>
      <c r="D22" s="22"/>
      <c r="E22" t="s">
        <v>26</v>
      </c>
      <c r="F22" s="22"/>
      <c r="G22" s="3">
        <f>B23-G21</f>
        <v>30.199999999999989</v>
      </c>
      <c r="H22" s="29" t="s">
        <v>28</v>
      </c>
      <c r="I22" s="3" t="s">
        <v>29</v>
      </c>
      <c r="J22" s="29" t="s">
        <v>30</v>
      </c>
      <c r="K22" s="3" t="s">
        <v>31</v>
      </c>
      <c r="L22" s="29"/>
      <c r="M22" s="22"/>
      <c r="AA22" s="10" t="s">
        <v>91</v>
      </c>
      <c r="AB22" s="19"/>
      <c r="AC22" s="8">
        <f>5750-(105000-8000)*5%</f>
        <v>900</v>
      </c>
      <c r="AD22" s="19"/>
      <c r="AJ22" t="s">
        <v>135</v>
      </c>
      <c r="AK22" s="19"/>
      <c r="AL22" s="8">
        <f>AP22*2/3</f>
        <v>2800</v>
      </c>
      <c r="AM22" s="19"/>
      <c r="AN22" s="8">
        <f>AP22*1/3</f>
        <v>1400</v>
      </c>
      <c r="AO22" s="19"/>
      <c r="AP22" s="19">
        <f>3000+1200</f>
        <v>4200</v>
      </c>
      <c r="AR22" s="2" t="s">
        <v>155</v>
      </c>
      <c r="AS22" t="s">
        <v>156</v>
      </c>
      <c r="AT22" s="8">
        <v>4200</v>
      </c>
      <c r="AU22" s="48" t="s">
        <v>163</v>
      </c>
      <c r="AV22" t="s">
        <v>146</v>
      </c>
      <c r="AW22" s="8">
        <v>3300</v>
      </c>
      <c r="AY22" s="2" t="s">
        <v>231</v>
      </c>
      <c r="AZ22" t="s">
        <v>180</v>
      </c>
      <c r="BB22" s="24"/>
    </row>
    <row r="23" spans="2:56" ht="17" thickBot="1" x14ac:dyDescent="0.25">
      <c r="B23" s="36">
        <f>SUM(B8:B22)</f>
        <v>489.2</v>
      </c>
      <c r="D23" s="22"/>
      <c r="F23" s="22"/>
      <c r="G23" s="34">
        <f>SUM(G21:G22)</f>
        <v>489.2</v>
      </c>
      <c r="H23" s="29"/>
      <c r="J23" s="29"/>
      <c r="L23" s="29"/>
      <c r="M23" s="22"/>
      <c r="O23" s="62" t="s">
        <v>265</v>
      </c>
      <c r="P23" s="62"/>
      <c r="Q23" s="62"/>
      <c r="R23" s="62"/>
      <c r="S23" s="62"/>
      <c r="T23" s="62"/>
      <c r="U23" s="62"/>
      <c r="V23" s="62"/>
      <c r="W23" s="62"/>
      <c r="X23" s="77"/>
      <c r="AA23" s="10" t="s">
        <v>92</v>
      </c>
      <c r="AB23" s="19"/>
      <c r="AC23" s="51">
        <v>3500</v>
      </c>
      <c r="AD23" s="52">
        <f>SUM(AC21:AC23)</f>
        <v>7800</v>
      </c>
      <c r="AK23" s="19"/>
      <c r="AL23" s="17">
        <f>AL20+AL22</f>
        <v>89600</v>
      </c>
      <c r="AM23" s="19"/>
      <c r="AN23" s="17">
        <f>AN20+AN22</f>
        <v>49000</v>
      </c>
      <c r="AO23" s="19"/>
      <c r="AP23" s="17">
        <f>AP20+AP22</f>
        <v>138600</v>
      </c>
      <c r="AR23" s="2" t="s">
        <v>158</v>
      </c>
      <c r="AS23" t="s">
        <v>17</v>
      </c>
      <c r="AU23" s="48" t="s">
        <v>169</v>
      </c>
      <c r="AV23" t="s">
        <v>171</v>
      </c>
      <c r="AW23" s="8">
        <v>2000</v>
      </c>
      <c r="AZ23" s="2" t="s">
        <v>230</v>
      </c>
      <c r="BA23" s="8">
        <f>BD24-SUM(BA7:BA22)</f>
        <v>36338.966666666674</v>
      </c>
      <c r="BB23" s="24"/>
    </row>
    <row r="24" spans="2:56" ht="18" thickTop="1" thickBot="1" x14ac:dyDescent="0.25">
      <c r="B24" s="18">
        <f>G22</f>
        <v>30.199999999999989</v>
      </c>
      <c r="D24" s="22"/>
      <c r="E24" t="s">
        <v>16</v>
      </c>
      <c r="F24" s="22"/>
      <c r="H24" s="29"/>
      <c r="J24" s="29"/>
      <c r="L24" s="29"/>
      <c r="M24" s="22"/>
      <c r="P24" s="14" t="s">
        <v>62</v>
      </c>
      <c r="Q24" s="14" t="s">
        <v>63</v>
      </c>
      <c r="R24" s="14" t="s">
        <v>64</v>
      </c>
      <c r="S24" s="14" t="s">
        <v>252</v>
      </c>
      <c r="U24" s="14" t="s">
        <v>62</v>
      </c>
      <c r="V24" s="14" t="s">
        <v>63</v>
      </c>
      <c r="W24" s="14" t="s">
        <v>64</v>
      </c>
      <c r="X24" s="14" t="s">
        <v>252</v>
      </c>
      <c r="AB24" s="19"/>
      <c r="AD24" s="19">
        <f>AD19+AD23</f>
        <v>1300500</v>
      </c>
      <c r="AI24" t="s">
        <v>78</v>
      </c>
      <c r="AJ24" t="s">
        <v>94</v>
      </c>
      <c r="AK24" s="19"/>
      <c r="AM24" s="19"/>
      <c r="AO24" s="19"/>
      <c r="AP24" s="19"/>
      <c r="AS24" s="2" t="s">
        <v>159</v>
      </c>
      <c r="AT24" s="8">
        <f>1400/4</f>
        <v>350</v>
      </c>
      <c r="AU24" s="48" t="s">
        <v>172</v>
      </c>
      <c r="AV24" t="s">
        <v>162</v>
      </c>
      <c r="AW24" s="8">
        <v>3500</v>
      </c>
      <c r="BA24" s="47">
        <f>SUM(BA7:BA23)</f>
        <v>95508.966666666674</v>
      </c>
      <c r="BB24" s="24"/>
      <c r="BD24" s="47">
        <f>SUM(BD7:BD23)</f>
        <v>95508.966666666674</v>
      </c>
    </row>
    <row r="25" spans="2:56" ht="17" thickTop="1" x14ac:dyDescent="0.2">
      <c r="B25" s="18">
        <f>280-B24</f>
        <v>249.8</v>
      </c>
      <c r="C25" t="s">
        <v>27</v>
      </c>
      <c r="D25" s="22"/>
      <c r="E25" t="s">
        <v>17</v>
      </c>
      <c r="F25" s="22"/>
      <c r="H25" s="29"/>
      <c r="J25" s="29"/>
      <c r="L25" s="29"/>
      <c r="M25" s="22"/>
      <c r="P25" s="17" t="s">
        <v>13</v>
      </c>
      <c r="Q25" s="1" t="s">
        <v>13</v>
      </c>
      <c r="R25" s="17" t="s">
        <v>13</v>
      </c>
      <c r="S25" s="19" t="s">
        <v>13</v>
      </c>
      <c r="U25" s="17" t="s">
        <v>13</v>
      </c>
      <c r="V25" s="1" t="s">
        <v>13</v>
      </c>
      <c r="W25" s="17" t="s">
        <v>13</v>
      </c>
      <c r="X25" s="19" t="s">
        <v>13</v>
      </c>
      <c r="Z25" s="1" t="s">
        <v>93</v>
      </c>
      <c r="AA25" s="11" t="s">
        <v>94</v>
      </c>
      <c r="AB25" s="19"/>
      <c r="AD25" s="19"/>
      <c r="AJ25" t="s">
        <v>95</v>
      </c>
      <c r="AK25" s="18">
        <f>AO25*AL10/AP10</f>
        <v>1550</v>
      </c>
      <c r="AM25" s="18">
        <f>AO25*AN10/AP10</f>
        <v>850</v>
      </c>
      <c r="AO25" s="19">
        <v>2400</v>
      </c>
      <c r="AP25" s="19"/>
      <c r="AS25" s="2" t="s">
        <v>160</v>
      </c>
      <c r="AT25" s="8">
        <v>280</v>
      </c>
      <c r="AU25" s="48" t="s">
        <v>175</v>
      </c>
      <c r="AV25" t="s">
        <v>177</v>
      </c>
      <c r="AW25" s="8">
        <f>4200/1400*24</f>
        <v>72</v>
      </c>
      <c r="AY25" s="2" t="s">
        <v>239</v>
      </c>
      <c r="BB25" s="24"/>
    </row>
    <row r="26" spans="2:56" x14ac:dyDescent="0.2">
      <c r="B26" s="19"/>
      <c r="D26" s="22"/>
      <c r="F26" s="22"/>
      <c r="H26" s="29"/>
      <c r="J26" s="29"/>
      <c r="L26" s="29"/>
      <c r="M26" s="22"/>
      <c r="O26" t="s">
        <v>65</v>
      </c>
      <c r="P26" s="19"/>
      <c r="Q26" s="8">
        <v>1340</v>
      </c>
      <c r="R26" s="19"/>
      <c r="S26" s="19"/>
      <c r="T26" t="s">
        <v>16</v>
      </c>
      <c r="U26" s="18">
        <v>40000</v>
      </c>
      <c r="V26" s="8">
        <v>10000</v>
      </c>
      <c r="W26" s="18">
        <v>20000</v>
      </c>
      <c r="X26" s="70"/>
      <c r="AA26" s="10" t="s">
        <v>95</v>
      </c>
      <c r="AB26" s="19"/>
      <c r="AC26" s="8">
        <v>34000</v>
      </c>
      <c r="AD26" s="19"/>
      <c r="AJ26" t="s">
        <v>136</v>
      </c>
      <c r="AK26" s="18">
        <f>AO26*3/5</f>
        <v>240</v>
      </c>
      <c r="AM26" s="18">
        <f>AO26*2/5</f>
        <v>160</v>
      </c>
      <c r="AO26" s="19">
        <v>400</v>
      </c>
      <c r="AP26" s="19"/>
      <c r="AR26" s="2" t="s">
        <v>168</v>
      </c>
      <c r="AS26" t="s">
        <v>146</v>
      </c>
      <c r="AU26" s="24"/>
      <c r="AY26" s="2" t="s">
        <v>70</v>
      </c>
      <c r="AZ26" t="s">
        <v>240</v>
      </c>
      <c r="BA26" s="8">
        <f>BD11</f>
        <v>6408.9666666666672</v>
      </c>
      <c r="BB26" s="24"/>
    </row>
    <row r="27" spans="2:56" x14ac:dyDescent="0.2">
      <c r="O27" t="s">
        <v>67</v>
      </c>
      <c r="P27" s="19">
        <f>V18</f>
        <v>3825</v>
      </c>
      <c r="Q27" s="1">
        <f>V19</f>
        <v>1530</v>
      </c>
      <c r="R27" s="19">
        <f>V20</f>
        <v>2295</v>
      </c>
      <c r="S27" s="19"/>
      <c r="T27" t="s">
        <v>65</v>
      </c>
      <c r="U27" s="18">
        <v>6990</v>
      </c>
      <c r="W27" s="18">
        <v>1270</v>
      </c>
      <c r="X27" s="70"/>
      <c r="AA27" s="10" t="s">
        <v>96</v>
      </c>
      <c r="AB27" s="19"/>
      <c r="AC27" s="8">
        <f>15800-3000</f>
        <v>12800</v>
      </c>
      <c r="AD27" s="19"/>
      <c r="AJ27" t="s">
        <v>97</v>
      </c>
      <c r="AK27" s="18">
        <f>AO27*2/3</f>
        <v>13600</v>
      </c>
      <c r="AM27" s="18">
        <f>AO27*1/3</f>
        <v>6800</v>
      </c>
      <c r="AO27" s="19">
        <v>20400</v>
      </c>
      <c r="AP27" s="19"/>
      <c r="AS27" s="2" t="s">
        <v>167</v>
      </c>
      <c r="AT27" s="8">
        <f>AW22/4</f>
        <v>825</v>
      </c>
      <c r="AU27" s="24"/>
    </row>
    <row r="28" spans="2:56" x14ac:dyDescent="0.2">
      <c r="O28" t="s">
        <v>68</v>
      </c>
      <c r="P28" s="19"/>
      <c r="Q28" s="8">
        <v>3400</v>
      </c>
      <c r="R28" s="19"/>
      <c r="S28" s="19"/>
      <c r="T28" t="s">
        <v>66</v>
      </c>
      <c r="U28" s="19">
        <f>S8</f>
        <v>2500</v>
      </c>
      <c r="V28" s="1">
        <f>S9</f>
        <v>1000</v>
      </c>
      <c r="W28" s="19">
        <f>S10</f>
        <v>1500</v>
      </c>
      <c r="X28" s="70"/>
      <c r="AA28" s="10" t="s">
        <v>97</v>
      </c>
      <c r="AB28" s="19"/>
      <c r="AC28" s="8">
        <v>143200</v>
      </c>
      <c r="AD28" s="19"/>
      <c r="AJ28" t="s">
        <v>96</v>
      </c>
      <c r="AK28" s="18">
        <f>AO28*3/4</f>
        <v>3525</v>
      </c>
      <c r="AM28" s="18">
        <f>AO28*1/4</f>
        <v>1175</v>
      </c>
      <c r="AO28" s="19">
        <f>5600-900</f>
        <v>4700</v>
      </c>
      <c r="AP28" s="19"/>
      <c r="AR28" s="2" t="s">
        <v>172</v>
      </c>
      <c r="AS28" t="s">
        <v>174</v>
      </c>
      <c r="AT28" s="8">
        <v>330</v>
      </c>
      <c r="AU28" s="24"/>
      <c r="AY28" s="57" t="s">
        <v>242</v>
      </c>
      <c r="AZ28" s="57"/>
      <c r="BA28" s="57"/>
      <c r="BB28" s="57"/>
      <c r="BC28" s="57"/>
      <c r="BD28" s="57"/>
    </row>
    <row r="29" spans="2:56" x14ac:dyDescent="0.2">
      <c r="C29" s="65" t="s">
        <v>47</v>
      </c>
      <c r="D29" s="65"/>
      <c r="E29" s="65"/>
      <c r="F29" s="65"/>
      <c r="G29" s="65"/>
      <c r="H29" s="65"/>
      <c r="I29" s="65"/>
      <c r="J29" s="65"/>
      <c r="K29" s="65"/>
      <c r="O29" t="s">
        <v>17</v>
      </c>
      <c r="P29" s="19"/>
      <c r="Q29" s="8">
        <v>3000</v>
      </c>
      <c r="R29" s="19"/>
      <c r="S29" s="19"/>
      <c r="T29" t="s">
        <v>54</v>
      </c>
      <c r="U29" s="19"/>
      <c r="W29" s="19"/>
      <c r="X29" s="18">
        <v>28500</v>
      </c>
      <c r="AA29" s="10" t="s">
        <v>98</v>
      </c>
      <c r="AB29" s="19"/>
      <c r="AC29" s="8">
        <v>18750</v>
      </c>
      <c r="AD29" s="19"/>
      <c r="AJ29" t="s">
        <v>137</v>
      </c>
      <c r="AK29" s="18">
        <f>AO29*3/4</f>
        <v>1650</v>
      </c>
      <c r="AM29" s="18">
        <f>AO29*1/4</f>
        <v>550</v>
      </c>
      <c r="AO29" s="19">
        <v>2200</v>
      </c>
      <c r="AP29" s="19"/>
      <c r="AR29" s="2" t="s">
        <v>175</v>
      </c>
      <c r="AS29" t="s">
        <v>180</v>
      </c>
      <c r="AU29" s="24"/>
      <c r="AY29" s="2" t="s">
        <v>14</v>
      </c>
      <c r="BA29" s="1" t="s">
        <v>13</v>
      </c>
      <c r="BB29" s="56" t="s">
        <v>14</v>
      </c>
      <c r="BD29" s="1" t="s">
        <v>13</v>
      </c>
    </row>
    <row r="30" spans="2:56" x14ac:dyDescent="0.2">
      <c r="C30" s="37"/>
      <c r="D30" s="37"/>
      <c r="E30" s="37"/>
      <c r="F30" s="37"/>
      <c r="G30" s="33" t="s">
        <v>13</v>
      </c>
      <c r="H30" s="38" t="s">
        <v>14</v>
      </c>
      <c r="I30" s="33"/>
      <c r="J30" s="33"/>
      <c r="K30" s="33" t="s">
        <v>13</v>
      </c>
      <c r="O30" t="s">
        <v>69</v>
      </c>
      <c r="P30" s="19"/>
      <c r="Q30" s="8">
        <f>V32-SUM(Q26:Q29)</f>
        <v>1730</v>
      </c>
      <c r="R30" s="19"/>
      <c r="S30" s="19"/>
      <c r="T30" t="s">
        <v>57</v>
      </c>
      <c r="U30" s="19"/>
      <c r="W30" s="19"/>
      <c r="X30" s="18">
        <v>3545</v>
      </c>
      <c r="AA30" s="10" t="s">
        <v>99</v>
      </c>
      <c r="AB30" s="19"/>
      <c r="AC30" s="8">
        <v>56000</v>
      </c>
      <c r="AD30" s="19"/>
      <c r="AJ30" t="s">
        <v>138</v>
      </c>
      <c r="AK30" s="18">
        <f>AO30*3/4</f>
        <v>630</v>
      </c>
      <c r="AM30" s="18">
        <f>AO30*1/4</f>
        <v>210</v>
      </c>
      <c r="AO30" s="19">
        <v>840</v>
      </c>
      <c r="AP30" s="19"/>
      <c r="AS30" s="2" t="s">
        <v>181</v>
      </c>
      <c r="AT30" s="8">
        <f>(AW22+AW24)*5%</f>
        <v>340</v>
      </c>
      <c r="AU30" s="24"/>
      <c r="AY30" s="2" t="s">
        <v>222</v>
      </c>
      <c r="AZ30" t="s">
        <v>233</v>
      </c>
      <c r="BB30" s="48" t="s">
        <v>234</v>
      </c>
      <c r="BC30" t="s">
        <v>233</v>
      </c>
    </row>
    <row r="31" spans="2:56" x14ac:dyDescent="0.2">
      <c r="H31" s="39" t="s">
        <v>15</v>
      </c>
      <c r="I31" s="3" t="s">
        <v>33</v>
      </c>
      <c r="K31" s="6">
        <f>B9</f>
        <v>185</v>
      </c>
      <c r="O31" t="s">
        <v>26</v>
      </c>
      <c r="P31" s="19">
        <f>U32-P27</f>
        <v>45665</v>
      </c>
      <c r="R31" s="19">
        <f>W32-R27</f>
        <v>20475</v>
      </c>
      <c r="S31" s="19">
        <f>X32</f>
        <v>37045</v>
      </c>
      <c r="T31" t="s">
        <v>17</v>
      </c>
      <c r="U31" s="19"/>
      <c r="W31" s="19"/>
      <c r="X31" s="18">
        <v>5000</v>
      </c>
      <c r="AA31" s="10" t="s">
        <v>100</v>
      </c>
      <c r="AB31" s="19"/>
      <c r="AC31" s="8">
        <f>500000*5%</f>
        <v>25000</v>
      </c>
      <c r="AD31" s="19"/>
      <c r="AJ31" t="s">
        <v>139</v>
      </c>
      <c r="AK31" s="18">
        <f>AO31*3/5</f>
        <v>600</v>
      </c>
      <c r="AM31" s="18">
        <f>AO31*2/5</f>
        <v>400</v>
      </c>
      <c r="AO31" s="19">
        <v>1000</v>
      </c>
      <c r="AP31" s="19"/>
      <c r="AS31" s="2" t="s">
        <v>182</v>
      </c>
      <c r="AT31" s="1">
        <f>AT51</f>
        <v>2364</v>
      </c>
      <c r="AU31" s="24"/>
      <c r="AZ31" s="2" t="s">
        <v>223</v>
      </c>
      <c r="BA31" s="8">
        <f>220*230</f>
        <v>50600</v>
      </c>
      <c r="BB31" s="24"/>
      <c r="BC31" s="2" t="s">
        <v>218</v>
      </c>
      <c r="BD31" s="8">
        <v>820</v>
      </c>
    </row>
    <row r="32" spans="2:56" ht="17" thickBot="1" x14ac:dyDescent="0.25">
      <c r="H32" s="39" t="s">
        <v>34</v>
      </c>
      <c r="I32" s="3" t="s">
        <v>33</v>
      </c>
      <c r="K32" s="6">
        <f>B16</f>
        <v>239.2</v>
      </c>
      <c r="P32" s="36">
        <f>SUM(P26:P31)</f>
        <v>49490</v>
      </c>
      <c r="Q32" s="47">
        <f>SUM(Q26:Q31)</f>
        <v>11000</v>
      </c>
      <c r="R32" s="36">
        <f>SUM(R26:R31)</f>
        <v>22770</v>
      </c>
      <c r="S32" s="36">
        <f>SUM(S26:S31)</f>
        <v>37045</v>
      </c>
      <c r="U32" s="36">
        <f>SUM(U26:U31)</f>
        <v>49490</v>
      </c>
      <c r="V32" s="47">
        <f>SUM(V26:V31)</f>
        <v>11000</v>
      </c>
      <c r="W32" s="36">
        <f>SUM(W26:W31)</f>
        <v>22770</v>
      </c>
      <c r="X32" s="36">
        <f>SUM(X26:X31)</f>
        <v>37045</v>
      </c>
      <c r="AA32" s="10" t="s">
        <v>101</v>
      </c>
      <c r="AB32" s="19"/>
      <c r="AC32" s="8">
        <v>200000</v>
      </c>
      <c r="AD32" s="19"/>
      <c r="AJ32" t="s">
        <v>104</v>
      </c>
      <c r="AK32" s="19"/>
      <c r="AM32" s="19"/>
      <c r="AO32" s="19"/>
      <c r="AP32" s="19"/>
      <c r="AR32" s="2" t="s">
        <v>175</v>
      </c>
      <c r="AS32" t="s">
        <v>203</v>
      </c>
      <c r="AT32" s="8">
        <f>AW33-SUM(AT22:AT31)</f>
        <v>183</v>
      </c>
      <c r="AU32" s="24"/>
      <c r="AZ32" s="2" t="s">
        <v>224</v>
      </c>
      <c r="BA32" s="8">
        <f>180*205</f>
        <v>36900</v>
      </c>
      <c r="BB32" s="24"/>
      <c r="BC32" s="2" t="s">
        <v>219</v>
      </c>
      <c r="BD32" s="8">
        <v>2100</v>
      </c>
    </row>
    <row r="33" spans="6:56" ht="18" thickTop="1" thickBot="1" x14ac:dyDescent="0.25">
      <c r="H33" s="39" t="s">
        <v>35</v>
      </c>
      <c r="I33" s="4" t="s">
        <v>36</v>
      </c>
      <c r="K33" s="6">
        <v>450</v>
      </c>
      <c r="P33" s="19"/>
      <c r="R33" s="19"/>
      <c r="S33" s="19"/>
      <c r="T33" t="s">
        <v>16</v>
      </c>
      <c r="U33" s="18">
        <f>P31</f>
        <v>45665</v>
      </c>
      <c r="W33" s="18">
        <f>R31</f>
        <v>20475</v>
      </c>
      <c r="X33" s="18">
        <f>S31</f>
        <v>37045</v>
      </c>
      <c r="AA33" s="10" t="s">
        <v>102</v>
      </c>
      <c r="AB33" s="19"/>
      <c r="AC33" s="8">
        <f>240000+15000</f>
        <v>255000</v>
      </c>
      <c r="AD33" s="19"/>
      <c r="AJ33" s="2" t="s">
        <v>140</v>
      </c>
      <c r="AK33" s="18">
        <f t="shared" ref="AK33:AK35" si="2">AO33*3/5</f>
        <v>1800</v>
      </c>
      <c r="AM33" s="18">
        <f t="shared" ref="AM33:AM35" si="3">AO33*2/5</f>
        <v>1200</v>
      </c>
      <c r="AO33" s="19">
        <f>(25000-1000)/8</f>
        <v>3000</v>
      </c>
      <c r="AP33" s="19"/>
      <c r="AT33" s="47">
        <f>SUM(AT22:AT32)</f>
        <v>8872</v>
      </c>
      <c r="AU33" s="24"/>
      <c r="AW33" s="47">
        <f>SUM(AW22:AW32)</f>
        <v>8872</v>
      </c>
      <c r="BB33" s="24"/>
      <c r="BC33" s="2" t="s">
        <v>220</v>
      </c>
      <c r="BD33" s="8">
        <f>500*5</f>
        <v>2500</v>
      </c>
    </row>
    <row r="34" spans="6:56" ht="17" thickTop="1" x14ac:dyDescent="0.2">
      <c r="H34" s="39" t="s">
        <v>37</v>
      </c>
      <c r="I34" s="3" t="s">
        <v>33</v>
      </c>
      <c r="K34" s="6">
        <f>B25</f>
        <v>249.8</v>
      </c>
      <c r="P34" s="19"/>
      <c r="R34" s="19"/>
      <c r="S34" s="19"/>
      <c r="U34" s="19"/>
      <c r="W34" s="19"/>
      <c r="X34" s="19"/>
      <c r="AA34" s="10" t="s">
        <v>103</v>
      </c>
      <c r="AB34" s="19"/>
      <c r="AC34" s="8">
        <v>8000</v>
      </c>
      <c r="AD34" s="19"/>
      <c r="AJ34" s="2" t="s">
        <v>141</v>
      </c>
      <c r="AK34" s="18">
        <f t="shared" si="2"/>
        <v>2880</v>
      </c>
      <c r="AM34" s="18">
        <f t="shared" si="3"/>
        <v>1920</v>
      </c>
      <c r="AO34" s="19">
        <f>(60000-12000)*10%</f>
        <v>4800</v>
      </c>
      <c r="AP34" s="19"/>
      <c r="BB34" s="24"/>
      <c r="BC34" s="2" t="s">
        <v>221</v>
      </c>
      <c r="BD34" s="8">
        <v>1150</v>
      </c>
    </row>
    <row r="35" spans="6:56" x14ac:dyDescent="0.2">
      <c r="AA35" s="10" t="s">
        <v>104</v>
      </c>
      <c r="AB35" s="19"/>
      <c r="AD35" s="19"/>
      <c r="AJ35" t="s">
        <v>142</v>
      </c>
      <c r="AK35" s="18">
        <f t="shared" si="2"/>
        <v>480</v>
      </c>
      <c r="AL35" s="1">
        <f>-SUM(AK25:AK35)</f>
        <v>-26955</v>
      </c>
      <c r="AM35" s="18">
        <f t="shared" si="3"/>
        <v>320</v>
      </c>
      <c r="AN35" s="1">
        <f>-SUM(AM25:AM35)</f>
        <v>-13585</v>
      </c>
      <c r="AO35" s="19">
        <f>24000*8%-1120</f>
        <v>800</v>
      </c>
      <c r="AP35" s="19">
        <f>-SUM(AO25:AO35)</f>
        <v>-40540</v>
      </c>
      <c r="AR35" s="58" t="s">
        <v>183</v>
      </c>
      <c r="AS35" s="58"/>
      <c r="AT35" s="58"/>
      <c r="AU35" s="58"/>
      <c r="AV35" s="58"/>
      <c r="AW35" s="58"/>
      <c r="BB35" s="24"/>
      <c r="BC35" s="2" t="s">
        <v>166</v>
      </c>
      <c r="BD35" s="8">
        <v>450</v>
      </c>
    </row>
    <row r="36" spans="6:56" ht="17" thickBot="1" x14ac:dyDescent="0.25">
      <c r="F36" t="s">
        <v>128</v>
      </c>
      <c r="O36" s="72"/>
      <c r="P36" s="73"/>
      <c r="Q36" s="73"/>
      <c r="R36" s="73"/>
      <c r="S36" s="74" t="s">
        <v>253</v>
      </c>
      <c r="T36" s="74"/>
      <c r="U36" s="74"/>
      <c r="V36" s="74"/>
      <c r="W36" s="74"/>
      <c r="X36" s="73"/>
      <c r="AA36" s="12" t="s">
        <v>105</v>
      </c>
      <c r="AB36" s="19"/>
      <c r="AC36" s="8">
        <f>(1240000*5%)+84000*5%*4/12</f>
        <v>63400</v>
      </c>
      <c r="AD36" s="19"/>
      <c r="AI36" t="s">
        <v>108</v>
      </c>
      <c r="AK36" s="17"/>
      <c r="AL36" s="36">
        <f>AL23+AL35</f>
        <v>62645</v>
      </c>
      <c r="AM36" s="17"/>
      <c r="AN36" s="36">
        <f>AN23+AN35</f>
        <v>35415</v>
      </c>
      <c r="AO36" s="17"/>
      <c r="AP36" s="36">
        <f>AP23+AP35</f>
        <v>98060</v>
      </c>
      <c r="AR36" s="57" t="s">
        <v>206</v>
      </c>
      <c r="AS36" s="57"/>
      <c r="AT36" s="57"/>
      <c r="AU36" s="57"/>
      <c r="AV36" s="57"/>
      <c r="AW36" s="57"/>
      <c r="BB36" s="24"/>
      <c r="BC36" s="2" t="s">
        <v>181</v>
      </c>
      <c r="BD36" s="8">
        <f>BA20</f>
        <v>7000</v>
      </c>
    </row>
    <row r="37" spans="6:56" ht="17" thickTop="1" x14ac:dyDescent="0.2">
      <c r="F37" s="58" t="s">
        <v>46</v>
      </c>
      <c r="G37" s="58"/>
      <c r="H37" s="58"/>
      <c r="I37" s="58"/>
      <c r="J37" s="58"/>
      <c r="K37" s="58"/>
      <c r="O37" s="72"/>
      <c r="P37" s="73"/>
      <c r="Q37" s="73"/>
      <c r="R37" s="76"/>
      <c r="S37" s="83" t="s">
        <v>266</v>
      </c>
      <c r="T37" s="83"/>
      <c r="U37" s="83"/>
      <c r="V37" s="83"/>
      <c r="W37" s="83"/>
      <c r="X37" s="76"/>
      <c r="AA37" s="12" t="s">
        <v>106</v>
      </c>
      <c r="AB37" s="19"/>
      <c r="AC37" s="8">
        <f>18000*4/12*5%</f>
        <v>300</v>
      </c>
      <c r="AD37" s="19"/>
      <c r="AT37" s="1" t="s">
        <v>13</v>
      </c>
      <c r="AU37" s="24"/>
      <c r="AW37" s="1" t="s">
        <v>13</v>
      </c>
      <c r="BB37" s="24"/>
      <c r="BC37" s="2" t="s">
        <v>229</v>
      </c>
      <c r="BD37" s="8">
        <f>BA21</f>
        <v>2530</v>
      </c>
    </row>
    <row r="38" spans="6:56" x14ac:dyDescent="0.2">
      <c r="F38" s="16" t="s">
        <v>2</v>
      </c>
      <c r="G38" s="59" t="s">
        <v>4</v>
      </c>
      <c r="H38" s="60"/>
      <c r="I38" s="61"/>
      <c r="J38" s="15" t="s">
        <v>39</v>
      </c>
      <c r="K38" s="15" t="s">
        <v>40</v>
      </c>
      <c r="O38" s="72"/>
      <c r="P38" s="73"/>
      <c r="Q38" s="73"/>
      <c r="R38" s="73"/>
      <c r="S38" s="84" t="s">
        <v>254</v>
      </c>
      <c r="T38" s="84"/>
      <c r="U38" s="84"/>
      <c r="V38" s="84"/>
      <c r="W38" s="84"/>
      <c r="X38" s="73"/>
      <c r="AA38" s="12" t="s">
        <v>107</v>
      </c>
      <c r="AB38" s="19"/>
      <c r="AC38" s="51">
        <f>2500000*0.5%</f>
        <v>12500</v>
      </c>
      <c r="AD38" s="52">
        <f>-SUM(AC26:AC38)</f>
        <v>-828950</v>
      </c>
      <c r="AR38" t="s">
        <v>184</v>
      </c>
      <c r="AT38" s="8">
        <f>AT7</f>
        <v>500</v>
      </c>
      <c r="AU38" s="24" t="s">
        <v>195</v>
      </c>
      <c r="AW38" s="8">
        <f>AW7+AW8+AW9</f>
        <v>7860</v>
      </c>
      <c r="BB38" s="48" t="s">
        <v>235</v>
      </c>
      <c r="BC38" t="s">
        <v>226</v>
      </c>
      <c r="BD38" s="8">
        <v>20000</v>
      </c>
    </row>
    <row r="39" spans="6:56" ht="17" thickBot="1" x14ac:dyDescent="0.25">
      <c r="F39" s="21" t="s">
        <v>14</v>
      </c>
      <c r="G39" s="32"/>
      <c r="I39" s="27"/>
      <c r="J39" s="29" t="s">
        <v>13</v>
      </c>
      <c r="K39" s="29" t="s">
        <v>13</v>
      </c>
      <c r="O39" s="72"/>
      <c r="P39" s="73"/>
      <c r="Q39" s="73"/>
      <c r="R39" s="75"/>
      <c r="S39" s="81" t="s">
        <v>255</v>
      </c>
      <c r="T39" s="72"/>
      <c r="U39" s="69" t="s">
        <v>13</v>
      </c>
      <c r="V39" s="73" t="s">
        <v>13</v>
      </c>
      <c r="W39" s="69" t="s">
        <v>13</v>
      </c>
      <c r="X39" s="73"/>
      <c r="Z39" t="s">
        <v>108</v>
      </c>
      <c r="AB39" s="19"/>
      <c r="AD39" s="36">
        <f>AD24+AD38</f>
        <v>471550</v>
      </c>
      <c r="AI39" s="58" t="s">
        <v>129</v>
      </c>
      <c r="AJ39" s="58"/>
      <c r="AK39" s="58"/>
      <c r="AL39" s="58"/>
      <c r="AM39" s="58"/>
      <c r="AN39" s="58"/>
      <c r="AR39" t="s">
        <v>185</v>
      </c>
      <c r="AT39" s="8">
        <f>AT8</f>
        <v>800</v>
      </c>
      <c r="AU39" s="24" t="s">
        <v>196</v>
      </c>
      <c r="AW39" s="8">
        <f>AW22+AW24</f>
        <v>6800</v>
      </c>
      <c r="BB39" s="48" t="s">
        <v>228</v>
      </c>
      <c r="BC39" t="s">
        <v>17</v>
      </c>
      <c r="BD39" s="8">
        <f>BA40-SUM(BD30:BD38)</f>
        <v>50950</v>
      </c>
    </row>
    <row r="40" spans="6:56" ht="18" thickTop="1" thickBot="1" x14ac:dyDescent="0.25">
      <c r="F40" s="21" t="s">
        <v>41</v>
      </c>
      <c r="G40" s="42" t="s">
        <v>42</v>
      </c>
      <c r="I40" s="27"/>
      <c r="J40" s="30">
        <v>800</v>
      </c>
      <c r="K40" s="29"/>
      <c r="O40" s="72"/>
      <c r="P40" s="73"/>
      <c r="Q40" s="73"/>
      <c r="R40" s="75"/>
      <c r="S40" s="81" t="s">
        <v>54</v>
      </c>
      <c r="T40" s="72"/>
      <c r="U40" s="70"/>
      <c r="V40" s="73"/>
      <c r="W40" s="18">
        <f>67000*90%+28500</f>
        <v>88800</v>
      </c>
      <c r="X40" s="73"/>
      <c r="AI40" s="58" t="s">
        <v>149</v>
      </c>
      <c r="AJ40" s="58"/>
      <c r="AK40" s="58"/>
      <c r="AL40" s="58"/>
      <c r="AM40" s="58"/>
      <c r="AN40" s="58"/>
      <c r="AR40" t="s">
        <v>186</v>
      </c>
      <c r="AT40" s="8">
        <f>AT10</f>
        <v>48</v>
      </c>
      <c r="AU40" s="24" t="s">
        <v>185</v>
      </c>
      <c r="AW40" s="8">
        <f>AW10</f>
        <v>760</v>
      </c>
      <c r="BA40" s="47">
        <f>SUM(BA30:BA39)</f>
        <v>87500</v>
      </c>
      <c r="BB40" s="24"/>
      <c r="BD40" s="47">
        <f>SUM(BD30:BD39)</f>
        <v>87500</v>
      </c>
    </row>
    <row r="41" spans="6:56" ht="17" thickTop="1" x14ac:dyDescent="0.2">
      <c r="F41" s="22"/>
      <c r="G41" s="42" t="s">
        <v>43</v>
      </c>
      <c r="I41" s="27"/>
      <c r="J41" s="29"/>
      <c r="K41" s="30">
        <v>800</v>
      </c>
      <c r="O41" s="72"/>
      <c r="P41" s="73"/>
      <c r="Q41" s="73"/>
      <c r="R41" s="73"/>
      <c r="S41" s="82" t="s">
        <v>55</v>
      </c>
      <c r="T41" s="72"/>
      <c r="U41" s="70"/>
      <c r="V41" s="73"/>
      <c r="W41" s="18">
        <f>10800*95%</f>
        <v>10260</v>
      </c>
      <c r="X41" s="73"/>
      <c r="AI41" s="57" t="s">
        <v>143</v>
      </c>
      <c r="AJ41" s="57"/>
      <c r="AK41" s="57"/>
      <c r="AL41" s="57"/>
      <c r="AM41" s="57"/>
      <c r="AN41" s="57"/>
      <c r="AR41" t="s">
        <v>187</v>
      </c>
      <c r="AT41" s="8">
        <f>AT12</f>
        <v>460</v>
      </c>
      <c r="AU41" s="24" t="s">
        <v>197</v>
      </c>
      <c r="AW41" s="8">
        <f>AW11</f>
        <v>126</v>
      </c>
    </row>
    <row r="42" spans="6:56" x14ac:dyDescent="0.2">
      <c r="F42" s="22"/>
      <c r="G42" s="32"/>
      <c r="I42" s="27"/>
      <c r="J42" s="29"/>
      <c r="K42" s="29"/>
      <c r="O42" s="72"/>
      <c r="P42" s="73"/>
      <c r="Q42" s="73"/>
      <c r="R42" s="73"/>
      <c r="S42" s="82" t="s">
        <v>66</v>
      </c>
      <c r="T42" s="72"/>
      <c r="U42" s="70"/>
      <c r="V42" s="73"/>
      <c r="W42" s="49">
        <v>15000</v>
      </c>
      <c r="X42" s="73"/>
      <c r="Z42" s="58" t="s">
        <v>75</v>
      </c>
      <c r="AA42" s="58"/>
      <c r="AB42" s="58"/>
      <c r="AC42" s="58"/>
      <c r="AD42" s="58"/>
      <c r="AE42" s="58"/>
      <c r="AF42" s="58"/>
      <c r="AG42" s="58"/>
      <c r="AL42" s="17" t="s">
        <v>13</v>
      </c>
      <c r="AM42" s="1" t="s">
        <v>13</v>
      </c>
      <c r="AN42" s="17" t="s">
        <v>13</v>
      </c>
      <c r="AR42" t="s">
        <v>188</v>
      </c>
      <c r="AT42" s="8">
        <f>AT14</f>
        <v>393</v>
      </c>
      <c r="AU42" s="24" t="s">
        <v>198</v>
      </c>
      <c r="AW42" s="8">
        <f>AW25</f>
        <v>72</v>
      </c>
      <c r="AY42" s="57" t="s">
        <v>243</v>
      </c>
      <c r="AZ42" s="57"/>
      <c r="BA42" s="57"/>
      <c r="BB42" s="57"/>
      <c r="BC42" s="57"/>
      <c r="BD42" s="57"/>
    </row>
    <row r="43" spans="6:56" x14ac:dyDescent="0.2">
      <c r="F43" s="21" t="s">
        <v>44</v>
      </c>
      <c r="G43" s="42" t="s">
        <v>36</v>
      </c>
      <c r="I43" s="27"/>
      <c r="J43" s="30">
        <v>450</v>
      </c>
      <c r="K43" s="29"/>
      <c r="O43" s="72"/>
      <c r="P43" s="73"/>
      <c r="Q43" s="73"/>
      <c r="R43" s="73"/>
      <c r="S43" s="82"/>
      <c r="T43" s="72"/>
      <c r="U43" s="70"/>
      <c r="V43" s="73"/>
      <c r="W43" s="70">
        <f>SUM(W40:W42)</f>
        <v>114060</v>
      </c>
      <c r="X43" s="73"/>
      <c r="Z43" s="58" t="s">
        <v>124</v>
      </c>
      <c r="AA43" s="58"/>
      <c r="AB43" s="58"/>
      <c r="AC43" s="58"/>
      <c r="AD43" s="58"/>
      <c r="AE43" s="58"/>
      <c r="AF43" s="58"/>
      <c r="AG43" s="58"/>
      <c r="AI43" s="10" t="s">
        <v>144</v>
      </c>
      <c r="AL43" s="19">
        <f>-AK19</f>
        <v>22500</v>
      </c>
      <c r="AN43" s="19"/>
      <c r="AR43" t="s">
        <v>189</v>
      </c>
      <c r="AT43" s="8">
        <f>AT30</f>
        <v>340</v>
      </c>
      <c r="AU43" s="24"/>
      <c r="AY43" s="2" t="s">
        <v>14</v>
      </c>
      <c r="BA43" s="1" t="s">
        <v>13</v>
      </c>
      <c r="BB43" s="56" t="s">
        <v>14</v>
      </c>
      <c r="BD43" s="1" t="s">
        <v>13</v>
      </c>
    </row>
    <row r="44" spans="6:56" x14ac:dyDescent="0.2">
      <c r="F44" s="22"/>
      <c r="G44" s="42" t="s">
        <v>45</v>
      </c>
      <c r="I44" s="27"/>
      <c r="J44" s="29"/>
      <c r="K44" s="30">
        <v>450</v>
      </c>
      <c r="O44" s="72"/>
      <c r="P44" s="73"/>
      <c r="Q44" s="73"/>
      <c r="R44" s="73"/>
      <c r="S44" s="82" t="s">
        <v>256</v>
      </c>
      <c r="T44" s="72"/>
      <c r="U44" s="70"/>
      <c r="V44" s="73"/>
      <c r="W44" s="70"/>
      <c r="X44" s="73"/>
      <c r="Z44" s="57" t="s">
        <v>76</v>
      </c>
      <c r="AA44" s="57"/>
      <c r="AB44" s="57"/>
      <c r="AC44" s="57"/>
      <c r="AD44" s="57"/>
      <c r="AE44" s="57"/>
      <c r="AF44" s="57"/>
      <c r="AG44" s="57"/>
      <c r="AI44" s="10" t="s">
        <v>145</v>
      </c>
      <c r="AL44" s="19">
        <f>-AM19</f>
        <v>3500</v>
      </c>
      <c r="AM44" s="8">
        <f>AL43+AL44</f>
        <v>26000</v>
      </c>
      <c r="AN44" s="19"/>
      <c r="AR44" t="s">
        <v>190</v>
      </c>
      <c r="AT44" s="8">
        <f>AT22</f>
        <v>4200</v>
      </c>
      <c r="AU44" s="24"/>
      <c r="AY44" s="2" t="s">
        <v>235</v>
      </c>
      <c r="AZ44" t="s">
        <v>217</v>
      </c>
      <c r="BA44" s="8">
        <v>20000</v>
      </c>
      <c r="BB44" s="48" t="s">
        <v>225</v>
      </c>
      <c r="BC44" t="s">
        <v>17</v>
      </c>
      <c r="BD44" s="8">
        <f>BA44-BD46</f>
        <v>19700</v>
      </c>
    </row>
    <row r="45" spans="6:56" x14ac:dyDescent="0.2">
      <c r="F45" s="41"/>
      <c r="G45" s="43"/>
      <c r="H45" s="40"/>
      <c r="I45" s="44"/>
      <c r="J45" s="45"/>
      <c r="K45" s="45"/>
      <c r="O45" s="72"/>
      <c r="P45" s="73"/>
      <c r="Q45" s="73"/>
      <c r="R45" s="73"/>
      <c r="S45" s="82" t="s">
        <v>57</v>
      </c>
      <c r="T45" s="72"/>
      <c r="U45" s="70"/>
      <c r="V45" s="78">
        <f>2310+3545</f>
        <v>5855</v>
      </c>
      <c r="W45" s="70"/>
      <c r="X45" s="73"/>
      <c r="AB45" s="14" t="s">
        <v>109</v>
      </c>
      <c r="AC45" s="53" t="s">
        <v>110</v>
      </c>
      <c r="AD45" s="14" t="s">
        <v>111</v>
      </c>
      <c r="AE45" s="54" t="s">
        <v>112</v>
      </c>
      <c r="AF45" s="14" t="s">
        <v>113</v>
      </c>
      <c r="AG45" s="14" t="s">
        <v>114</v>
      </c>
      <c r="AI45" s="11" t="s">
        <v>146</v>
      </c>
      <c r="AL45" s="17">
        <v>24000</v>
      </c>
      <c r="AN45" s="19"/>
      <c r="AR45" t="s">
        <v>192</v>
      </c>
      <c r="AT45" s="8">
        <f>AT24</f>
        <v>350</v>
      </c>
      <c r="AU45" s="24"/>
      <c r="BB45" s="24"/>
      <c r="BC45" t="s">
        <v>233</v>
      </c>
    </row>
    <row r="46" spans="6:56" x14ac:dyDescent="0.2">
      <c r="O46" s="72"/>
      <c r="P46" s="73"/>
      <c r="Q46" s="73"/>
      <c r="R46" s="73"/>
      <c r="S46" s="82" t="s">
        <v>146</v>
      </c>
      <c r="T46" s="72"/>
      <c r="U46" s="18">
        <f>6800*95%</f>
        <v>6460</v>
      </c>
      <c r="V46" s="73"/>
      <c r="W46" s="70"/>
      <c r="X46" s="73"/>
      <c r="AB46" s="17" t="s">
        <v>13</v>
      </c>
      <c r="AC46" s="1" t="s">
        <v>13</v>
      </c>
      <c r="AD46" s="17" t="s">
        <v>13</v>
      </c>
      <c r="AE46" s="1" t="s">
        <v>13</v>
      </c>
      <c r="AF46" s="17" t="s">
        <v>13</v>
      </c>
      <c r="AG46" s="17" t="s">
        <v>13</v>
      </c>
      <c r="AI46" s="11" t="s">
        <v>78</v>
      </c>
      <c r="AJ46" s="11" t="s">
        <v>56</v>
      </c>
      <c r="AL46" s="19">
        <f>-(AL45*8%)</f>
        <v>-1920</v>
      </c>
      <c r="AM46" s="8">
        <f>AL45+AL46</f>
        <v>22080</v>
      </c>
      <c r="AN46" s="19"/>
      <c r="AR46" t="s">
        <v>191</v>
      </c>
      <c r="AT46" s="8">
        <f>AT25</f>
        <v>280</v>
      </c>
      <c r="AU46" s="24"/>
      <c r="BB46" s="24"/>
      <c r="BC46" s="2" t="s">
        <v>227</v>
      </c>
      <c r="BD46" s="8">
        <v>300</v>
      </c>
    </row>
    <row r="47" spans="6:56" ht="17" thickBot="1" x14ac:dyDescent="0.25">
      <c r="O47" s="72"/>
      <c r="P47" s="73"/>
      <c r="Q47" s="73"/>
      <c r="R47" s="75"/>
      <c r="S47" s="81" t="s">
        <v>257</v>
      </c>
      <c r="T47" s="72"/>
      <c r="U47" s="49">
        <f>-500</f>
        <v>-500</v>
      </c>
      <c r="V47" s="73">
        <f>U46+U47</f>
        <v>5960</v>
      </c>
      <c r="W47" s="70"/>
      <c r="X47" s="73"/>
      <c r="Z47" t="s">
        <v>115</v>
      </c>
      <c r="AB47" s="18">
        <v>4000000</v>
      </c>
      <c r="AD47" s="18">
        <v>65000</v>
      </c>
      <c r="AF47" s="18">
        <v>80900</v>
      </c>
      <c r="AG47" s="19">
        <f>SUM(AB47:AF47)</f>
        <v>4145900</v>
      </c>
      <c r="AI47" s="10" t="s">
        <v>147</v>
      </c>
      <c r="AL47" s="17"/>
      <c r="AM47" s="8">
        <v>900</v>
      </c>
      <c r="AN47" s="19"/>
      <c r="AR47" t="s">
        <v>193</v>
      </c>
      <c r="AT47" s="8">
        <f>AT27</f>
        <v>825</v>
      </c>
      <c r="AU47" s="24"/>
      <c r="BA47" s="47">
        <v>20000</v>
      </c>
      <c r="BB47" s="24"/>
      <c r="BD47" s="47">
        <v>20000</v>
      </c>
    </row>
    <row r="48" spans="6:56" ht="17" thickTop="1" x14ac:dyDescent="0.2">
      <c r="O48" s="72"/>
      <c r="P48" s="73"/>
      <c r="Q48" s="73"/>
      <c r="R48" s="73"/>
      <c r="S48" s="82" t="s">
        <v>71</v>
      </c>
      <c r="T48" s="72"/>
      <c r="U48" s="70"/>
      <c r="V48" s="78">
        <v>2340</v>
      </c>
      <c r="W48" s="19"/>
      <c r="X48" s="73"/>
      <c r="Z48" t="s">
        <v>116</v>
      </c>
      <c r="AB48" s="18">
        <f>50000*2.5</f>
        <v>125000</v>
      </c>
      <c r="AC48" s="8">
        <f>50000*0.5</f>
        <v>25000</v>
      </c>
      <c r="AD48" s="19"/>
      <c r="AF48" s="19"/>
      <c r="AG48" s="19">
        <f t="shared" ref="AG48:AG52" si="4">SUM(AB48:AF48)</f>
        <v>150000</v>
      </c>
      <c r="AI48" s="10" t="s">
        <v>148</v>
      </c>
      <c r="AL48" s="19"/>
      <c r="AM48" s="8">
        <v>1200</v>
      </c>
      <c r="AN48" s="19">
        <f>SUM(AM43:AM48)</f>
        <v>50180</v>
      </c>
      <c r="AR48" t="s">
        <v>194</v>
      </c>
      <c r="AT48" s="8">
        <f>AT28</f>
        <v>330</v>
      </c>
      <c r="AU48" s="24"/>
    </row>
    <row r="49" spans="15:56" x14ac:dyDescent="0.2">
      <c r="O49" s="72"/>
      <c r="P49" s="73"/>
      <c r="Q49" s="73"/>
      <c r="R49" s="73"/>
      <c r="S49" s="11" t="s">
        <v>17</v>
      </c>
      <c r="U49" s="19"/>
      <c r="V49" s="85">
        <f>-1500-Q29+X31</f>
        <v>500</v>
      </c>
      <c r="W49" s="86">
        <f>SUM(V45:V49)</f>
        <v>14655</v>
      </c>
      <c r="X49" s="73"/>
      <c r="Z49" t="s">
        <v>120</v>
      </c>
      <c r="AB49" s="19"/>
      <c r="AD49" s="19"/>
      <c r="AF49" s="18">
        <f>AD39</f>
        <v>471550</v>
      </c>
      <c r="AG49" s="19">
        <f t="shared" si="4"/>
        <v>471550</v>
      </c>
      <c r="AM49" s="46"/>
      <c r="AR49" t="s">
        <v>199</v>
      </c>
      <c r="AU49" s="24"/>
      <c r="AY49" t="s">
        <v>236</v>
      </c>
    </row>
    <row r="50" spans="15:56" ht="17" thickBot="1" x14ac:dyDescent="0.25">
      <c r="O50" s="72"/>
      <c r="P50" s="73"/>
      <c r="Q50" s="73"/>
      <c r="R50" s="73"/>
      <c r="S50" s="82"/>
      <c r="T50" s="72"/>
      <c r="U50" s="70"/>
      <c r="V50" s="73"/>
      <c r="W50" s="71">
        <f>W49+W43</f>
        <v>128715</v>
      </c>
      <c r="X50" s="73"/>
      <c r="Z50" t="s">
        <v>117</v>
      </c>
      <c r="AB50" s="19"/>
      <c r="AD50" s="18">
        <v>35000</v>
      </c>
      <c r="AF50" s="18">
        <f>-35000</f>
        <v>-35000</v>
      </c>
      <c r="AG50" s="19">
        <f t="shared" si="4"/>
        <v>0</v>
      </c>
      <c r="AR50" s="2" t="s">
        <v>201</v>
      </c>
      <c r="AT50" s="8">
        <f>($AW$52-SUM($AT$38:$AT$48))*2/3</f>
        <v>4728</v>
      </c>
      <c r="AU50" s="24"/>
      <c r="AY50" s="57" t="s">
        <v>244</v>
      </c>
      <c r="AZ50" s="57"/>
      <c r="BA50" s="57"/>
      <c r="BB50" s="57"/>
      <c r="BC50" s="57"/>
      <c r="BD50" s="57"/>
    </row>
    <row r="51" spans="15:56" ht="17" thickTop="1" x14ac:dyDescent="0.2">
      <c r="O51" s="72"/>
      <c r="P51" s="73"/>
      <c r="Q51" s="73"/>
      <c r="R51" s="73"/>
      <c r="S51" s="82" t="s">
        <v>258</v>
      </c>
      <c r="T51" s="72"/>
      <c r="U51" s="70"/>
      <c r="V51" s="73"/>
      <c r="W51" s="70"/>
      <c r="X51" s="73"/>
      <c r="Z51" t="s">
        <v>118</v>
      </c>
      <c r="AB51" s="19"/>
      <c r="AD51" s="19"/>
      <c r="AE51" s="8">
        <v>20000</v>
      </c>
      <c r="AF51" s="18">
        <f>-20000</f>
        <v>-20000</v>
      </c>
      <c r="AG51" s="19">
        <f t="shared" si="4"/>
        <v>0</v>
      </c>
      <c r="AR51" s="2" t="s">
        <v>200</v>
      </c>
      <c r="AT51" s="1">
        <f>($AW$52-SUM($AT$38:$AT$48))*1/3</f>
        <v>2364</v>
      </c>
      <c r="AU51" s="24"/>
      <c r="AY51" s="2" t="s">
        <v>14</v>
      </c>
      <c r="BA51" s="1" t="s">
        <v>13</v>
      </c>
      <c r="BB51" s="56" t="s">
        <v>14</v>
      </c>
      <c r="BD51" s="1" t="s">
        <v>13</v>
      </c>
    </row>
    <row r="52" spans="15:56" ht="17" thickBot="1" x14ac:dyDescent="0.25">
      <c r="O52" s="72"/>
      <c r="P52" s="73"/>
      <c r="Q52" s="73"/>
      <c r="R52" s="73"/>
      <c r="S52" s="82" t="s">
        <v>259</v>
      </c>
      <c r="T52" s="80" t="s">
        <v>59</v>
      </c>
      <c r="U52" s="70"/>
      <c r="V52" s="73"/>
      <c r="W52" s="70">
        <f>P31</f>
        <v>45665</v>
      </c>
      <c r="X52" s="73"/>
      <c r="Z52" t="s">
        <v>119</v>
      </c>
      <c r="AB52" s="19"/>
      <c r="AD52" s="19"/>
      <c r="AF52" s="18">
        <f>-(50000+(1500000*8%))</f>
        <v>-170000</v>
      </c>
      <c r="AG52" s="19">
        <f t="shared" si="4"/>
        <v>-170000</v>
      </c>
      <c r="AT52" s="47">
        <f>SUM(AT38:AT51)</f>
        <v>15618</v>
      </c>
      <c r="AU52" s="24"/>
      <c r="AW52" s="47">
        <f>SUM(AW38:AW51)</f>
        <v>15618</v>
      </c>
      <c r="AY52" s="2" t="s">
        <v>222</v>
      </c>
      <c r="AZ52" t="s">
        <v>237</v>
      </c>
      <c r="BA52" s="8">
        <f>230*220</f>
        <v>50600</v>
      </c>
      <c r="BB52" s="48" t="s">
        <v>228</v>
      </c>
      <c r="BC52" t="s">
        <v>103</v>
      </c>
      <c r="BD52" s="8">
        <v>2300</v>
      </c>
    </row>
    <row r="53" spans="15:56" ht="18" thickTop="1" thickBot="1" x14ac:dyDescent="0.25">
      <c r="O53" s="72"/>
      <c r="P53" s="73"/>
      <c r="Q53" s="73"/>
      <c r="R53" s="73"/>
      <c r="S53" s="82"/>
      <c r="T53" s="80" t="s">
        <v>61</v>
      </c>
      <c r="U53" s="70"/>
      <c r="V53" s="73"/>
      <c r="W53" s="70">
        <f>R31</f>
        <v>20475</v>
      </c>
      <c r="X53" s="73"/>
      <c r="Z53" t="s">
        <v>121</v>
      </c>
      <c r="AB53" s="36">
        <f t="shared" ref="AB53:AG53" si="5">SUM(AB47:AB52)</f>
        <v>4125000</v>
      </c>
      <c r="AC53" s="47">
        <f t="shared" si="5"/>
        <v>25000</v>
      </c>
      <c r="AD53" s="36">
        <f t="shared" si="5"/>
        <v>100000</v>
      </c>
      <c r="AE53" s="47">
        <f t="shared" si="5"/>
        <v>20000</v>
      </c>
      <c r="AF53" s="36">
        <f t="shared" si="5"/>
        <v>327450</v>
      </c>
      <c r="AG53" s="36">
        <f t="shared" si="5"/>
        <v>4597450</v>
      </c>
      <c r="BB53" s="48" t="s">
        <v>228</v>
      </c>
      <c r="BC53" t="s">
        <v>238</v>
      </c>
      <c r="BD53" s="8">
        <v>450</v>
      </c>
    </row>
    <row r="54" spans="15:56" ht="17" thickTop="1" x14ac:dyDescent="0.2">
      <c r="O54" s="72"/>
      <c r="P54" s="73"/>
      <c r="Q54" s="73"/>
      <c r="R54" s="73"/>
      <c r="S54" s="82"/>
      <c r="T54" s="80" t="s">
        <v>260</v>
      </c>
      <c r="U54" s="70"/>
      <c r="V54" s="73"/>
      <c r="W54" s="86">
        <f>S31</f>
        <v>37045</v>
      </c>
      <c r="X54" s="73"/>
      <c r="BB54" s="48" t="s">
        <v>228</v>
      </c>
      <c r="BC54" t="s">
        <v>17</v>
      </c>
      <c r="BD54" s="8">
        <f>BD55-BD53-BD52</f>
        <v>47850</v>
      </c>
    </row>
    <row r="55" spans="15:56" ht="17" thickBot="1" x14ac:dyDescent="0.25">
      <c r="O55" s="72"/>
      <c r="P55" s="73"/>
      <c r="Q55" s="73"/>
      <c r="R55" s="73"/>
      <c r="S55" s="82"/>
      <c r="T55" s="72"/>
      <c r="U55" s="70"/>
      <c r="V55" s="73"/>
      <c r="W55" s="70">
        <f>SUM(W52:W54)</f>
        <v>103185</v>
      </c>
      <c r="X55" s="73"/>
      <c r="BA55" s="47">
        <f>BA52</f>
        <v>50600</v>
      </c>
      <c r="BB55" s="24"/>
      <c r="BD55" s="47">
        <v>50600</v>
      </c>
    </row>
    <row r="56" spans="15:56" ht="17" thickTop="1" x14ac:dyDescent="0.2">
      <c r="O56" s="72"/>
      <c r="P56" s="73"/>
      <c r="Q56" s="73"/>
      <c r="R56" s="73"/>
      <c r="S56" s="82" t="s">
        <v>261</v>
      </c>
      <c r="T56" s="72"/>
      <c r="U56" s="70"/>
      <c r="V56" s="73"/>
      <c r="W56" s="70"/>
      <c r="X56" s="73"/>
      <c r="Z56" t="s">
        <v>122</v>
      </c>
    </row>
    <row r="57" spans="15:56" x14ac:dyDescent="0.2">
      <c r="O57" s="72"/>
      <c r="P57" s="73"/>
      <c r="Q57" s="73"/>
      <c r="R57" s="73"/>
      <c r="S57" s="82" t="s">
        <v>262</v>
      </c>
      <c r="T57" s="72"/>
      <c r="U57" s="70"/>
      <c r="V57" s="78">
        <v>18000</v>
      </c>
      <c r="W57" s="70"/>
      <c r="X57" s="73"/>
      <c r="Z57" t="s">
        <v>247</v>
      </c>
      <c r="AC57" s="13"/>
      <c r="AY57" s="57" t="s">
        <v>250</v>
      </c>
      <c r="AZ57" s="57"/>
      <c r="BA57" s="57"/>
      <c r="BB57" s="57"/>
      <c r="BC57" s="57"/>
      <c r="BD57" s="57"/>
    </row>
    <row r="58" spans="15:56" x14ac:dyDescent="0.2">
      <c r="O58" s="72"/>
      <c r="P58" s="73"/>
      <c r="Q58" s="73"/>
      <c r="R58" s="73"/>
      <c r="S58" s="82" t="s">
        <v>69</v>
      </c>
      <c r="T58" s="72"/>
      <c r="U58" s="70"/>
      <c r="V58" s="78">
        <f>Q30</f>
        <v>1730</v>
      </c>
      <c r="W58" s="70"/>
      <c r="X58" s="73"/>
      <c r="Z58" t="s">
        <v>123</v>
      </c>
      <c r="AC58" s="13"/>
      <c r="AY58" s="2" t="s">
        <v>14</v>
      </c>
      <c r="BA58" s="1" t="s">
        <v>13</v>
      </c>
      <c r="BB58" s="56" t="s">
        <v>14</v>
      </c>
      <c r="BD58" s="1" t="s">
        <v>13</v>
      </c>
    </row>
    <row r="59" spans="15:56" x14ac:dyDescent="0.2">
      <c r="O59" s="72"/>
      <c r="P59" s="73"/>
      <c r="Q59" s="73"/>
      <c r="R59" s="73"/>
      <c r="S59" s="82"/>
      <c r="T59" s="72"/>
      <c r="U59" s="70"/>
      <c r="V59" s="73"/>
      <c r="W59" s="70"/>
      <c r="X59" s="73"/>
      <c r="AY59" s="2" t="s">
        <v>228</v>
      </c>
      <c r="AZ59" t="s">
        <v>180</v>
      </c>
      <c r="BA59" s="8">
        <f>BD60+BD61</f>
        <v>9530</v>
      </c>
      <c r="BB59" s="48" t="s">
        <v>228</v>
      </c>
      <c r="BC59" t="s">
        <v>217</v>
      </c>
    </row>
    <row r="60" spans="15:56" x14ac:dyDescent="0.2">
      <c r="O60" s="72"/>
      <c r="P60" s="73"/>
      <c r="Q60" s="73"/>
      <c r="R60" s="73"/>
      <c r="S60" s="82" t="s">
        <v>263</v>
      </c>
      <c r="T60" s="72"/>
      <c r="U60" s="70"/>
      <c r="V60" s="73"/>
      <c r="W60" s="70"/>
      <c r="X60" s="73"/>
      <c r="Z60" s="66"/>
      <c r="AA60" s="67"/>
      <c r="AB60" s="68"/>
      <c r="AC60" s="68"/>
      <c r="BB60" s="48"/>
      <c r="BC60" s="2" t="s">
        <v>245</v>
      </c>
      <c r="BD60" s="8">
        <f>BA20</f>
        <v>7000</v>
      </c>
    </row>
    <row r="61" spans="15:56" x14ac:dyDescent="0.2">
      <c r="O61" s="72"/>
      <c r="P61" s="73"/>
      <c r="Q61" s="73"/>
      <c r="R61" s="73"/>
      <c r="S61" s="82" t="s">
        <v>264</v>
      </c>
      <c r="T61" s="72"/>
      <c r="U61" s="70"/>
      <c r="V61" s="85">
        <v>5800</v>
      </c>
      <c r="W61" s="86">
        <f>SUM(V57:V61)</f>
        <v>25530</v>
      </c>
      <c r="X61" s="73"/>
      <c r="Z61" s="66"/>
      <c r="AA61" s="67"/>
      <c r="AB61" s="68"/>
      <c r="AC61" s="68"/>
      <c r="BB61" s="24"/>
      <c r="BC61" s="2" t="s">
        <v>229</v>
      </c>
      <c r="BD61" s="8">
        <f>BA21</f>
        <v>2530</v>
      </c>
    </row>
    <row r="62" spans="15:56" ht="17" thickBot="1" x14ac:dyDescent="0.25">
      <c r="S62" s="73"/>
      <c r="T62" s="72"/>
      <c r="U62" s="70"/>
      <c r="V62" s="73"/>
      <c r="W62" s="71">
        <f>W61+W55</f>
        <v>128715</v>
      </c>
    </row>
    <row r="63" spans="15:56" ht="17" thickTop="1" x14ac:dyDescent="0.2">
      <c r="AY63" t="s">
        <v>249</v>
      </c>
    </row>
    <row r="65" spans="52:52" x14ac:dyDescent="0.2">
      <c r="AZ65" t="s">
        <v>246</v>
      </c>
    </row>
  </sheetData>
  <mergeCells count="34">
    <mergeCell ref="Z44:AG44"/>
    <mergeCell ref="G38:I38"/>
    <mergeCell ref="O23:W23"/>
    <mergeCell ref="B5:M5"/>
    <mergeCell ref="F37:K37"/>
    <mergeCell ref="C29:K29"/>
    <mergeCell ref="P5:V5"/>
    <mergeCell ref="P14:V14"/>
    <mergeCell ref="S36:W36"/>
    <mergeCell ref="S37:W37"/>
    <mergeCell ref="S38:W38"/>
    <mergeCell ref="Z4:AD4"/>
    <mergeCell ref="Z5:AD5"/>
    <mergeCell ref="Z6:AD6"/>
    <mergeCell ref="Z42:AG42"/>
    <mergeCell ref="Z43:AG43"/>
    <mergeCell ref="AI39:AN39"/>
    <mergeCell ref="AI40:AN40"/>
    <mergeCell ref="AI41:AN41"/>
    <mergeCell ref="AR5:AW5"/>
    <mergeCell ref="AR20:AW20"/>
    <mergeCell ref="AR36:AW36"/>
    <mergeCell ref="AR35:AW35"/>
    <mergeCell ref="AK8:AL8"/>
    <mergeCell ref="AM8:AN8"/>
    <mergeCell ref="AO8:AP8"/>
    <mergeCell ref="AI5:AP5"/>
    <mergeCell ref="AI6:AP6"/>
    <mergeCell ref="AI7:AP7"/>
    <mergeCell ref="AY5:BD5"/>
    <mergeCell ref="AY28:BD28"/>
    <mergeCell ref="AY42:BD42"/>
    <mergeCell ref="AY50:BD50"/>
    <mergeCell ref="AY57:BD57"/>
  </mergeCells>
  <pageMargins left="0.7" right="0.7" top="0.75" bottom="0.75" header="0.3" footer="0.3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 Chun Meng</dc:creator>
  <cp:lastModifiedBy>Sek Chun Meng</cp:lastModifiedBy>
  <cp:lastPrinted>2025-09-30T14:10:33Z</cp:lastPrinted>
  <dcterms:created xsi:type="dcterms:W3CDTF">2025-09-28T12:25:40Z</dcterms:created>
  <dcterms:modified xsi:type="dcterms:W3CDTF">2025-09-30T14:10:34Z</dcterms:modified>
</cp:coreProperties>
</file>