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大学物理实验数据\"/>
    </mc:Choice>
  </mc:AlternateContent>
  <xr:revisionPtr revIDLastSave="0" documentId="13_ncr:1_{8913B52A-16CA-449E-BE7F-60064E276BBF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S1" sheetId="1" r:id="rId1"/>
    <sheet name="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B18" i="2"/>
  <c r="B17" i="2"/>
  <c r="B16" i="2"/>
  <c r="B12" i="2"/>
  <c r="B14" i="2" s="1"/>
  <c r="H5" i="1"/>
  <c r="H7" i="1"/>
  <c r="H9" i="1"/>
  <c r="H3" i="1"/>
  <c r="B15" i="2"/>
  <c r="B13" i="2"/>
  <c r="B11" i="2"/>
  <c r="G12" i="1"/>
  <c r="G3" i="2"/>
  <c r="B5" i="2"/>
  <c r="C3" i="1"/>
  <c r="C4" i="1"/>
  <c r="C5" i="1"/>
  <c r="C6" i="1"/>
  <c r="C7" i="1"/>
  <c r="C8" i="1"/>
  <c r="C9" i="1"/>
  <c r="C10" i="1"/>
  <c r="B10" i="1"/>
  <c r="B9" i="1"/>
  <c r="B7" i="1"/>
  <c r="B8" i="1"/>
  <c r="B6" i="1"/>
  <c r="B5" i="1"/>
  <c r="B4" i="1"/>
  <c r="B3" i="1"/>
  <c r="B7" i="2"/>
  <c r="B6" i="2"/>
  <c r="B8" i="2"/>
  <c r="F3" i="2"/>
  <c r="E3" i="2"/>
  <c r="D3" i="2"/>
  <c r="C3" i="2"/>
  <c r="B3" i="2"/>
  <c r="H3" i="2" s="1"/>
  <c r="H4" i="2" s="1"/>
  <c r="B15" i="1" s="1"/>
  <c r="E5" i="1"/>
  <c r="E4" i="1"/>
  <c r="E6" i="1"/>
  <c r="E7" i="1"/>
  <c r="E8" i="1"/>
  <c r="E9" i="1"/>
  <c r="E10" i="1"/>
  <c r="E3" i="1"/>
  <c r="G9" i="1" l="1"/>
  <c r="G7" i="1"/>
  <c r="G5" i="1"/>
  <c r="G3" i="1"/>
  <c r="G11" i="1" l="1"/>
</calcChain>
</file>

<file path=xl/sharedStrings.xml><?xml version="1.0" encoding="utf-8"?>
<sst xmlns="http://schemas.openxmlformats.org/spreadsheetml/2006/main" count="56" uniqueCount="53">
  <si>
    <t>砝码质量/kg</t>
    <phoneticPr fontId="1" type="noConversion"/>
  </si>
  <si>
    <t>标尺度数n_i/cm</t>
    <phoneticPr fontId="1" type="noConversion"/>
  </si>
  <si>
    <t>加砝码</t>
    <phoneticPr fontId="1" type="noConversion"/>
  </si>
  <si>
    <t>减砝码</t>
    <phoneticPr fontId="1" type="noConversion"/>
  </si>
  <si>
    <t>两次读数的平均值</t>
    <phoneticPr fontId="1" type="noConversion"/>
  </si>
  <si>
    <t>加4m_0砝码时标尺读数的变化/cm</t>
    <phoneticPr fontId="1" type="noConversion"/>
  </si>
  <si>
    <t>m_0</t>
    <phoneticPr fontId="1" type="noConversion"/>
  </si>
  <si>
    <t>m_1=2m_0</t>
    <phoneticPr fontId="1" type="noConversion"/>
  </si>
  <si>
    <t>m_2=3m_0</t>
    <phoneticPr fontId="1" type="noConversion"/>
  </si>
  <si>
    <t>m_3=4m_0</t>
    <phoneticPr fontId="1" type="noConversion"/>
  </si>
  <si>
    <t>m_4=5m_0</t>
    <phoneticPr fontId="1" type="noConversion"/>
  </si>
  <si>
    <t>m_5=6m_0</t>
    <phoneticPr fontId="1" type="noConversion"/>
  </si>
  <si>
    <t>m_6=7m_0</t>
    <phoneticPr fontId="1" type="noConversion"/>
  </si>
  <si>
    <t>m_7=8m_0</t>
    <phoneticPr fontId="1" type="noConversion"/>
  </si>
  <si>
    <t>平均值</t>
    <phoneticPr fontId="1" type="noConversion"/>
  </si>
  <si>
    <t>\bar{\Delta n}=</t>
    <phoneticPr fontId="1" type="noConversion"/>
  </si>
  <si>
    <t>\bar{n_0}=</t>
    <phoneticPr fontId="1" type="noConversion"/>
  </si>
  <si>
    <t>\bar{n_1}=</t>
  </si>
  <si>
    <t>\bar{n_2}=</t>
  </si>
  <si>
    <t>\bar{n_3}=</t>
  </si>
  <si>
    <t>\bar{n_4}=</t>
  </si>
  <si>
    <t>\bar{n_5}=</t>
  </si>
  <si>
    <t>\bar{n_6}=</t>
  </si>
  <si>
    <t>\bar{n_7}=</t>
  </si>
  <si>
    <t>\Delta n_1=\bar{n_4}-\bar{n_0}=</t>
    <phoneticPr fontId="1" type="noConversion"/>
  </si>
  <si>
    <t>\Delta n_2=\bar{n_5}-\bar{n_1}=</t>
    <phoneticPr fontId="1" type="noConversion"/>
  </si>
  <si>
    <t>\Delta n_3=\bar{n_6}-\bar{n_2}=</t>
    <phoneticPr fontId="1" type="noConversion"/>
  </si>
  <si>
    <t>\Delta n_4=\bar{n_7}-\bar{n_3}=</t>
    <phoneticPr fontId="1" type="noConversion"/>
  </si>
  <si>
    <t>次数</t>
    <phoneticPr fontId="1" type="noConversion"/>
  </si>
  <si>
    <t>直径d_i/mm</t>
    <phoneticPr fontId="1" type="noConversion"/>
  </si>
  <si>
    <t>修正直径d_i/mm</t>
    <phoneticPr fontId="1" type="noConversion"/>
  </si>
  <si>
    <t>L=</t>
    <phoneticPr fontId="1" type="noConversion"/>
  </si>
  <si>
    <t>D=</t>
    <phoneticPr fontId="1" type="noConversion"/>
  </si>
  <si>
    <t>b=</t>
    <phoneticPr fontId="1" type="noConversion"/>
  </si>
  <si>
    <t>F=4m_0g=</t>
    <phoneticPr fontId="1" type="noConversion"/>
  </si>
  <si>
    <t>N</t>
    <phoneticPr fontId="1" type="noConversion"/>
  </si>
  <si>
    <t>m</t>
    <phoneticPr fontId="1" type="noConversion"/>
  </si>
  <si>
    <t>千分尺零点d_0=</t>
    <phoneticPr fontId="1" type="noConversion"/>
  </si>
  <si>
    <t>mm</t>
    <phoneticPr fontId="1" type="noConversion"/>
  </si>
  <si>
    <t>m_0=</t>
    <phoneticPr fontId="1" type="noConversion"/>
  </si>
  <si>
    <t>kg</t>
    <phoneticPr fontId="1" type="noConversion"/>
  </si>
  <si>
    <t>n_0=</t>
    <phoneticPr fontId="1" type="noConversion"/>
  </si>
  <si>
    <t>cm</t>
    <phoneticPr fontId="1" type="noConversion"/>
  </si>
  <si>
    <t>E=</t>
    <phoneticPr fontId="1" type="noConversion"/>
  </si>
  <si>
    <t>d平均</t>
    <phoneticPr fontId="1" type="noConversion"/>
  </si>
  <si>
    <t>u_A(\bar{d'})=</t>
    <phoneticPr fontId="1" type="noConversion"/>
  </si>
  <si>
    <t>u_A(\bar{\Delta n})=</t>
    <phoneticPr fontId="1" type="noConversion"/>
  </si>
  <si>
    <t>u(d')=</t>
    <phoneticPr fontId="1" type="noConversion"/>
  </si>
  <si>
    <t>u(\Delta n)=</t>
    <phoneticPr fontId="1" type="noConversion"/>
  </si>
  <si>
    <t>\bar{E}=</t>
    <phoneticPr fontId="1" type="noConversion"/>
  </si>
  <si>
    <t>E_r=</t>
    <phoneticPr fontId="1" type="noConversion"/>
  </si>
  <si>
    <t>u(E)=</t>
    <phoneticPr fontId="1" type="noConversion"/>
  </si>
  <si>
    <t>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</si>
</sst>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0_ "/>
    <numFmt numFmtId="178" formatCode="0.000_ "/>
    <numFmt numFmtId="179" formatCode="0.000_);[Red]\(0.000\)"/>
    <numFmt numFmtId="180" formatCode="#,##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76" fontId="0" fillId="2" borderId="0" xfId="0" applyNumberFormat="1" applyFill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0" xfId="0" applyNumberFormat="1"/>
    <xf numFmtId="176" fontId="0" fillId="0" borderId="0" xfId="0" applyNumberFormat="1"/>
    <xf numFmtId="0" fontId="2" fillId="0" borderId="0" xfId="0" applyFont="1" applyAlignment="1">
      <alignment horizontal="center"/>
    </xf>
    <xf numFmtId="176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center"/>
    </xf>
    <xf numFmtId="11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D17" sqref="D17"/>
    </sheetView>
  </sheetViews>
  <sheetFormatPr defaultRowHeight="13.9" x14ac:dyDescent="0.4"/>
  <cols>
    <col min="1" max="1" width="13.33203125" customWidth="1"/>
    <col min="2" max="2" width="26.33203125" customWidth="1"/>
    <col min="4" max="4" width="17.59765625" customWidth="1"/>
    <col min="6" max="6" width="29.73046875" customWidth="1"/>
    <col min="7" max="7" width="10.59765625" customWidth="1"/>
  </cols>
  <sheetData>
    <row r="1" spans="1:8" x14ac:dyDescent="0.4">
      <c r="A1" s="28" t="s">
        <v>0</v>
      </c>
      <c r="B1" s="27" t="s">
        <v>1</v>
      </c>
      <c r="C1" s="27"/>
      <c r="D1" s="27"/>
      <c r="E1" s="4"/>
      <c r="F1" s="28" t="s">
        <v>5</v>
      </c>
      <c r="G1" s="28"/>
      <c r="H1" s="2"/>
    </row>
    <row r="2" spans="1:8" x14ac:dyDescent="0.4">
      <c r="A2" s="28"/>
      <c r="B2" s="3" t="s">
        <v>2</v>
      </c>
      <c r="C2" s="3" t="s">
        <v>3</v>
      </c>
      <c r="D2" s="27" t="s">
        <v>4</v>
      </c>
      <c r="E2" s="27"/>
      <c r="F2" s="28"/>
      <c r="G2" s="28"/>
      <c r="H2" s="2"/>
    </row>
    <row r="3" spans="1:8" x14ac:dyDescent="0.4">
      <c r="A3" s="3" t="s">
        <v>6</v>
      </c>
      <c r="B3" s="14">
        <f>0.53-B14</f>
        <v>0.33</v>
      </c>
      <c r="C3" s="14">
        <f>0.5-B14</f>
        <v>0.3</v>
      </c>
      <c r="D3" s="5" t="s">
        <v>16</v>
      </c>
      <c r="E3" s="12">
        <f>AVERAGE(B3:C3)</f>
        <v>0.315</v>
      </c>
      <c r="F3" s="29" t="s">
        <v>24</v>
      </c>
      <c r="G3" s="25">
        <f>E7-E3</f>
        <v>1.9300000000000002</v>
      </c>
      <c r="H3" s="30">
        <f>G3/100</f>
        <v>1.9300000000000001E-2</v>
      </c>
    </row>
    <row r="4" spans="1:8" x14ac:dyDescent="0.4">
      <c r="A4" s="3" t="s">
        <v>7</v>
      </c>
      <c r="B4" s="14">
        <f>1-B14</f>
        <v>0.8</v>
      </c>
      <c r="C4" s="14">
        <f>1-B14</f>
        <v>0.8</v>
      </c>
      <c r="D4" s="5" t="s">
        <v>17</v>
      </c>
      <c r="E4" s="12">
        <f>AVERAGE(B4:C4)</f>
        <v>0.8</v>
      </c>
      <c r="F4" s="29"/>
      <c r="G4" s="26"/>
      <c r="H4" s="30"/>
    </row>
    <row r="5" spans="1:8" x14ac:dyDescent="0.4">
      <c r="A5" s="3" t="s">
        <v>8</v>
      </c>
      <c r="B5" s="14">
        <f>1.45-B14</f>
        <v>1.25</v>
      </c>
      <c r="C5" s="14">
        <f>1.4-B14</f>
        <v>1.2</v>
      </c>
      <c r="D5" s="5" t="s">
        <v>18</v>
      </c>
      <c r="E5" s="12">
        <f>AVERAGE(B5:C5)</f>
        <v>1.2250000000000001</v>
      </c>
      <c r="F5" s="29" t="s">
        <v>25</v>
      </c>
      <c r="G5" s="25">
        <f>E8-E4</f>
        <v>1.7999999999999996</v>
      </c>
      <c r="H5" s="30">
        <f t="shared" ref="H5" si="0">G5/100</f>
        <v>1.7999999999999995E-2</v>
      </c>
    </row>
    <row r="6" spans="1:8" x14ac:dyDescent="0.4">
      <c r="A6" s="3" t="s">
        <v>9</v>
      </c>
      <c r="B6" s="14">
        <f>1.91-B14</f>
        <v>1.71</v>
      </c>
      <c r="C6" s="14">
        <f>1.89-B14</f>
        <v>1.69</v>
      </c>
      <c r="D6" s="5" t="s">
        <v>19</v>
      </c>
      <c r="E6" s="12">
        <f t="shared" ref="E6:E10" si="1">AVERAGE(B6:C6)</f>
        <v>1.7</v>
      </c>
      <c r="F6" s="29"/>
      <c r="G6" s="26"/>
      <c r="H6" s="30"/>
    </row>
    <row r="7" spans="1:8" x14ac:dyDescent="0.4">
      <c r="A7" s="3" t="s">
        <v>10</v>
      </c>
      <c r="B7" s="14">
        <f>2.4-B14</f>
        <v>2.1999999999999997</v>
      </c>
      <c r="C7" s="14">
        <f>2.49-B14</f>
        <v>2.29</v>
      </c>
      <c r="D7" s="5" t="s">
        <v>20</v>
      </c>
      <c r="E7" s="12">
        <f t="shared" si="1"/>
        <v>2.2450000000000001</v>
      </c>
      <c r="F7" s="29" t="s">
        <v>26</v>
      </c>
      <c r="G7" s="25">
        <f>E9-E5</f>
        <v>1.8399999999999994</v>
      </c>
      <c r="H7" s="30">
        <f t="shared" ref="H7" si="2">G7/100</f>
        <v>1.8399999999999993E-2</v>
      </c>
    </row>
    <row r="8" spans="1:8" x14ac:dyDescent="0.4">
      <c r="A8" s="3" t="s">
        <v>11</v>
      </c>
      <c r="B8" s="14">
        <f>2.8-B14</f>
        <v>2.5999999999999996</v>
      </c>
      <c r="C8" s="14">
        <f>2.8-B14</f>
        <v>2.5999999999999996</v>
      </c>
      <c r="D8" s="5" t="s">
        <v>21</v>
      </c>
      <c r="E8" s="12">
        <f t="shared" si="1"/>
        <v>2.5999999999999996</v>
      </c>
      <c r="F8" s="29"/>
      <c r="G8" s="26"/>
      <c r="H8" s="30"/>
    </row>
    <row r="9" spans="1:8" x14ac:dyDescent="0.4">
      <c r="A9" s="3" t="s">
        <v>12</v>
      </c>
      <c r="B9" s="14">
        <f>3.23-B14</f>
        <v>3.03</v>
      </c>
      <c r="C9" s="14">
        <f>3.3-B14</f>
        <v>3.0999999999999996</v>
      </c>
      <c r="D9" s="5" t="s">
        <v>22</v>
      </c>
      <c r="E9" s="12">
        <f t="shared" si="1"/>
        <v>3.0649999999999995</v>
      </c>
      <c r="F9" s="29" t="s">
        <v>27</v>
      </c>
      <c r="G9" s="25">
        <f>E10-E6</f>
        <v>1.8799999999999997</v>
      </c>
      <c r="H9" s="30">
        <f t="shared" ref="H9" si="3">G9/100</f>
        <v>1.8799999999999997E-2</v>
      </c>
    </row>
    <row r="10" spans="1:8" x14ac:dyDescent="0.4">
      <c r="A10" s="3" t="s">
        <v>13</v>
      </c>
      <c r="B10" s="14">
        <f>3.78-B14</f>
        <v>3.5799999999999996</v>
      </c>
      <c r="C10" s="14">
        <f>B10</f>
        <v>3.5799999999999996</v>
      </c>
      <c r="D10" s="5" t="s">
        <v>23</v>
      </c>
      <c r="E10" s="12">
        <f t="shared" si="1"/>
        <v>3.5799999999999996</v>
      </c>
      <c r="F10" s="29"/>
      <c r="G10" s="26"/>
      <c r="H10" s="30"/>
    </row>
    <row r="11" spans="1:8" x14ac:dyDescent="0.4">
      <c r="A11" s="22" t="s">
        <v>14</v>
      </c>
      <c r="B11" s="23"/>
      <c r="C11" s="23"/>
      <c r="D11" s="23"/>
      <c r="E11" s="24"/>
      <c r="F11" s="5" t="s">
        <v>15</v>
      </c>
      <c r="G11" s="11">
        <f>AVERAGE(G3:G10)</f>
        <v>1.8624999999999996</v>
      </c>
      <c r="H11" s="30"/>
    </row>
    <row r="12" spans="1:8" x14ac:dyDescent="0.4">
      <c r="G12">
        <f>G11/100</f>
        <v>1.8624999999999996E-2</v>
      </c>
      <c r="H12" s="30"/>
    </row>
    <row r="13" spans="1:8" x14ac:dyDescent="0.4">
      <c r="A13" s="1" t="s">
        <v>39</v>
      </c>
      <c r="B13" s="6">
        <v>1</v>
      </c>
      <c r="C13" t="s">
        <v>40</v>
      </c>
    </row>
    <row r="14" spans="1:8" x14ac:dyDescent="0.4">
      <c r="A14" s="1" t="s">
        <v>41</v>
      </c>
      <c r="B14" s="10">
        <v>0.2</v>
      </c>
      <c r="C14" t="s">
        <v>42</v>
      </c>
    </row>
    <row r="15" spans="1:8" x14ac:dyDescent="0.4">
      <c r="A15" s="1" t="s">
        <v>43</v>
      </c>
      <c r="B15" s="18">
        <f>8*'S2'!B8*'S2'!B5*'S2'!B6/(3.14*'S2'!H4^2*'S2'!B7*'S1'!G12)</f>
        <v>123658370292.49905</v>
      </c>
    </row>
    <row r="17" spans="4:4" x14ac:dyDescent="0.4">
      <c r="D17" s="9"/>
    </row>
  </sheetData>
  <mergeCells count="18">
    <mergeCell ref="H3:H4"/>
    <mergeCell ref="H5:H6"/>
    <mergeCell ref="H7:H8"/>
    <mergeCell ref="H9:H10"/>
    <mergeCell ref="H11:H12"/>
    <mergeCell ref="B1:D1"/>
    <mergeCell ref="A1:A2"/>
    <mergeCell ref="D2:E2"/>
    <mergeCell ref="F1:G2"/>
    <mergeCell ref="F9:F10"/>
    <mergeCell ref="F7:F8"/>
    <mergeCell ref="F5:F6"/>
    <mergeCell ref="F3:F4"/>
    <mergeCell ref="A11:E11"/>
    <mergeCell ref="G3:G4"/>
    <mergeCell ref="G5:G6"/>
    <mergeCell ref="G7:G8"/>
    <mergeCell ref="G9:G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66E6-75B9-468E-85B5-0958235A50CE}">
  <dimension ref="A1:H18"/>
  <sheetViews>
    <sheetView tabSelected="1" workbookViewId="0">
      <selection activeCell="B16" sqref="B16"/>
    </sheetView>
  </sheetViews>
  <sheetFormatPr defaultRowHeight="13.9" x14ac:dyDescent="0.4"/>
  <cols>
    <col min="1" max="1" width="20.19921875" customWidth="1"/>
    <col min="2" max="2" width="12.06640625" customWidth="1"/>
    <col min="5" max="5" width="14.3984375" customWidth="1"/>
    <col min="7" max="7" width="11.265625" customWidth="1"/>
  </cols>
  <sheetData>
    <row r="1" spans="1:8" x14ac:dyDescent="0.4">
      <c r="A1" s="4" t="s">
        <v>28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13"/>
    </row>
    <row r="2" spans="1:8" x14ac:dyDescent="0.4">
      <c r="A2" s="4" t="s">
        <v>29</v>
      </c>
      <c r="B2" s="16">
        <v>0.68</v>
      </c>
      <c r="C2" s="16">
        <v>0.68300000000000005</v>
      </c>
      <c r="D2" s="16">
        <v>0.68200000000000005</v>
      </c>
      <c r="E2" s="16">
        <v>0.67900000000000005</v>
      </c>
      <c r="F2" s="16">
        <v>0.67700000000000005</v>
      </c>
      <c r="G2" s="16">
        <v>0.68500000000000005</v>
      </c>
      <c r="H2" s="13" t="s">
        <v>44</v>
      </c>
    </row>
    <row r="3" spans="1:8" x14ac:dyDescent="0.4">
      <c r="A3" s="4" t="s">
        <v>30</v>
      </c>
      <c r="B3" s="3">
        <f t="shared" ref="B3:G3" si="0">B2-$B$9</f>
        <v>0.69500000000000006</v>
      </c>
      <c r="C3" s="3">
        <f t="shared" si="0"/>
        <v>0.69800000000000006</v>
      </c>
      <c r="D3" s="3">
        <f t="shared" si="0"/>
        <v>0.69700000000000006</v>
      </c>
      <c r="E3" s="3">
        <f t="shared" si="0"/>
        <v>0.69400000000000006</v>
      </c>
      <c r="F3" s="3">
        <f t="shared" si="0"/>
        <v>0.69200000000000006</v>
      </c>
      <c r="G3" s="17">
        <f t="shared" si="0"/>
        <v>0.70000000000000007</v>
      </c>
      <c r="H3" s="15">
        <f>AVERAGE(B3:G3)</f>
        <v>0.69600000000000006</v>
      </c>
    </row>
    <row r="4" spans="1:8" x14ac:dyDescent="0.4">
      <c r="H4">
        <f>H3/1000</f>
        <v>6.9600000000000011E-4</v>
      </c>
    </row>
    <row r="5" spans="1:8" x14ac:dyDescent="0.4">
      <c r="A5" s="1" t="s">
        <v>31</v>
      </c>
      <c r="B5" s="7">
        <f>73.8/100</f>
        <v>0.73799999999999999</v>
      </c>
      <c r="C5" t="s">
        <v>36</v>
      </c>
    </row>
    <row r="6" spans="1:8" x14ac:dyDescent="0.4">
      <c r="A6" s="1" t="s">
        <v>32</v>
      </c>
      <c r="B6" s="7">
        <f>69.75/100</f>
        <v>0.69750000000000001</v>
      </c>
      <c r="C6" t="s">
        <v>36</v>
      </c>
    </row>
    <row r="7" spans="1:8" x14ac:dyDescent="0.4">
      <c r="A7" s="1" t="s">
        <v>33</v>
      </c>
      <c r="B7" s="7">
        <f>4.702/100</f>
        <v>4.7019999999999999E-2</v>
      </c>
      <c r="C7" t="s">
        <v>36</v>
      </c>
    </row>
    <row r="8" spans="1:8" x14ac:dyDescent="0.4">
      <c r="A8" s="1" t="s">
        <v>34</v>
      </c>
      <c r="B8" s="8">
        <f>4*10*'S1'!B13</f>
        <v>40</v>
      </c>
      <c r="C8" t="s">
        <v>35</v>
      </c>
    </row>
    <row r="9" spans="1:8" x14ac:dyDescent="0.4">
      <c r="A9" s="1" t="s">
        <v>37</v>
      </c>
      <c r="B9" s="8">
        <v>-1.4999999999999999E-2</v>
      </c>
      <c r="C9" t="s">
        <v>38</v>
      </c>
    </row>
    <row r="11" spans="1:8" x14ac:dyDescent="0.4">
      <c r="A11" s="1" t="s">
        <v>45</v>
      </c>
      <c r="B11" s="31">
        <f>_xlfn.STDEV.P(B3:G3)/SQRT(6)</f>
        <v>1.0801234497346444E-3</v>
      </c>
    </row>
    <row r="12" spans="1:8" x14ac:dyDescent="0.4">
      <c r="A12" s="1" t="s">
        <v>46</v>
      </c>
      <c r="B12" s="31">
        <f>_xlfn.STDEV.P('S1'!H3:H10)/SQRT(4)</f>
        <v>2.4076700355322908E-4</v>
      </c>
    </row>
    <row r="13" spans="1:8" x14ac:dyDescent="0.4">
      <c r="A13" s="1" t="s">
        <v>47</v>
      </c>
      <c r="B13" s="31">
        <f>SQRT(B11^2+0.0023^2)</f>
        <v>2.5409971795865237E-3</v>
      </c>
    </row>
    <row r="14" spans="1:8" x14ac:dyDescent="0.4">
      <c r="A14" s="1" t="s">
        <v>48</v>
      </c>
      <c r="B14" s="31">
        <f>SQRT(B12^2+0.29^2)</f>
        <v>0.29000009994610343</v>
      </c>
    </row>
    <row r="15" spans="1:8" x14ac:dyDescent="0.4">
      <c r="A15" s="1" t="s">
        <v>49</v>
      </c>
      <c r="B15" s="31">
        <f>'S1'!B15</f>
        <v>123658370292.49905</v>
      </c>
    </row>
    <row r="16" spans="1:8" x14ac:dyDescent="0.4">
      <c r="A16" s="1" t="s">
        <v>50</v>
      </c>
      <c r="B16" s="32">
        <f>SQRT((0.069*(10^(-3))/B5)^2+(0.4*(10^(-3))/B6)^2+(2*B13/H3)^2+(0.012*(10^(-3))/B7)^2+(B14/'S1'!G11)^2)</f>
        <v>0.15587715513353262</v>
      </c>
    </row>
    <row r="17" spans="1:4" x14ac:dyDescent="0.4">
      <c r="A17" s="1" t="s">
        <v>51</v>
      </c>
      <c r="B17" s="31">
        <f>B16*B15</f>
        <v>19275514969.643696</v>
      </c>
    </row>
    <row r="18" spans="1:4" ht="14.25" x14ac:dyDescent="0.4">
      <c r="A18" s="1" t="s">
        <v>43</v>
      </c>
      <c r="B18" s="19">
        <f>B15/10^11</f>
        <v>1.2365837029249906</v>
      </c>
      <c r="C18" s="20" t="s">
        <v>52</v>
      </c>
      <c r="D18" s="21">
        <f>B17/10^11</f>
        <v>0.19275514969643695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2023-05-04T13:23:39Z</dcterms:modified>
</cp:coreProperties>
</file>