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dra\Documents\git\excel-challenge\"/>
    </mc:Choice>
  </mc:AlternateContent>
  <xr:revisionPtr revIDLastSave="0" documentId="13_ncr:1_{0F1704F6-0350-4EBF-A422-7557B56EAEE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tegory Stats" sheetId="2" r:id="rId1"/>
    <sheet name="Subcategory Stats" sheetId="3" r:id="rId2"/>
    <sheet name="Outcomes Based on Launch Date" sheetId="6" r:id="rId3"/>
    <sheet name="Bonus_1_Goal Outcomes" sheetId="7" r:id="rId4"/>
    <sheet name="Bonus_2_Statistical Analysis" sheetId="5" r:id="rId5"/>
    <sheet name="Crowdfunding" sheetId="1" r:id="rId6"/>
  </sheets>
  <definedNames>
    <definedName name="_xlnm._FilterDatabase" localSheetId="5" hidden="1">Crowdfunding!$A$1:$T$1001</definedName>
    <definedName name="_xlnm._FilterDatabase" localSheetId="1" hidden="1">'Subcategory Stats'!$A$4:$G$30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8" i="7"/>
  <c r="E8" i="7" s="1"/>
  <c r="B7" i="7"/>
  <c r="E7" i="7" s="1"/>
  <c r="B13" i="7"/>
  <c r="B2" i="7"/>
  <c r="E2" i="7" s="1"/>
  <c r="B12" i="7"/>
  <c r="B11" i="7"/>
  <c r="E11" i="7" s="1"/>
  <c r="B10" i="7"/>
  <c r="B9" i="7"/>
  <c r="E9" i="7" s="1"/>
  <c r="F9" i="7" s="1"/>
  <c r="B6" i="7"/>
  <c r="B5" i="7"/>
  <c r="B4" i="7"/>
  <c r="B3" i="7"/>
  <c r="M8" i="5"/>
  <c r="M7" i="5"/>
  <c r="M6" i="5"/>
  <c r="M5" i="5"/>
  <c r="M4" i="5"/>
  <c r="M3" i="5"/>
  <c r="J8" i="5"/>
  <c r="J7" i="5"/>
  <c r="H11" i="7" l="1"/>
  <c r="E5" i="7"/>
  <c r="F5" i="7" s="1"/>
  <c r="G9" i="7"/>
  <c r="E13" i="7"/>
  <c r="G13" i="7" s="1"/>
  <c r="H9" i="7"/>
  <c r="E10" i="7"/>
  <c r="G10" i="7" s="1"/>
  <c r="E4" i="7"/>
  <c r="F4" i="7" s="1"/>
  <c r="G7" i="7"/>
  <c r="H7" i="7"/>
  <c r="G2" i="7"/>
  <c r="H8" i="7"/>
  <c r="G6" i="7"/>
  <c r="G8" i="7"/>
  <c r="F6" i="7"/>
  <c r="G11" i="7"/>
  <c r="H2" i="7"/>
  <c r="F2" i="7"/>
  <c r="F11" i="7"/>
  <c r="E12" i="7"/>
  <c r="F8" i="7"/>
  <c r="F7" i="7"/>
  <c r="E3" i="7"/>
  <c r="F3" i="7" s="1"/>
  <c r="E6" i="7"/>
  <c r="H6" i="7" s="1"/>
  <c r="J6" i="5"/>
  <c r="J5" i="5"/>
  <c r="J4" i="5"/>
  <c r="J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F10" i="7" l="1"/>
  <c r="H10" i="7"/>
  <c r="G5" i="7"/>
  <c r="H13" i="7"/>
  <c r="H5" i="7"/>
  <c r="H4" i="7"/>
  <c r="G4" i="7"/>
  <c r="F13" i="7"/>
  <c r="H3" i="7"/>
  <c r="H12" i="7"/>
  <c r="G12" i="7"/>
  <c r="G3" i="7"/>
  <c r="F1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<sst xmlns="http://schemas.openxmlformats.org/spreadsheetml/2006/main" count="7071" uniqueCount="2118">
  <si>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</si>
  <si>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</si>
  <si>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</si>
  <si>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</si>
  <si>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</si>
  <si>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</si>
  <si>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</si>
  <si>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</si>
  <si>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</si>
  <si>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</si>
  <si>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</si>
  <si>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</si>
  <si>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</si>
  <si>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</si>
  <si>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</si>
  <si>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</si>
  <si>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</si>
  <si>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</si>
  <si>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</si>
  <si>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</si>
  <si>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</si>
  <si>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</si>
  <si>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</si>
  <si>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</si>
  <si>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</si>
  <si>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</si>
  <si>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</si>
  <si>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</si>
  <si>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</si>
  <si>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</si>
  <si>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</si>
  <si>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</si>
  <si>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</si>
  <si>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</si>
  <si>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</si>
  <si>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</si>
  <si>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</si>
  <si>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</si>
  <si>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</si>
  <si>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</si>
  <si>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</si>
  <si>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</si>
  <si>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</si>
  <si>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</si>
  <si>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</si>
  <si>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</si>
  <si>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</si>
  <si>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</si>
  <si>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</si>
  <si>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</si>
  <si>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</si>
  <si>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</si>
  <si>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</si>
  <si>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</si>
  <si>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</si>
  <si>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</si>
  <si>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</si>
  <si>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</si>
  <si>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</si>
  <si>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</si>
  <si>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</si>
  <si>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</si>
  <si>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</si>
  <si>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</si>
  <si>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</si>
  <si>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</si>
  <si>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</si>
  <si>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</si>
  <si>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</si>
  <si>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</si>
  <si>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</si>
  <si>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</si>
  <si>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</si>
  <si>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</si>
  <si>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</si>
  <si>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</si>
  <si>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</si>
  <si>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</si>
  <si>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</si>
  <si>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</si>
  <si>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</si>
  <si>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</si>
  <si>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</si>
  <si>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</si>
  <si>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</si>
  <si>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</si>
  <si>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</si>
  <si>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</si>
  <si>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</si>
  <si>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</si>
  <si>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</si>
  <si>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</si>
  <si>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</si>
  <si>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</si>
  <si>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</si>
  <si>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</si>
  <si>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</si>
  <si>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</si>
  <si>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</si>
  <si>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</si>
  <si>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</si>
  <si>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</si>
  <si>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</si>
  <si>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</si>
  <si>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</si>
  <si>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</si>
  <si>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</si>
  <si>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</si>
  <si>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</si>
  <si>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</si>
  <si>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</si>
  <si>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</si>
  <si>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</si>
  <si>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</si>
  <si>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</si>
  <si>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</si>
  <si>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</si>
  <si>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</si>
  <si>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</si>
  <si>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</si>
  <si>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</si>
  <si>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</si>
  <si>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</si>
  <si>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</si>
  <si>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</si>
  <si>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</si>
  <si>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</si>
  <si>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</si>
  <si>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</si>
  <si>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</si>
  <si>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</si>
  <si>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</si>
  <si>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</si>
  <si>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</si>
  <si>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</si>
  <si>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</si>
  <si>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</si>
  <si>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</si>
  <si>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</si>
  <si>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</si>
  <si>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</si>
  <si>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</si>
  <si>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</si>
  <si>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</si>
  <si>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</si>
  <si>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</si>
  <si>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</si>
  <si>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</si>
  <si>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</si>
  <si>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</si>
  <si>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</si>
  <si>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</si>
  <si>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</si>
  <si>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</si>
  <si>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</si>
  <si>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</si>
  <si>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</si>
  <si>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</si>
  <si>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</si>
  <si>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</si>
  <si>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</si>
  <si>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</si>
  <si>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</si>
  <si>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</si>
  <si>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</si>
  <si>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</si>
  <si>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</si>
  <si>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</si>
  <si>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</si>
  <si>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</si>
  <si>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</si>
  <si>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</si>
  <si>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</si>
  <si>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</si>
  <si>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</si>
  <si>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</si>
  <si>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</si>
  <si>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</si>
  <si>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</si>
  <si>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</si>
  <si>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</si>
  <si>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</si>
  <si>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</si>
  <si>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</si>
  <si>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</si>
  <si>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</si>
  <si>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</si>
  <si>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</si>
  <si>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</si>
  <si>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</si>
  <si>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</si>
  <si>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</si>
  <si>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</si>
  <si>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</si>
  <si>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</si>
  <si>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</si>
  <si>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</si>
  <si>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</si>
  <si>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</si>
  <si>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</si>
  <si>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</si>
  <si>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</si>
  <si>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</si>
  <si>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</si>
  <si>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</si>
  <si>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</si>
  <si>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</si>
  <si>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</si>
  <si>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</si>
  <si>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</si>
  <si>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</si>
  <si>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</si>
  <si>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</si>
  <si>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</si>
  <si>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</si>
  <si>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</si>
  <si>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</si>
  <si>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</si>
  <si>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</si>
  <si>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</si>
  <si>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</si>
  <si>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</si>
  <si>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</si>
  <si>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</si>
  <si>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</si>
  <si>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</si>
  <si>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</si>
  <si>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</si>
  <si>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</si>
  <si>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</si>
  <si>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</si>
  <si>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</si>
  <si>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</si>
  <si>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</si>
  <si>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</si>
  <si>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</si>
  <si>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</si>
  <si>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</si>
  <si>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</si>
  <si>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</si>
  <si>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</si>
  <si>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</si>
  <si>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</si>
  <si>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</si>
  <si>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</si>
  <si>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</si>
  <si>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</si>
  <si>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</si>
  <si>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</si>
  <si>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</si>
  <si>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</si>
  <si>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</si>
  <si>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</si>
  <si>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</si>
  <si>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</si>
  <si>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</si>
  <si>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</si>
  <si>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</si>
  <si>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</si>
  <si>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</si>
  <si>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</si>
  <si>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</si>
  <si>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</si>
  <si>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</si>
  <si>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</si>
  <si>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</si>
  <si>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</si>
  <si>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</si>
  <si>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</si>
  <si>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</si>
  <si>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</si>
  <si>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</si>
  <si>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</si>
  <si>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</si>
  <si>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</si>
  <si>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</si>
  <si>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</si>
  <si>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</si>
  <si>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</si>
  <si>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</si>
  <si>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</si>
  <si>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</si>
  <si>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</si>
  <si>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</si>
  <si>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</si>
  <si>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</si>
  <si>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</si>
  <si>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</si>
  <si>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</si>
  <si>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</si>
  <si>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</si>
  <si>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</si>
  <si>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</si>
  <si>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</si>
  <si>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</si>
  <si>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</si>
  <si>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</si>
  <si>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</si>
  <si>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</si>
  <si>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</si>
  <si>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</si>
  <si>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</si>
  <si>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</si>
  <si>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</si>
  <si>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</si>
  <si>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</si>
  <si>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</si>
  <si>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</si>
  <si>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</si>
  <si>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</si>
  <si>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</si>
  <si>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</si>
  <si>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</si>
  <si>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</si>
  <si>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</si>
  <si>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</si>
  <si>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</si>
  <si>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</si>
  <si>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</si>
  <si>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</si>
  <si>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</si>
  <si>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</si>
  <si>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</si>
  <si>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</si>
  <si>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</si>
  <si>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</si>
  <si>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</si>
  <si>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</si>
  <si>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</si>
  <si>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</si>
  <si>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</si>
  <si>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</si>
  <si>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</si>
  <si>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</si>
  <si>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</si>
  <si>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</si>
  <si>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</si>
  <si>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</si>
  <si>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</si>
  <si>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</si>
  <si>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</si>
  <si>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</si>
  <si>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</si>
  <si>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</si>
  <si>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</si>
  <si>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</si>
  <si>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</si>
  <si>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</si>
  <si>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</si>
  <si>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</si>
  <si>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</si>
  <si>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</si>
  <si>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</si>
  <si>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</si>
  <si>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</si>
  <si>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</si>
  <si>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</si>
  <si>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</si>
  <si>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</si>
  <si>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</si>
  <si>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</si>
  <si>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</si>
  <si>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</si>
  <si>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</si>
  <si>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</si>
  <si>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</si>
  <si>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</si>
  <si>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</si>
  <si>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</si>
  <si>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</si>
  <si>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</si>
  <si>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</si>
  <si>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</si>
  <si>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</si>
  <si>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</si>
  <si>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</si>
  <si>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</si>
  <si>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</si>
  <si>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</si>
  <si>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</si>
  <si>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</si>
  <si>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</si>
  <si>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</si>
  <si>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</si>
  <si>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</si>
  <si>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</si>
  <si>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</si>
  <si>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</si>
  <si>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</si>
  <si>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</si>
  <si>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</si>
  <si>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</si>
  <si>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</si>
  <si>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</si>
  <si>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</si>
  <si>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</si>
  <si>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</si>
  <si>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</si>
  <si>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</si>
  <si>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</si>
  <si>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</si>
  <si>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</si>
  <si>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</si>
  <si>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</si>
  <si>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</si>
  <si>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</si>
  <si>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</si>
  <si>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</si>
  <si>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</si>
  <si>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</si>
  <si>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</si>
  <si>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</si>
  <si>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</si>
  <si>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</si>
  <si>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</si>
  <si>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</si>
  <si>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</si>
  <si>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</si>
  <si>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</si>
  <si>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</si>
  <si>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</si>
  <si>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</si>
  <si>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</si>
  <si>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</si>
  <si>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</si>
  <si>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</si>
  <si>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</si>
  <si>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</si>
  <si>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</si>
  <si>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</si>
  <si>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</si>
  <si>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</si>
  <si>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</si>
  <si>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</si>
  <si>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</si>
  <si>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</si>
  <si>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</si>
  <si>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</si>
  <si>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</si>
  <si>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</si>
  <si>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</si>
  <si>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</si>
  <si>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</si>
  <si>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</si>
  <si>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</si>
  <si>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</si>
  <si>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</si>
  <si>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</si>
  <si>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</si>
  <si>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</si>
  <si>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</si>
  <si>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</si>
  <si>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</si>
  <si>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</si>
  <si>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</si>
  <si>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</si>
  <si>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</si>
  <si>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</si>
  <si>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</si>
  <si>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</si>
  <si>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</si>
  <si>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</si>
  <si>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</si>
  <si>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</si>
  <si>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</si>
  <si>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</si>
  <si>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</si>
  <si>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</si>
  <si>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</si>
  <si>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</si>
  <si>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</si>
  <si>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</si>
  <si>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</si>
  <si>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</si>
  <si>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</si>
  <si>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</si>
  <si>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</si>
  <si>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</si>
  <si>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</si>
  <si>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</si>
  <si>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</si>
  <si>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</si>
  <si>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</si>
  <si>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</si>
  <si>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</si>
  <si>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</si>
  <si>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</si>
  <si>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</si>
  <si>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</si>
  <si>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</si>
  <si>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</si>
  <si>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</si>
  <si>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</si>
  <si>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</si>
  <si>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</si>
  <si>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</si>
  <si>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</si>
  <si>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</si>
  <si>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</si>
  <si>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</si>
  <si>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</si>
  <si>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</si>
  <si>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</si>
  <si>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</si>
  <si>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</si>
  <si>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</si>
  <si>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</si>
  <si>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</si>
  <si>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</si>
  <si>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</si>
  <si>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</si>
  <si>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</si>
  <si>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</si>
  <si>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</si>
  <si>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</si>
  <si>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</si>
  <si>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</si>
  <si>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</si>
  <si>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</si>
  <si>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</si>
  <si>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</si>
  <si>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</si>
  <si>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</si>
  <si>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</si>
  <si>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</si>
  <si>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</si>
  <si>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</si>
  <si>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</si>
  <si>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</si>
  <si>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</si>
  <si>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</si>
  <si>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</si>
  <si>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</si>
  <si>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</si>
  <si>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</si>
  <si>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</si>
  <si>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</si>
  <si>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</si>
  <si>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</si>
  <si>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</si>
  <si>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</si>
  <si>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</si>
  <si>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</si>
  <si>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</si>
  <si>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</si>
  <si>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</si>
  <si>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</si>
  <si>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</si>
  <si>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</si>
  <si>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</si>
  <si>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</si>
  <si>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</si>
  <si>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</si>
  <si>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</si>
  <si>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</si>
  <si>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</si>
  <si>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</si>
  <si>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</si>
  <si>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</si>
  <si>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</si>
  <si>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</si>
  <si>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</si>
  <si>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</si>
  <si>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</si>
  <si>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</si>
  <si>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</si>
  <si>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</si>
  <si>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</si>
  <si>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</si>
  <si>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</si>
  <si>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</si>
  <si>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</si>
  <si>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</si>
  <si>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</si>
  <si>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</si>
  <si>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</si>
  <si>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</si>
  <si>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</si>
  <si>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</si>
  <si>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</si>
  <si>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</si>
  <si>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</si>
  <si>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</si>
  <si>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</si>
  <si>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</si>
  <si>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</si>
  <si>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</si>
  <si>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</si>
  <si>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</si>
  <si>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</si>
  <si>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</si>
  <si>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</si>
  <si>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</si>
  <si>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</si>
  <si>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</si>
  <si>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</si>
  <si>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</si>
  <si>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</si>
  <si>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</si>
  <si>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</si>
  <si>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</si>
  <si>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</si>
  <si>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</si>
  <si>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</si>
  <si>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</si>
  <si>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</si>
  <si>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</si>
  <si>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</si>
  <si>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</si>
  <si>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</si>
  <si>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</si>
  <si>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</si>
  <si>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</si>
  <si>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</si>
  <si>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</si>
  <si>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</si>
  <si>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</si>
  <si>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</si>
  <si>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</si>
  <si>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</si>
  <si>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</si>
  <si>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</si>
  <si>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</si>
  <si>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</si>
  <si>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</si>
  <si>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</si>
  <si>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</si>
  <si>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</si>
  <si>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</si>
  <si>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</si>
  <si>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</si>
  <si>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</si>
  <si>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</si>
  <si>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</si>
  <si>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</si>
  <si>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</si>
  <si>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</si>
  <si>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</si>
  <si>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</si>
  <si>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</si>
  <si>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</si>
  <si>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</si>
  <si>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</si>
  <si>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</si>
  <si>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</si>
  <si>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</si>
  <si>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</si>
  <si>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</si>
  <si>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</si>
  <si>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</si>
  <si>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</si>
  <si>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</si>
  <si>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</si>
  <si>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</si>
  <si>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</si>
  <si>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</si>
  <si>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</si>
  <si>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</si>
  <si>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</si>
  <si>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</si>
  <si>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</si>
  <si>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</si>
  <si>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</si>
  <si>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</si>
  <si>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</si>
  <si>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</si>
  <si>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</si>
  <si>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</si>
  <si>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</si>
  <si>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</si>
  <si>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</si>
  <si>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</si>
  <si>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</si>
  <si>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</si>
  <si>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</si>
  <si>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</si>
  <si>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</si>
  <si>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</si>
  <si>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</si>
  <si>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</si>
  <si>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</si>
  <si>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</si>
  <si>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</si>
  <si>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</si>
  <si>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</si>
  <si>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</si>
  <si>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</si>
  <si>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</si>
  <si>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</si>
  <si>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</si>
  <si>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</si>
  <si>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</si>
  <si>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</si>
  <si>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</si>
  <si>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</si>
  <si>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</si>
  <si>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</si>
  <si>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</si>
  <si>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</si>
  <si>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</si>
  <si>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</si>
  <si>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</si>
  <si>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</si>
  <si>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</si>
  <si>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</si>
  <si>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</si>
  <si>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</si>
  <si>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</si>
  <si>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</si>
  <si>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</si>
  <si>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</si>
  <si>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</si>
  <si>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</si>
  <si>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</si>
  <si>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</si>
  <si>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</si>
  <si>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</si>
  <si>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</si>
  <si>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</si>
  <si>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</si>
  <si>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</si>
  <si>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</si>
  <si>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</si>
  <si>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</si>
  <si>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</si>
  <si>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</si>
  <si>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</si>
  <si>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</si>
  <si>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</si>
  <si>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</si>
  <si>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</si>
  <si>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</si>
  <si>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</si>
  <si>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</si>
  <si>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</si>
  <si>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</si>
  <si>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</si>
  <si>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</si>
  <si>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</si>
  <si>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</si>
  <si>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</si>
  <si>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</si>
  <si>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</si>
  <si>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</si>
  <si>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</si>
  <si>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</si>
  <si>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</si>
  <si>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</si>
  <si>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</si>
  <si>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</si>
  <si>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</si>
  <si>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</si>
  <si>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</si>
  <si>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</si>
  <si>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</si>
  <si>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</si>
  <si>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</si>
  <si>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</si>
  <si>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</si>
  <si>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</si>
  <si>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</si>
  <si>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</si>
  <si>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</si>
  <si>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</si>
  <si>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</si>
  <si>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</si>
  <si>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</si>
  <si>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</si>
  <si>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</si>
  <si>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</si>
  <si>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</si>
  <si>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</si>
  <si>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</si>
  <si>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</si>
  <si>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</si>
  <si>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</si>
  <si>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</si>
  <si>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</si>
  <si>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</si>
  <si>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</si>
  <si>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</si>
  <si>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</si>
  <si>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</si>
  <si>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</si>
  <si>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</si>
  <si>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</si>
  <si>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</si>
  <si>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</si>
  <si>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</si>
  <si>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</si>
  <si>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</si>
  <si>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</si>
  <si>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</si>
  <si>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</si>
  <si>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</si>
  <si>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</si>
  <si>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</si>
  <si>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</si>
  <si>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</si>
  <si>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</si>
  <si>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</si>
  <si>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</si>
  <si>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</si>
  <si>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</si>
  <si>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</si>
  <si>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</si>
  <si>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</si>
  <si>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</si>
  <si>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</si>
  <si>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</si>
  <si>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</si>
  <si>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</si>
  <si>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</si>
  <si>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</si>
  <si>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</si>
  <si>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</si>
  <si>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</si>
  <si>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</si>
  <si>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</si>
  <si>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</si>
  <si>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</si>
  <si>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</si>
  <si>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</si>
  <si>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</si>
  <si>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</si>
  <si>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</si>
  <si>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</si>
  <si>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</si>
  <si>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</si>
  <si>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</si>
  <si>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</si>
  <si>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</si>
  <si>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</si>
  <si>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</si>
  <si>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</si>
  <si>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</si>
  <si>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</si>
  <si>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</si>
  <si>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</si>
  <si>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</si>
  <si>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</si>
  <si>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</si>
  <si>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</si>
  <si>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</si>
  <si>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</si>
  <si>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</si>
  <si>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</si>
  <si>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</si>
  <si>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</si>
  <si>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</si>
  <si>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</si>
  <si>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</si>
  <si>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</si>
  <si>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</si>
  <si>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</si>
  <si>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</si>
  <si>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</si>
  <si>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</si>
  <si>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</si>
  <si>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</si>
  <si>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</si>
  <si>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</si>
  <si>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</si>
  <si>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</si>
  <si>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</si>
  <si>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</si>
  <si>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</si>
  <si>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</si>
  <si>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</si>
  <si>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</si>
  <si>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</si>
  <si>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</si>
  <si>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</si>
  <si>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</si>
  <si>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</si>
  <si>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</si>
  <si>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</si>
  <si>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</si>
  <si>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</si>
  <si>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</si>
  <si>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</si>
  <si>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</si>
  <si>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</si>
  <si>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</si>
  <si>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</si>
  <si>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</si>
  <si>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</si>
  <si>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</si>
  <si>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</si>
  <si>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</si>
  <si>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</si>
  <si>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</si>
  <si>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</si>
  <si>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</si>
  <si>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</si>
  <si>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</si>
  <si>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</si>
  <si>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</si>
  <si>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</si>
  <si>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</si>
  <si>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</si>
  <si>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</si>
  <si>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</si>
  <si>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</si>
  <si>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</si>
  <si>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</si>
  <si>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</si>
  <si>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</si>
  <si>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</si>
  <si>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</si>
  <si>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</si>
  <si>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</si>
  <si>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</si>
  <si>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</si>
  <si>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</si>
  <si>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</si>
  <si>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</si>
  <si>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</si>
  <si>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</si>
  <si>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</si>
  <si>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</si>
  <si>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</si>
  <si>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</si>
  <si>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</si>
  <si>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</si>
  <si>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</si>
  <si>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</si>
  <si>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</si>
  <si>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</si>
  <si>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</si>
  <si>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</si>
  <si>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</si>
  <si>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</si>
  <si>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</si>
  <si>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</si>
  <si>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</si>
  <si>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</si>
  <si>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</si>
  <si>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</si>
  <si>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</si>
  <si>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</si>
  <si>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</si>
  <si>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</si>
  <si>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</si>
  <si>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</si>
  <si>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</si>
  <si>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</si>
  <si>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</si>
  <si>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</si>
  <si>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</si>
  <si>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</si>
  <si>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</si>
  <si>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</si>
  <si>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</si>
  <si>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</si>
  <si>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</si>
  <si>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</si>
  <si>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</si>
  <si>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</si>
  <si>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</si>
  <si>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</si>
  <si>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</si>
  <si>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</si>
  <si>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</si>
  <si>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</si>
  <si>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</si>
  <si>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</si>
  <si>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</si>
  <si>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</si>
  <si>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</si>
  <si>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</si>
  <si>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</si>
  <si>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</si>
  <si>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</si>
  <si>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</si>
  <si>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</si>
  <si>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</si>
  <si>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</si>
  <si>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</si>
  <si>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</si>
  <si>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</si>
  <si>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</si>
  <si>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</si>
  <si>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</si>
  <si>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</si>
  <si>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</si>
  <si>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</si>
  <si>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</si>
  <si>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</si>
  <si>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</si>
  <si>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</si>
  <si>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</si>
  <si>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</si>
  <si>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</si>
  <si>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</si>
  <si>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</si>
  <si>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</si>
  <si>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</si>
  <si>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</si>
  <si>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</si>
  <si>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</si>
  <si>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</si>
  <si>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</si>
  <si>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</si>
  <si>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</si>
  <si>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</si>
  <si>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</si>
  <si>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</si>
  <si>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</si>
  <si>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</si>
  <si>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</si>
  <si>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</si>
  <si>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</si>
  <si>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</si>
  <si>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</si>
  <si>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</si>
  <si>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</si>
  <si>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</si>
  <si>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</si>
  <si>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</si>
  <si>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</si>
  <si>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</si>
  <si>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</si>
  <si>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</si>
  <si>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</si>
  <si>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</si>
  <si>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</si>
  <si>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</si>
  <si>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</si>
  <si>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</si>
  <si>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</si>
  <si>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</si>
  <si>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</si>
  <si>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</si>
  <si>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</si>
  <si>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</si>
  <si>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</si>
  <si>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</si>
  <si>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</si>
  <si>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</si>
  <si>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</si>
  <si>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</si>
  <si>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</si>
  <si>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</si>
  <si>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</si>
  <si>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</si>
  <si>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</si>
  <si>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</si>
  <si>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</si>
  <si>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</si>
  <si>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</si>
  <si>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</si>
  <si>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</si>
  <si>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</si>
  <si>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</si>
  <si>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</si>
  <si>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</si>
  <si>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</si>
  <si>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</si>
  <si>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</si>
  <si>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</si>
  <si>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</si>
  <si>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</si>
  <si>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</si>
  <si>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</si>
  <si>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</si>
  <si>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</si>
  <si>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</si>
  <si>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</si>
  <si>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</si>
  <si>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</si>
  <si>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</si>
  <si>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</si>
  <si>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</si>
  <si>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</si>
  <si>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</si>
  <si>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</si>
  <si>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</si>
  <si>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</si>
  <si>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</si>
  <si>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</si>
  <si>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</si>
  <si>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</si>
  <si>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</si>
  <si>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</si>
  <si>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</si>
  <si>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</si>
  <si>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</si>
  <si>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</si>
  <si>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</si>
  <si>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</si>
  <si>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</si>
  <si>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</si>
  <si>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</si>
  <si>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</si>
  <si>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</si>
  <si>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</si>
  <si>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</si>
  <si>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</si>
  <si>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</si>
  <si>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</si>
  <si>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</si>
  <si>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</si>
  <si>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</si>
  <si>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</si>
  <si>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</si>
  <si>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</si>
  <si>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</si>
  <si>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</si>
  <si>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</si>
  <si>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</si>
  <si>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</si>
  <si>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</si>
  <si>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</si>
  <si>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</si>
  <si>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</si>
  <si>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</si>
  <si>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</si>
  <si>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</si>
  <si>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</si>
  <si>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</si>
  <si>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</si>
  <si>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</si>
  <si>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</si>
  <si>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</si>
  <si>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</si>
  <si>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</si>
  <si>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</si>
  <si>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</si>
  <si>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</si>
  <si>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</si>
  <si>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</si>
  <si>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</si>
  <si>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</si>
  <si>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</si>
  <si>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</si>
  <si>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</si>
  <si>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</si>
  <si>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</si>
  <si>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</si>
  <si>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</si>
  <si>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</si>
  <si>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</si>
  <si>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</si>
  <si>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</si>
  <si>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</si>
  <si>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</si>
  <si>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</si>
  <si>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</si>
  <si>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</si>
  <si>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</si>
  <si>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</si>
  <si>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</si>
  <si>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</si>
  <si>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</si>
  <si>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</si>
  <si>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</si>
  <si>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</si>
  <si>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</si>
  <si>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</si>
  <si>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</si>
  <si>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</si>
  <si>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</si>
  <si>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</si>
  <si>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</si>
  <si>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</si>
  <si>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</si>
  <si>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</si>
  <si>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</si>
  <si>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</si>
  <si>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</si>
  <si>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</si>
  <si>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</si>
  <si>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</si>
  <si>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</si>
  <si>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</si>
  <si>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</si>
  <si>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</si>
  <si>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</si>
  <si>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</si>
  <si>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</si>
  <si>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</si>
  <si>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</si>
  <si>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</si>
  <si>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</si>
  <si>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</si>
  <si>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</si>
  <si>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</si>
  <si>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</si>
  <si>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</si>
  <si>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</si>
  <si>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</si>
  <si>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</si>
  <si>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</si>
  <si>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</si>
  <si>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</si>
  <si>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</si>
  <si>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</si>
  <si>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</si>
  <si>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</si>
  <si>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</si>
  <si>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</si>
  <si>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</si>
  <si>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</si>
  <si>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</si>
  <si>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</si>
  <si>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</si>
  <si>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</si>
  <si>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</si>
  <si>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</si>
  <si>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</si>
  <si>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</si>
  <si>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</si>
  <si>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</si>
  <si>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</si>
  <si>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</si>
  <si>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</si>
  <si>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</si>
  <si>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</si>
  <si>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</si>
  <si>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</si>
  <si>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</si>
  <si>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</si>
  <si>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</si>
  <si>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</si>
  <si>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</si>
  <si>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</si>
  <si>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</si>
  <si>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</si>
  <si>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</si>
  <si>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</si>
  <si>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</si>
  <si>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</si>
  <si>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</si>
  <si>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</si>
  <si>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</si>
  <si>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</si>
  <si>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</si>
  <si>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</si>
  <si>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</si>
  <si>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</si>
  <si>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</si>
  <si>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</si>
  <si>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</si>
  <si>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</si>
  <si>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</si>
  <si>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</si>
  <si>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</si>
  <si>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</si>
  <si>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</si>
  <si>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</si>
  <si>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</si>
  <si>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</si>
  <si>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</si>
  <si>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</si>
  <si>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</si>
  <si>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</si>
  <si>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</si>
  <si>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</si>
  <si>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</si>
  <si>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</si>
  <si>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</si>
  <si>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</si>
  <si>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</si>
  <si>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</si>
  <si>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</si>
  <si>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</si>
  <si>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</si>
  <si>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</si>
  <si>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</si>
  <si>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</si>
  <si>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</si>
  <si>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</si>
  <si>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</si>
  <si>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</si>
  <si>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</si>
  <si>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</si>
  <si>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</si>
  <si>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</si>
  <si>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</si>
  <si>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</si>
  <si>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</si>
  <si>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</si>
  <si>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</si>
  <si>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</si>
  <si>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</si>
  <si>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</si>
  <si>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</si>
  <si>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</si>
  <si>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</si>
  <si>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</si>
  <si>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</si>
  <si>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</si>
  <si>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</si>
  <si>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</si>
  <si>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</si>
  <si>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</si>
  <si>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</si>
  <si>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</si>
  <si>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</si>
  <si>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</si>
  <si>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</si>
  <si>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</si>
  <si>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</si>
  <si>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</si>
  <si>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</si>
  <si>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</si>
  <si>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</si>
  <si>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</si>
  <si>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</si>
  <si>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</si>
  <si>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</si>
  <si>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</si>
  <si>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</si>
  <si>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</si>
  <si>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</si>
  <si>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</si>
  <si>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</si>
  <si>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</si>
  <si>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</si>
  <si>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</si>
  <si>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</si>
  <si>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</si>
  <si>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</si>
  <si>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</si>
  <si>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</si>
  <si>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</si>
  <si>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</si>
  <si>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</si>
  <si>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</si>
  <si>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</si>
  <si>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</si>
  <si>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</si>
  <si>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</si>
  <si>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</si>
  <si>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</si>
  <si>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</si>
  <si>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</si>
  <si>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</si>
  <si>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</si>
  <si>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</si>
  <si>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</si>
  <si>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</si>
  <si>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</si>
  <si>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</si>
  <si>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</si>
  <si>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</si>
  <si>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</si>
  <si>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</si>
  <si>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</si>
  <si>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</si>
  <si>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</si>
  <si>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</si>
  <si>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</si>
  <si>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</si>
  <si>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</si>
  <si>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</si>
  <si>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</si>
  <si>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</si>
  <si>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</si>
  <si>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</si>
  <si>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</si>
  <si>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</si>
  <si>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</si>
  <si>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</si>
  <si>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</si>
  <si>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</si>
  <si>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</si>
  <si>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</si>
  <si>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</si>
  <si>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</si>
  <si>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</si>
  <si>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</si>
  <si>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</si>
  <si>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</si>
  <si>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</si>
  <si>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</si>
  <si>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</si>
  <si>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</si>
  <si>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</si>
  <si>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</si>
  <si>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</si>
  <si>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</si>
  <si>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</si>
  <si>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</si>
  <si>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</si>
  <si>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</si>
  <si>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</si>
  <si>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</si>
  <si>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</si>
  <si>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</si>
  <si>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</si>
  <si>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</si>
  <si>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</si>
  <si>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</si>
  <si>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</si>
  <si>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</si>
  <si>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</si>
  <si>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</si>
  <si>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</si>
  <si>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</si>
  <si>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</si>
  <si>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</si>
  <si>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</si>
  <si>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</si>
  <si>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</si>
  <si>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</si>
  <si>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</si>
  <si>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</si>
  <si>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</si>
  <si>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</si>
  <si>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</si>
  <si>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</si>
  <si>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</si>
  <si>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</si>
  <si>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</si>
  <si>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</si>
  <si>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</si>
  <si>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</si>
  <si>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</si>
  <si>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</si>
  <si>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</si>
  <si>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</si>
  <si>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</si>
  <si>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</si>
  <si>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</si>
  <si>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</si>
  <si>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</si>
  <si>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</si>
  <si>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</si>
  <si>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</si>
  <si>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</si>
  <si>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</si>
  <si>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</si>
  <si>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</si>
  <si>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</si>
  <si>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</si>
  <si>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</si>
  <si>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</si>
  <si>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</si>
  <si>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</si>
  <si>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</si>
  <si>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</si>
  <si>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</si>
  <si>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</si>
  <si>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</si>
  <si>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</si>
  <si>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</si>
  <si>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</si>
  <si>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</si>
  <si>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</si>
  <si>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</si>
  <si>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</si>
  <si>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</si>
  <si>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</si>
  <si>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</si>
  <si>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</si>
  <si>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</si>
  <si>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</si>
  <si>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</si>
  <si>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</si>
  <si>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</si>
  <si>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</si>
  <si>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</si>
  <si>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</si>
  <si>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</si>
  <si>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</si>
  <si>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</si>
  <si>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</si>
  <si>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</si>
  <si>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</si>
  <si>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</si>
  <si>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</si>
  <si>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</si>
  <si>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</si>
  <si>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</si>
  <si>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</si>
  <si>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</si>
  <si>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</si>
  <si>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</si>
  <si>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</si>
  <si>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</si>
  <si>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</si>
  <si>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</si>
  <si>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</si>
  <si>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</si>
  <si>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</si>
  <si>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</si>
  <si>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</si>
  <si>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</si>
  <si>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</si>
  <si>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</si>
  <si>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</si>
  <si>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</si>
  <si>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</si>
  <si>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</si>
  <si>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</si>
  <si>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</si>
  <si>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</si>
  <si>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</si>
  <si>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</si>
  <si>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</si>
  <si>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</si>
  <si>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</si>
  <si>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</si>
  <si>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</si>
  <si>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</si>
  <si>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</si>
  <si>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</si>
  <si>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</si>
  <si>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</si>
  <si>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</si>
  <si>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</si>
  <si>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</si>
  <si>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</si>
  <si>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</si>
  <si>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</si>
  <si>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</si>
  <si>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</si>
  <si>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</si>
  <si>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</si>
  <si>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</si>
  <si>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</si>
  <si>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</si>
  <si>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</si>
  <si>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</si>
  <si>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</si>
  <si>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</si>
  <si>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</si>
  <si>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</si>
  <si>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</si>
  <si>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</si>
  <si>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</si>
  <si>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</si>
  <si>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</si>
  <si>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</si>
  <si>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</si>
  <si>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</si>
  <si>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</si>
  <si>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</si>
  <si>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</si>
  <si>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</si>
  <si>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</si>
  <si>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</si>
  <si>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</si>
  <si>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</si>
  <si>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</si>
  <si>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</si>
  <si>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</si>
  <si>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</si>
  <si>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</si>
  <si>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</si>
  <si>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</si>
  <si>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</si>
  <si>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</si>
  <si>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</si>
  <si>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</si>
  <si>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</si>
  <si>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</si>
  <si>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</si>
  <si>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</si>
  <si>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</si>
  <si>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</si>
  <si>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</si>
  <si>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</si>
  <si>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</si>
  <si>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</si>
  <si>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</si>
  <si>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</si>
  <si>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</si>
  <si>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</si>
  <si>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</si>
  <si>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</si>
  <si>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</si>
  <si>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</si>
  <si>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</si>
  <si>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</si>
  <si>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</si>
  <si>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</si>
  <si>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</si>
  <si>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</si>
  <si>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</si>
  <si>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</si>
  <si>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</si>
  <si>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</si>
  <si>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</si>
  <si>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</si>
  <si>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</si>
  <si>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</si>
  <si>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</si>
  <si>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</si>
  <si>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</si>
  <si>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</si>
  <si>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</si>
  <si>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</si>
  <si>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</si>
  <si>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</si>
  <si>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</si>
  <si>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</si>
  <si>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</si>
  <si>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</si>
  <si>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</si>
  <si>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</si>
  <si>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</si>
  <si>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</si>
  <si>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</si>
  <si>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</si>
  <si>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</si>
  <si>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</si>
  <si>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</si>
  <si>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</si>
  <si>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</si>
  <si>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</si>
  <si>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</si>
  <si>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</si>
  <si>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</si>
  <si>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</si>
  <si>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</si>
  <si>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</si>
  <si>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</si>
  <si>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</si>
  <si>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</si>
  <si>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</si>
  <si>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</si>
  <si>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</si>
  <si>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</si>
  <si>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</si>
  <si>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</si>
  <si>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</si>
  <si>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</si>
  <si>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</si>
  <si>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</si>
  <si>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</si>
  <si>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</si>
  <si>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</si>
  <si>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</si>
  <si>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</si>
  <si>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</si>
  <si>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</si>
  <si>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</si>
  <si>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</si>
  <si>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</si>
  <si>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</si>
  <si>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</si>
  <si>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</si>
  <si>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</si>
  <si>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</si>
  <si>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</si>
  <si>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</si>
  <si>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</si>
  <si>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</si>
  <si>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</si>
  <si>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</si>
  <si>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</si>
  <si>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</si>
  <si>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</si>
  <si>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</si>
  <si>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</si>
  <si>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</si>
  <si>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</si>
  <si>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</si>
  <si>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</si>
  <si>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</si>
  <si>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</si>
  <si>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</si>
  <si>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</si>
  <si>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</si>
  <si>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</si>
  <si>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</si>
  <si>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</si>
  <si>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</si>
  <si>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</si>
  <si>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</si>
  <si>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</si>
  <si>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</si>
  <si>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</si>
  <si>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</si>
  <si>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</si>
  <si>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</si>
  <si>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</si>
  <si>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</si>
  <si>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</si>
  <si>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</si>
  <si>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</si>
  <si>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</si>
  <si>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</si>
  <si>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</si>
  <si>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</si>
  <si>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</si>
  <si>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</si>
  <si>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</si>
  <si>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</si>
  <si>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</si>
  <si>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</si>
  <si>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</si>
  <si>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</si>
  <si>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</si>
  <si>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</si>
  <si>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</si>
  <si>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</si>
  <si>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</si>
  <si>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</si>
  <si>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</si>
  <si>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</si>
  <si>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</si>
  <si>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</si>
  <si>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</si>
  <si>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</si>
  <si>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</si>
  <si>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</si>
  <si>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</si>
  <si>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</si>
  <si>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</si>
  <si>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</si>
  <si>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</si>
  <si>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</si>
  <si>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</si>
  <si>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</si>
  <si>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</si>
  <si>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</si>
  <si>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</si>
  <si>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</si>
  <si>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</si>
  <si>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</si>
  <si>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</si>
  <si>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</si>
  <si>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</si>
  <si>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</si>
  <si>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</si>
  <si>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</si>
  <si>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</si>
  <si>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</si>
  <si>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</si>
  <si>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</si>
  <si>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</si>
  <si>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</si>
  <si>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</si>
  <si>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</si>
  <si>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</si>
  <si>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</si>
  <si>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</si>
  <si>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</si>
  <si>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</si>
  <si>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</si>
  <si>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</si>
  <si>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</si>
  <si>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</si>
  <si>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</si>
  <si>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</si>
  <si>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</si>
  <si>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</si>
  <si>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</si>
  <si>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</si>
  <si>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</si>
  <si>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</si>
  <si>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</si>
  <si>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</si>
  <si>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</si>
  <si>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</si>
  <si>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</si>
  <si>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</si>
  <si>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</si>
  <si>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</si>
  <si>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</si>
  <si>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</si>
  <si>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</si>
  <si>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</si>
  <si>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</si>
  <si>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</si>
  <si>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</si>
  <si>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</si>
  <si>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</si>
  <si>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</si>
  <si>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</si>
  <si>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</si>
  <si>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</si>
  <si>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</si>
  <si>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</si>
  <si>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</si>
  <si>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</si>
  <si>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</si>
  <si>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</si>
  <si>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</si>
  <si>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</si>
  <si>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</si>
  <si>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</si>
  <si>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</si>
  <si>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</si>
  <si>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</si>
  <si>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</si>
  <si>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</si>
  <si>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</si>
  <si>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</si>
  <si>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</si>
  <si>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</si>
  <si>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</si>
  <si>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</si>
  <si>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</si>
  <si>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</si>
  <si>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</si>
  <si>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</si>
  <si>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</si>
  <si>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</si>
  <si>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</si>
  <si>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</si>
  <si>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</si>
  <si>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</si>
  <si>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</si>
  <si>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</si>
  <si>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</si>
  <si>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</si>
  <si>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</si>
  <si>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</si>
  <si>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</si>
  <si>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</si>
  <si>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</si>
  <si>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</si>
  <si>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</si>
  <si>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</si>
  <si>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</si>
  <si>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</si>
  <si>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</si>
  <si>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</si>
  <si>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</si>
  <si>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</si>
  <si>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</si>
  <si>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</si>
  <si>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</si>
  <si>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</si>
  <si>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</si>
  <si>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</si>
  <si>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</si>
  <si>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</si>
  <si>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</si>
  <si>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</si>
  <si>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</si>
  <si>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</si>
  <si>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</si>
  <si>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</si>
  <si>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</si>
  <si>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</si>
  <si>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</si>
  <si>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</si>
  <si>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</si>
  <si>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</si>
  <si>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</si>
  <si>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</si>
  <si>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</si>
  <si>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</si>
  <si>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</si>
  <si>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</si>
  <si>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</si>
  <si>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</si>
  <si>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</si>
  <si>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</si>
  <si>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</si>
  <si>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</si>
  <si>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</si>
  <si>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</si>
  <si>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</si>
  <si>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</si>
  <si>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</si>
  <si>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</si>
  <si>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</si>
  <si>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</si>
  <si>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</si>
  <si>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</si>
  <si>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</si>
  <si>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</si>
  <si>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</si>
  <si>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</si>
  <si>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</si>
  <si>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</si>
  <si>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</si>
  <si>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</si>
  <si>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</si>
  <si>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</si>
  <si>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</si>
  <si>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</si>
  <si>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</si>
  <si>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</si>
  <si>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</si>
  <si>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</si>
  <si>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</si>
  <si>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</si>
  <si>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</si>
  <si>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</si>
  <si>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</si>
  <si>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</si>
  <si>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</si>
  <si>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</si>
  <si>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</si>
  <si>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</si>
  <si>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</si>
  <si>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</si>
  <si>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</si>
  <si>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</si>
  <si>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</si>
  <si>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</si>
  <si>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</si>
  <si>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</si>
  <si>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</si>
  <si>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</si>
  <si>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</si>
  <si>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</si>
  <si>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</si>
  <si>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</si>
  <si>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</si>
  <si>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</si>
  <si>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</si>
  <si>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</si>
  <si>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</si>
  <si>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</si>
  <si>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</si>
  <si>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</si>
  <si>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</si>
  <si>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</si>
  <si>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</si>
  <si>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</si>
  <si>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</si>
  <si>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</si>
  <si>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</si>
  <si>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</si>
  <si>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</si>
  <si>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</si>
  <si>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</si>
  <si>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</si>
  <si>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</si>
  <si>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</si>
  <si>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</si>
  <si>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</si>
  <si>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</si>
  <si>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</si>
  <si>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</si>
  <si>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</si>
  <si>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</si>
  <si>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</si>
  <si>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</si>
  <si>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</si>
  <si>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</si>
  <si>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</si>
  <si>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</si>
  <si>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</si>
  <si>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</si>
  <si>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</si>
  <si>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</si>
  <si>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</si>
  <si>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</si>
  <si>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</si>
  <si>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</si>
  <si>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</si>
  <si>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</si>
  <si>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</si>
  <si>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</si>
  <si>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</si>
  <si>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</si>
  <si>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</si>
  <si>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</si>
  <si>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</si>
  <si>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</si>
  <si>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</si>
  <si>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</si>
  <si>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</si>
  <si>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</si>
  <si>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</si>
  <si>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</si>
  <si>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</si>
  <si>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</si>
  <si>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</si>
  <si>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</si>
  <si>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</si>
  <si>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</si>
  <si>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</si>
  <si>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</si>
  <si>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</si>
  <si>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</si>
  <si>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</si>
  <si>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</si>
  <si>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</si>
  <si>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</si>
  <si>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</si>
  <si>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</si>
  <si>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</si>
  <si>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</si>
  <si>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</si>
  <si>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</si>
  <si>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</si>
  <si>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</si>
  <si>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</si>
  <si>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</si>
  <si>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</si>
  <si>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</si>
  <si>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</si>
  <si>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</si>
  <si>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</si>
  <si>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</si>
  <si>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</si>
  <si>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</si>
  <si>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</si>
  <si>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</si>
  <si>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</si>
  <si>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</si>
  <si>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</si>
  <si>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</si>
  <si>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</si>
  <si>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</si>
  <si>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</si>
  <si>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</si>
  <si>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</si>
  <si>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</si>
  <si>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</si>
  <si>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</si>
  <si>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</si>
  <si>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</si>
  <si>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</si>
  <si>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</si>
  <si>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</si>
  <si>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</si>
  <si>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</si>
  <si>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</si>
  <si>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</si>
  <si>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</si>
  <si>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</si>
  <si>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</si>
  <si>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</si>
  <si>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</si>
  <si>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</si>
  <si>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</si>
  <si>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</si>
  <si>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</si>
  <si>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</si>
  <si>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</si>
  <si>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</si>
  <si>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</si>
  <si>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</si>
  <si>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</si>
  <si>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</si>
  <si>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</si>
  <si>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</si>
  <si>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</si>
  <si>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</si>
  <si>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</si>
  <si>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</si>
  <si>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</si>
  <si>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</si>
  <si>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</si>
  <si>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</si>
  <si>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</si>
  <si>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</si>
  <si>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</si>
  <si>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</si>
  <si>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</si>
  <si>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</si>
  <si>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</si>
  <si>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</si>
  <si>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</si>
  <si>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</si>
  <si>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</si>
  <si>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</si>
  <si>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</si>
  <si>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</si>
  <si>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</si>
  <si>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</si>
  <si>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</si>
  <si>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</si>
  <si>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</si>
  <si>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</si>
  <si>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</si>
  <si>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</si>
  <si>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</si>
  <si>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id</t>
  </si>
  <si>
    <t>Date Created Conversion</t>
  </si>
  <si>
    <t>Date Ended Conversion</t>
  </si>
  <si>
    <t>The mean number of backers</t>
  </si>
  <si>
    <t>The variance of the number of backers</t>
  </si>
  <si>
    <t>The median number of backers</t>
  </si>
  <si>
    <t>The minimum number of backers</t>
  </si>
  <si>
    <t>The maximum number of backers</t>
  </si>
  <si>
    <t>The standard deviation of the number of backers</t>
  </si>
  <si>
    <t>Summary for "Successful" outcome</t>
  </si>
  <si>
    <t>Summary for "failed"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</si>
  <si>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</si>
  <si>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</si>
  <si>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</si>
  <si>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</si>
  <si>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</si>
  <si>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</si>
  <si>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</si>
  <si>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</si>
  <si>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</si>
  <si>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</si>
  <si>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</si>
  <si>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</si>
  <si>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</si>
  <si>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</si>
  <si>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</si>
  <si>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</si>
  <si>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</si>
  <si>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</si>
  <si>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</si>
  <si>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</si>
  <si>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</si>
  <si>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</si>
  <si>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</si>
  <si>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</si>
  <si>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</si>
  <si>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</si>
  <si>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</si>
  <si>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</si>
  <si>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</si>
  <si>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</si>
  <si>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</si>
  <si>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</si>
  <si>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</si>
  <si>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</si>
  <si>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Analysis:</t>
  </si>
  <si>
    <t>1. Median is more meaningful than mean because mean take outliers into account, which can skew the overall representation of data in favor of large outliers.</t>
  </si>
  <si>
    <t>2. The unsuccessful campaigns have less variance than the 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</si>
</sst>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42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8" fillId="0" borderId="0" xfId="0" applyFont="1"/>
    <xf numFmtId="2" fontId="19" fillId="0" borderId="0" xfId="0" applyNumberFormat="1" applyFont="1"/>
    <xf numFmtId="0" fontId="16" fillId="0" borderId="0" xfId="0" applyFont="1"/>
    <xf numFmtId="9" fontId="16" fillId="0" borderId="0" xfId="42" applyFont="1"/>
    <xf numFmtId="9" fontId="0" fillId="0" borderId="0" xfId="42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00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56638922603125E-2"/>
          <c:y val="3.6125467424680022E-2"/>
          <c:w val="0.8382034019366118"/>
          <c:h val="0.768694960427243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3-4AB2-81BA-30EAB97941B4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3-4AB2-81BA-30EAB97941B4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3-4AB2-81BA-30EAB97941B4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3-4AB2-81BA-30EAB979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472576"/>
        <c:axId val="1529474240"/>
      </c:barChart>
      <c:catAx>
        <c:axId val="15294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74240"/>
        <c:crosses val="autoZero"/>
        <c:auto val="1"/>
        <c:lblAlgn val="ctr"/>
        <c:lblOffset val="100"/>
        <c:noMultiLvlLbl val="0"/>
      </c:catAx>
      <c:valAx>
        <c:axId val="15294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4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solidFill>
              <a:srgbClr val="FF33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bg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436650484048973E-2"/>
          <c:y val="0.13354214241444859"/>
          <c:w val="0.85499516808764919"/>
          <c:h val="0.66307573280756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D-4174-8448-4C3A227F8ACE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rgbClr val="FF3300"/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D-4174-8448-4C3A227F8ACE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D-4174-8448-4C3A227F8ACE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4-4547-B867-2BE0F398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9381456"/>
        <c:axId val="1619375216"/>
      </c:barChart>
      <c:catAx>
        <c:axId val="16193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75216"/>
        <c:crosses val="autoZero"/>
        <c:auto val="1"/>
        <c:lblAlgn val="ctr"/>
        <c:lblOffset val="100"/>
        <c:noMultiLvlLbl val="0"/>
      </c:catAx>
      <c:valAx>
        <c:axId val="16193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Date!PivotTable1</c:name>
    <c:fmtId val="3"/>
  </c:pivotSource>
  <c:chart>
    <c:autoTitleDeleted val="0"/>
    <c:pivotFmts>
      <c:pivotFmt>
        <c:idx val="0"/>
        <c:spPr>
          <a:ln w="412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22225">
              <a:solidFill>
                <a:schemeClr val="bg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12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352456829421144E-2"/>
          <c:y val="4.4444444444444446E-2"/>
          <c:w val="0.82996171577843547"/>
          <c:h val="0.87333974919801693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412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7CB-AB4A-14BDFF354A72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1-461C-87DA-31A8E5FD9112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1-461C-87DA-31A8E5FD9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26927"/>
        <c:axId val="990729839"/>
      </c:lineChart>
      <c:catAx>
        <c:axId val="9907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9839"/>
        <c:crosses val="autoZero"/>
        <c:auto val="1"/>
        <c:lblAlgn val="ctr"/>
        <c:lblOffset val="100"/>
        <c:noMultiLvlLbl val="0"/>
      </c:catAx>
      <c:valAx>
        <c:axId val="9907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'Bonus_1_Goal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412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'Bonus_1_Goal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'Bonus_1_Goal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E-49FC-A86D-1BA838164DCF}"/>
            </c:ext>
          </c:extLst>
        </c:ser>
        <c:ser>
          <c:idx val="1"/>
          <c:order val="1"/>
          <c:tx>
            <c:strRef>
              <c:f>'Bonus_1_Goal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412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'Bonus_1_Goal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'Bonus_1_Goal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E-49FC-A86D-1BA838164DCF}"/>
            </c:ext>
          </c:extLst>
        </c:ser>
        <c:ser>
          <c:idx val="2"/>
          <c:order val="2"/>
          <c:tx>
            <c:strRef>
              <c:f>'Bonus_1_Goal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412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'Bonus_1_Goal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'Bonus_1_Goal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E-49FC-A86D-1BA83816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48287"/>
        <c:axId val="442148703"/>
      </c:lineChart>
      <c:catAx>
        <c:axId val="4421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8703"/>
        <c:crosses val="autoZero"/>
        <c:auto val="1"/>
        <c:lblAlgn val="ctr"/>
        <c:lblOffset val="100"/>
        <c:noMultiLvlLbl val="0"/>
      </c:catAx>
      <c:valAx>
        <c:axId val="4421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2</xdr:row>
      <xdr:rowOff>0</xdr:rowOff>
    </xdr:from>
    <xdr:to>
      <xdr:col>17</xdr:col>
      <xdr:colOff>213360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195CA-DD7F-5EFF-23D8-E7B64C2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7620</xdr:rowOff>
    </xdr:from>
    <xdr:to>
      <xdr:col>19</xdr:col>
      <xdr:colOff>205740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CF2C4-33D9-52E2-D4D2-13A7EA874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3</xdr:row>
      <xdr:rowOff>7620</xdr:rowOff>
    </xdr:from>
    <xdr:to>
      <xdr:col>17</xdr:col>
      <xdr:colOff>106680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9AC48-D16B-F89C-6E54-F71071B23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16</xdr:row>
      <xdr:rowOff>7620</xdr:rowOff>
    </xdr:from>
    <xdr:to>
      <xdr:col>7</xdr:col>
      <xdr:colOff>731520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C9CB8-DEF9-A519-4B07-C895B3A4F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 Indra Nandagopal" refreshedDate="44724.725975462963" createdVersion="8" refreshedVersion="8" minRefreshableVersion="3" recordCount="1000" xr:uid="{D88AE9B2-E7AB-4F44-A7F6-2C2C8AA6A156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0">
      <sharedItems containsNonDate="0" containsString="0" containsBlank="1"/>
    </cacheField>
    <cacheField name="Date Ended Conversion" numFmtId="0">
      <sharedItems containsNonDate="0" containsString="0" containsBlank="1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 Indra Nandagopal" refreshedDate="44725.55371388889" createdVersion="8" refreshedVersion="8" minRefreshableVersion="3" recordCount="1001" xr:uid="{5B7B3032-0F54-46D7-A7BB-EDBA0053C2A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m/>
    <m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m/>
    <m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m/>
    <m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m/>
    <m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m/>
    <m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m/>
    <m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m/>
    <m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m/>
    <m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m/>
    <m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m/>
    <m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m/>
    <m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m/>
    <m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m/>
    <m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m/>
    <m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m/>
    <m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m/>
    <m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m/>
    <m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m/>
    <m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m/>
    <m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m/>
    <m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m/>
    <m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m/>
    <m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m/>
    <m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m/>
    <m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m/>
    <m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m/>
    <m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m/>
    <m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m/>
    <m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m/>
    <m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m/>
    <m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m/>
    <m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m/>
    <m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m/>
    <m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m/>
    <m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m/>
    <m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m/>
    <m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m/>
    <m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m/>
    <m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m/>
    <m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m/>
    <m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m/>
    <m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m/>
    <m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m/>
    <m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m/>
    <m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m/>
    <m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m/>
    <m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m/>
    <m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m/>
    <m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m/>
    <m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m/>
    <m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m/>
    <m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m/>
    <m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m/>
    <m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m/>
    <m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m/>
    <m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m/>
    <m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m/>
    <m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m/>
    <m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m/>
    <m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m/>
    <m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m/>
    <m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m/>
    <m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m/>
    <m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m/>
    <m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m/>
    <m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m/>
    <m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m/>
    <m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m/>
    <m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m/>
    <m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m/>
    <m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m/>
    <m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m/>
    <m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m/>
    <m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m/>
    <m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m/>
    <m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m/>
    <m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m/>
    <m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m/>
    <m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m/>
    <m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m/>
    <m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m/>
    <m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m/>
    <m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m/>
    <m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m/>
    <m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m/>
    <m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m/>
    <m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m/>
    <m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m/>
    <m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m/>
    <m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m/>
    <m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m/>
    <m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m/>
    <m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m/>
    <m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m/>
    <m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m/>
    <m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m/>
    <m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m/>
    <m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m/>
    <m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m/>
    <m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m/>
    <m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m/>
    <m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m/>
    <m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m/>
    <m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m/>
    <m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m/>
    <m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m/>
    <m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m/>
    <m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m/>
    <m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m/>
    <m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m/>
    <m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m/>
    <m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m/>
    <m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m/>
    <m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m/>
    <m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m/>
    <m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m/>
    <m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m/>
    <m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m/>
    <m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m/>
    <m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m/>
    <m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m/>
    <m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m/>
    <m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m/>
    <m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m/>
    <m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m/>
    <m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m/>
    <m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m/>
    <m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m/>
    <m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m/>
    <m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m/>
    <m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m/>
    <m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m/>
    <m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m/>
    <m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m/>
    <m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m/>
    <m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m/>
    <m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m/>
    <m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m/>
    <m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m/>
    <m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m/>
    <m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m/>
    <m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m/>
    <m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m/>
    <m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m/>
    <m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m/>
    <m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m/>
    <m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m/>
    <m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m/>
    <m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m/>
    <m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m/>
    <m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m/>
    <m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m/>
    <m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m/>
    <m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m/>
    <m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m/>
    <m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m/>
    <m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m/>
    <m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m/>
    <m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m/>
    <m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m/>
    <m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m/>
    <m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m/>
    <m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m/>
    <m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m/>
    <m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m/>
    <m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m/>
    <m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m/>
    <m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m/>
    <m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m/>
    <m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m/>
    <m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m/>
    <m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m/>
    <m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m/>
    <m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m/>
    <m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m/>
    <m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m/>
    <m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m/>
    <m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m/>
    <m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m/>
    <m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m/>
    <m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m/>
    <m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m/>
    <m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m/>
    <m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m/>
    <m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m/>
    <m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m/>
    <m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m/>
    <m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m/>
    <m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m/>
    <m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m/>
    <m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m/>
    <m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m/>
    <m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m/>
    <m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m/>
    <m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m/>
    <m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m/>
    <m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m/>
    <m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m/>
    <m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m/>
    <m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m/>
    <m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m/>
    <m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m/>
    <m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m/>
    <m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m/>
    <m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m/>
    <m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m/>
    <m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m/>
    <m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m/>
    <m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m/>
    <m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m/>
    <m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m/>
    <m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m/>
    <m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m/>
    <m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m/>
    <m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m/>
    <m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m/>
    <m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m/>
    <m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m/>
    <m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m/>
    <m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m/>
    <m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m/>
    <m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m/>
    <m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m/>
    <m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m/>
    <m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m/>
    <m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m/>
    <m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m/>
    <m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m/>
    <m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m/>
    <m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m/>
    <m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m/>
    <m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m/>
    <m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m/>
    <m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m/>
    <m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m/>
    <m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m/>
    <m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m/>
    <m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m/>
    <m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m/>
    <m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m/>
    <m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m/>
    <m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m/>
    <m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m/>
    <m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m/>
    <m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m/>
    <m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m/>
    <m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m/>
    <m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m/>
    <m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m/>
    <m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m/>
    <m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m/>
    <m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m/>
    <m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m/>
    <m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m/>
    <m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m/>
    <m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m/>
    <m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m/>
    <m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m/>
    <m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m/>
    <m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m/>
    <m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m/>
    <m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m/>
    <m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m/>
    <m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m/>
    <m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m/>
    <m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m/>
    <m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m/>
    <m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m/>
    <m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m/>
    <m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m/>
    <m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m/>
    <m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m/>
    <m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m/>
    <m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m/>
    <m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m/>
    <m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m/>
    <m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m/>
    <m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m/>
    <m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m/>
    <m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m/>
    <m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m/>
    <m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m/>
    <m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m/>
    <m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m/>
    <m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m/>
    <m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m/>
    <m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m/>
    <m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m/>
    <m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m/>
    <m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m/>
    <m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m/>
    <m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m/>
    <m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m/>
    <m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m/>
    <m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m/>
    <m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m/>
    <m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m/>
    <m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m/>
    <m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m/>
    <m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m/>
    <m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m/>
    <m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m/>
    <m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m/>
    <m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m/>
    <m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m/>
    <m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m/>
    <m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m/>
    <m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m/>
    <m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m/>
    <m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m/>
    <m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m/>
    <m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m/>
    <m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m/>
    <m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m/>
    <m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m/>
    <m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m/>
    <m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m/>
    <m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m/>
    <m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m/>
    <m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m/>
    <m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m/>
    <m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m/>
    <m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m/>
    <m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m/>
    <m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m/>
    <m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m/>
    <m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m/>
    <m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m/>
    <m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m/>
    <m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m/>
    <m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m/>
    <m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m/>
    <m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m/>
    <m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m/>
    <m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m/>
    <m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m/>
    <m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m/>
    <m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m/>
    <m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m/>
    <m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m/>
    <m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m/>
    <m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m/>
    <m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m/>
    <m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m/>
    <m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m/>
    <m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m/>
    <m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m/>
    <m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m/>
    <m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m/>
    <m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m/>
    <m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m/>
    <m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m/>
    <m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m/>
    <m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m/>
    <m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m/>
    <m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m/>
    <m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m/>
    <m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m/>
    <m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m/>
    <m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m/>
    <m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m/>
    <m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m/>
    <m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m/>
    <m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m/>
    <m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m/>
    <m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m/>
    <m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m/>
    <m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m/>
    <m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m/>
    <m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m/>
    <m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m/>
    <m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m/>
    <m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m/>
    <m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m/>
    <m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m/>
    <m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m/>
    <m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m/>
    <m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m/>
    <m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m/>
    <m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m/>
    <m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m/>
    <m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m/>
    <m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m/>
    <m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m/>
    <m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m/>
    <m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m/>
    <m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m/>
    <m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m/>
    <m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m/>
    <m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m/>
    <m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m/>
    <m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m/>
    <m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m/>
    <m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m/>
    <m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m/>
    <m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m/>
    <m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m/>
    <m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m/>
    <m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m/>
    <m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m/>
    <m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m/>
    <m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m/>
    <m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m/>
    <m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m/>
    <m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m/>
    <m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m/>
    <m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m/>
    <m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m/>
    <m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m/>
    <m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m/>
    <m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m/>
    <m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m/>
    <m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m/>
    <m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m/>
    <m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m/>
    <m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m/>
    <m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m/>
    <m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m/>
    <m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m/>
    <m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m/>
    <m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m/>
    <m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m/>
    <m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m/>
    <m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m/>
    <m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m/>
    <m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m/>
    <m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m/>
    <m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m/>
    <m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m/>
    <m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m/>
    <m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m/>
    <m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m/>
    <m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m/>
    <m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m/>
    <m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m/>
    <m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m/>
    <m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m/>
    <m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m/>
    <m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m/>
    <m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m/>
    <m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m/>
    <m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m/>
    <m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m/>
    <m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m/>
    <m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m/>
    <m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m/>
    <m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m/>
    <m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m/>
    <m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m/>
    <m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m/>
    <m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m/>
    <m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m/>
    <m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m/>
    <m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m/>
    <m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m/>
    <m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m/>
    <m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m/>
    <m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m/>
    <m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m/>
    <m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m/>
    <m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m/>
    <m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m/>
    <m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m/>
    <m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m/>
    <m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m/>
    <m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m/>
    <m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m/>
    <m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m/>
    <m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m/>
    <m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m/>
    <m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m/>
    <m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m/>
    <m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m/>
    <m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m/>
    <m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m/>
    <m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m/>
    <m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m/>
    <m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m/>
    <m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m/>
    <m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m/>
    <m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m/>
    <m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m/>
    <m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m/>
    <m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m/>
    <m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m/>
    <m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m/>
    <m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m/>
    <m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m/>
    <m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m/>
    <m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m/>
    <m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m/>
    <m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m/>
    <m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m/>
    <m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m/>
    <m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m/>
    <m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m/>
    <m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m/>
    <m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m/>
    <m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m/>
    <m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m/>
    <m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m/>
    <m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m/>
    <m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m/>
    <m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m/>
    <m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m/>
    <m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m/>
    <m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m/>
    <m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m/>
    <m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m/>
    <m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m/>
    <m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m/>
    <m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m/>
    <m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m/>
    <m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m/>
    <m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m/>
    <m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m/>
    <m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m/>
    <m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m/>
    <m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m/>
    <m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m/>
    <m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m/>
    <m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m/>
    <m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m/>
    <m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m/>
    <m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m/>
    <m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m/>
    <m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m/>
    <m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m/>
    <m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m/>
    <m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m/>
    <m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m/>
    <m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m/>
    <m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m/>
    <m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m/>
    <m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m/>
    <m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m/>
    <m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m/>
    <m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m/>
    <m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m/>
    <m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m/>
    <m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m/>
    <m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m/>
    <m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m/>
    <m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m/>
    <m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m/>
    <m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m/>
    <m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m/>
    <m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m/>
    <m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m/>
    <m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m/>
    <m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m/>
    <m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m/>
    <m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m/>
    <m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m/>
    <m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m/>
    <m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m/>
    <m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m/>
    <m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m/>
    <m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m/>
    <m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m/>
    <m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m/>
    <m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m/>
    <m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m/>
    <m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m/>
    <m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m/>
    <m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m/>
    <m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m/>
    <m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m/>
    <m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m/>
    <m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m/>
    <m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m/>
    <m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m/>
    <m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m/>
    <m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m/>
    <m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m/>
    <m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m/>
    <m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m/>
    <m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m/>
    <m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m/>
    <m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m/>
    <m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m/>
    <m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m/>
    <m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m/>
    <m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m/>
    <m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m/>
    <m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m/>
    <m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m/>
    <m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m/>
    <m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m/>
    <m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m/>
    <m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m/>
    <m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m/>
    <m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m/>
    <m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m/>
    <m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m/>
    <m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m/>
    <m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m/>
    <m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m/>
    <m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m/>
    <m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m/>
    <m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m/>
    <m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m/>
    <m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m/>
    <m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m/>
    <m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m/>
    <m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m/>
    <m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m/>
    <m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m/>
    <m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m/>
    <m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m/>
    <m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m/>
    <m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m/>
    <m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m/>
    <m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m/>
    <m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m/>
    <m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m/>
    <m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m/>
    <m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m/>
    <m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m/>
    <m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m/>
    <m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m/>
    <m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m/>
    <m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m/>
    <m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m/>
    <m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m/>
    <m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m/>
    <m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m/>
    <m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m/>
    <m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m/>
    <m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m/>
    <m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m/>
    <m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m/>
    <m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m/>
    <m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m/>
    <m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m/>
    <m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m/>
    <m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m/>
    <m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m/>
    <m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m/>
    <m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m/>
    <m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m/>
    <m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m/>
    <m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m/>
    <m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m/>
    <m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m/>
    <m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m/>
    <m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m/>
    <m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m/>
    <m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m/>
    <m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m/>
    <m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m/>
    <m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m/>
    <m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m/>
    <m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m/>
    <m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m/>
    <m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m/>
    <m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m/>
    <m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m/>
    <m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m/>
    <m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m/>
    <m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m/>
    <m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m/>
    <m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m/>
    <m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m/>
    <m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m/>
    <m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m/>
    <m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m/>
    <m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m/>
    <m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m/>
    <m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m/>
    <m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m/>
    <m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m/>
    <m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m/>
    <m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m/>
    <m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m/>
    <m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m/>
    <m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m/>
    <m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m/>
    <m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m/>
    <m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m/>
    <m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m/>
    <m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m/>
    <m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m/>
    <m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m/>
    <m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m/>
    <m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m/>
    <m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m/>
    <m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m/>
    <m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m/>
    <m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m/>
    <m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m/>
    <m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m/>
    <m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m/>
    <m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m/>
    <m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m/>
    <m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m/>
    <m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m/>
    <m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m/>
    <m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m/>
    <m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m/>
    <m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m/>
    <m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m/>
    <m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m/>
    <m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m/>
    <m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m/>
    <m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m/>
    <m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m/>
    <m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m/>
    <m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m/>
    <m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m/>
    <m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m/>
    <m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m/>
    <m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m/>
    <m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m/>
    <m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m/>
    <m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m/>
    <m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m/>
    <m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m/>
    <m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m/>
    <m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m/>
    <m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m/>
    <m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m/>
    <m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m/>
    <m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m/>
    <m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m/>
    <m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m/>
    <m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m/>
    <m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m/>
    <m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m/>
    <m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m/>
    <m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m/>
    <m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m/>
    <m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m/>
    <m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m/>
    <m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m/>
    <m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m/>
    <m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m/>
    <m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m/>
    <m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m/>
    <m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m/>
    <m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m/>
    <m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m/>
    <m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m/>
    <m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m/>
    <m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m/>
    <m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m/>
    <m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m/>
    <m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m/>
    <m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m/>
    <m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m/>
    <m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m/>
    <m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m/>
    <m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m/>
    <m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m/>
    <m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m/>
    <m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m/>
    <m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m/>
    <m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m/>
    <m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m/>
    <m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m/>
    <m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m/>
    <m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m/>
    <m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m/>
    <m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m/>
    <m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m/>
    <m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m/>
    <m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m/>
    <m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m/>
    <m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m/>
    <m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m/>
    <m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m/>
    <m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m/>
    <m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m/>
    <m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m/>
    <m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m/>
    <m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m/>
    <m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m/>
    <m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m/>
    <m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m/>
    <m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m/>
    <m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m/>
    <m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m/>
    <m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m/>
    <m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m/>
    <m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m/>
    <m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m/>
    <m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m/>
    <m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m/>
    <m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m/>
    <m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m/>
    <m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m/>
    <m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m/>
    <m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m/>
    <m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m/>
    <m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m/>
    <m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m/>
    <m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m/>
    <m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m/>
    <m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m/>
    <m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m/>
    <m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m/>
    <m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m/>
    <m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m/>
    <m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m/>
    <m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m/>
    <m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m/>
    <m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m/>
    <m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m/>
    <m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m/>
    <m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m/>
    <m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m/>
    <m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m/>
    <m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m/>
    <m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m/>
    <m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m/>
    <m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m/>
    <m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m/>
    <m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m/>
    <m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m/>
    <m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m/>
    <m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m/>
    <m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m/>
    <m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m/>
    <m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m/>
    <m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m/>
    <m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m/>
    <m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m/>
    <m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m/>
    <m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m/>
    <m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m/>
    <m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m/>
    <m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m/>
    <m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m/>
    <m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m/>
    <m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m/>
    <m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m/>
    <m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m/>
    <m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m/>
    <m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m/>
    <m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m/>
    <m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m/>
    <m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m/>
    <m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m/>
    <m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m/>
    <m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m/>
    <m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m/>
    <m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m/>
    <m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m/>
    <m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m/>
    <m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m/>
    <m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m/>
    <m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m/>
    <m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m/>
    <m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m/>
    <m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m/>
    <m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m/>
    <m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m/>
    <m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m/>
    <m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m/>
    <m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m/>
    <m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m/>
    <m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m/>
    <m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m/>
    <m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m/>
    <m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m/>
    <m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m/>
    <m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m/>
    <m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m/>
    <m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m/>
    <m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m/>
    <m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m/>
    <m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m/>
    <m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m/>
    <m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m/>
    <m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m/>
    <m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m/>
    <m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m/>
    <m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m/>
    <m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m/>
    <m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m/>
    <m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m/>
    <m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m/>
    <m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m/>
    <m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m/>
    <m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m/>
    <m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m/>
    <m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m/>
    <m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m/>
    <m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m/>
    <m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m/>
    <m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m/>
    <m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m/>
    <m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m/>
    <m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m/>
    <m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m/>
    <m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m/>
    <m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m/>
    <m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m/>
    <m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m/>
    <m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m/>
    <m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m/>
    <m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m/>
    <m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m/>
    <m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m/>
    <m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m/>
    <m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m/>
    <m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m/>
    <m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m/>
    <m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m/>
    <m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m/>
    <m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m/>
    <m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m/>
    <m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m/>
    <m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m/>
    <m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m/>
    <m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m/>
    <m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m/>
    <m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m/>
    <m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m/>
    <m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m/>
    <m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m/>
    <m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m/>
    <m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m/>
    <m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m/>
    <m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m/>
    <m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m/>
    <m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m/>
    <m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m/>
    <m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m/>
    <m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m/>
    <m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m/>
    <m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m/>
    <m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m/>
    <m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m/>
    <m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m/>
    <m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m/>
    <m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m/>
    <m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m/>
    <m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m/>
    <m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m/>
    <m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m/>
    <m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m/>
    <m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m/>
    <m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m/>
    <m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m/>
    <m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m/>
    <m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m/>
    <m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m/>
    <m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m/>
    <m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m/>
    <m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m/>
    <m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m/>
    <m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m/>
    <m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m/>
    <m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m/>
    <m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m/>
    <m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m/>
    <m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m/>
    <m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m/>
    <m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m/>
    <m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m/>
    <m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m/>
    <m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m/>
    <m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m/>
    <m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m/>
    <m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m/>
    <m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m/>
    <m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m/>
    <m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m/>
    <m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m/>
    <m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m/>
    <m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m/>
    <m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m/>
    <m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m/>
    <m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m/>
    <m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m/>
    <m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m/>
    <m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m/>
    <m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m/>
    <m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m/>
    <m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m/>
    <m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m/>
    <m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m/>
    <m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m/>
    <m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m/>
    <m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m/>
    <m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m/>
    <m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m/>
    <m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m/>
    <m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m/>
    <m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m/>
    <m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m/>
    <m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m/>
    <m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m/>
    <m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m/>
    <m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m/>
    <m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m/>
    <m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m/>
    <m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m/>
    <m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m/>
    <m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7DAD3-4C7A-4DA5-B07F-4D0889C25C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0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536C9-9DB4-4AFD-BDE5-F7B952BB118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20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6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517CF-23D8-4844-82E7-F1D4B060BEB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FF08-9F9C-4CDA-9FAE-FC8D4815CF79}">
  <sheetPr codeName="Sheet1"/>
  <dimension ref="A1:AO14"/>
  <sheetViews>
    <sheetView tabSelected="1" workbookViewId="0">
      <selection activeCell="C19" sqref="C19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5.09765625" customWidth="1"/>
    <col min="19" max="28" width="8.796875" customWidth="1"/>
    <col min="29" max="29" width="6.296875" customWidth="1"/>
    <col min="36" max="36" width="0.3984375" customWidth="1"/>
    <col min="37" max="41" width="8.796875" hidden="1" customWidth="1"/>
  </cols>
  <sheetData>
    <row r="1" spans="1:7" x14ac:dyDescent="0.3">
      <c r="A1" s="9" t="s">
        <v>6</v>
      </c>
      <c r="B1" t="s">
        <v>2069</v>
      </c>
    </row>
    <row r="3" spans="1:7" x14ac:dyDescent="0.3">
      <c r="A3" s="9" t="s">
        <v>2070</v>
      </c>
      <c r="B3" s="9" t="s">
        <v>2066</v>
      </c>
    </row>
    <row r="4" spans="1:7" x14ac:dyDescent="0.3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7" x14ac:dyDescent="0.3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  <c r="G5" s="17"/>
    </row>
    <row r="6" spans="1:7" x14ac:dyDescent="0.3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  <c r="G6" s="17"/>
    </row>
    <row r="7" spans="1:7" x14ac:dyDescent="0.3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  <c r="G7" s="17"/>
    </row>
    <row r="8" spans="1:7" x14ac:dyDescent="0.3">
      <c r="A8" s="10" t="s">
        <v>2064</v>
      </c>
      <c r="B8" s="11"/>
      <c r="C8" s="11"/>
      <c r="D8" s="11"/>
      <c r="E8" s="11">
        <v>4</v>
      </c>
      <c r="F8" s="11">
        <v>4</v>
      </c>
      <c r="G8" s="17"/>
    </row>
    <row r="9" spans="1:7" x14ac:dyDescent="0.3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  <c r="G9" s="17"/>
    </row>
    <row r="10" spans="1:7" x14ac:dyDescent="0.3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  <c r="G10" s="17"/>
    </row>
    <row r="11" spans="1:7" x14ac:dyDescent="0.3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  <c r="G11" s="17"/>
    </row>
    <row r="12" spans="1:7" x14ac:dyDescent="0.3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  <c r="G12" s="17"/>
    </row>
    <row r="13" spans="1:7" x14ac:dyDescent="0.3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  <c r="G13" s="17"/>
    </row>
    <row r="14" spans="1:7" x14ac:dyDescent="0.3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  <c r="G14" s="1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AE80-2E47-491C-AEFB-FFC9A9817E69}">
  <sheetPr codeName="Sheet2"/>
  <dimension ref="A1:G30"/>
  <sheetViews>
    <sheetView topLeftCell="A10" workbookViewId="0">
      <selection activeCell="B35" sqref="B3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4.69921875" customWidth="1"/>
  </cols>
  <sheetData>
    <row r="1" spans="1:7" x14ac:dyDescent="0.3">
      <c r="A1" s="9" t="s">
        <v>6</v>
      </c>
      <c r="B1" t="s">
        <v>2069</v>
      </c>
    </row>
    <row r="2" spans="1:7" x14ac:dyDescent="0.3">
      <c r="A2" s="9" t="s">
        <v>2031</v>
      </c>
      <c r="B2" t="s">
        <v>2069</v>
      </c>
    </row>
    <row r="4" spans="1:7" x14ac:dyDescent="0.3">
      <c r="A4" s="9" t="s">
        <v>2070</v>
      </c>
      <c r="B4" s="9" t="s">
        <v>2066</v>
      </c>
    </row>
    <row r="5" spans="1:7" x14ac:dyDescent="0.3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7" x14ac:dyDescent="0.3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  <c r="G6" s="17"/>
    </row>
    <row r="7" spans="1:7" x14ac:dyDescent="0.3">
      <c r="A7" s="10" t="s">
        <v>2065</v>
      </c>
      <c r="B7" s="11"/>
      <c r="C7" s="11"/>
      <c r="D7" s="11"/>
      <c r="E7" s="11">
        <v>4</v>
      </c>
      <c r="F7" s="11">
        <v>4</v>
      </c>
      <c r="G7" s="17"/>
    </row>
    <row r="8" spans="1:7" x14ac:dyDescent="0.3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  <c r="G8" s="17"/>
    </row>
    <row r="9" spans="1:7" x14ac:dyDescent="0.3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  <c r="G9" s="17"/>
    </row>
    <row r="10" spans="1:7" x14ac:dyDescent="0.3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  <c r="G10" s="17"/>
    </row>
    <row r="11" spans="1:7" x14ac:dyDescent="0.3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  <c r="G11" s="17"/>
    </row>
    <row r="12" spans="1:7" x14ac:dyDescent="0.3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  <c r="G12" s="17"/>
    </row>
    <row r="13" spans="1:7" x14ac:dyDescent="0.3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  <c r="G13" s="17"/>
    </row>
    <row r="14" spans="1:7" x14ac:dyDescent="0.3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  <c r="G14" s="17"/>
    </row>
    <row r="15" spans="1:7" x14ac:dyDescent="0.3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  <c r="G15" s="17"/>
    </row>
    <row r="16" spans="1:7" x14ac:dyDescent="0.3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  <c r="G16" s="17"/>
    </row>
    <row r="17" spans="1:7" x14ac:dyDescent="0.3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  <c r="G17" s="17"/>
    </row>
    <row r="18" spans="1:7" x14ac:dyDescent="0.3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  <c r="G18" s="17"/>
    </row>
    <row r="19" spans="1:7" x14ac:dyDescent="0.3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  <c r="G19" s="17"/>
    </row>
    <row r="20" spans="1:7" x14ac:dyDescent="0.3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  <c r="G20" s="17"/>
    </row>
    <row r="21" spans="1:7" x14ac:dyDescent="0.3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  <c r="G21" s="17"/>
    </row>
    <row r="22" spans="1:7" x14ac:dyDescent="0.3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  <c r="G22" s="17"/>
    </row>
    <row r="23" spans="1:7" x14ac:dyDescent="0.3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  <c r="G23" s="17"/>
    </row>
    <row r="24" spans="1:7" x14ac:dyDescent="0.3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  <c r="G24" s="17"/>
    </row>
    <row r="25" spans="1:7" x14ac:dyDescent="0.3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  <c r="G25" s="17"/>
    </row>
    <row r="26" spans="1:7" x14ac:dyDescent="0.3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  <c r="G26" s="17"/>
    </row>
    <row r="27" spans="1:7" x14ac:dyDescent="0.3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  <c r="G27" s="17"/>
    </row>
    <row r="28" spans="1:7" x14ac:dyDescent="0.3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  <c r="G28" s="17"/>
    </row>
    <row r="29" spans="1:7" x14ac:dyDescent="0.3">
      <c r="A29" s="10" t="s">
        <v>2062</v>
      </c>
      <c r="B29" s="11"/>
      <c r="C29" s="11"/>
      <c r="D29" s="11"/>
      <c r="E29" s="11">
        <v>3</v>
      </c>
      <c r="F29" s="11">
        <v>3</v>
      </c>
      <c r="G29" s="17"/>
    </row>
    <row r="30" spans="1:7" x14ac:dyDescent="0.3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  <c r="G30" s="1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7737-49F6-4792-8772-5EF9A045D3EF}">
  <sheetPr codeName="Sheet4"/>
  <dimension ref="A1:E18"/>
  <sheetViews>
    <sheetView workbookViewId="0">
      <selection activeCell="A21" sqref="A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9" t="s">
        <v>2031</v>
      </c>
      <c r="B1" t="s">
        <v>2069</v>
      </c>
    </row>
    <row r="2" spans="1:5" x14ac:dyDescent="0.3">
      <c r="A2" s="9" t="s">
        <v>2093</v>
      </c>
      <c r="B2" t="s">
        <v>2069</v>
      </c>
    </row>
    <row r="4" spans="1:5" x14ac:dyDescent="0.3">
      <c r="A4" s="9" t="s">
        <v>2094</v>
      </c>
      <c r="B4" s="9" t="s">
        <v>2066</v>
      </c>
    </row>
    <row r="5" spans="1:5" x14ac:dyDescent="0.3">
      <c r="A5" s="9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2081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">
      <c r="A7" s="10" t="s">
        <v>2082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">
      <c r="A8" s="10" t="s">
        <v>2083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">
      <c r="A9" s="10" t="s">
        <v>2084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">
      <c r="A10" s="10" t="s">
        <v>2085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">
      <c r="A11" s="10" t="s">
        <v>2086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">
      <c r="A12" s="10" t="s">
        <v>2087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">
      <c r="A13" s="10" t="s">
        <v>2088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">
      <c r="A14" s="10" t="s">
        <v>2089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">
      <c r="A15" s="10" t="s">
        <v>2090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">
      <c r="A16" s="10" t="s">
        <v>2091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10" t="s">
        <v>2092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10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57FC-DB04-49AE-9736-D63E40027A15}">
  <sheetPr codeName="Sheet3"/>
  <dimension ref="A1:H13"/>
  <sheetViews>
    <sheetView workbookViewId="0">
      <selection activeCell="B4" sqref="B4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5" t="s">
        <v>2095</v>
      </c>
      <c r="B1" s="15" t="s">
        <v>2096</v>
      </c>
      <c r="C1" s="15" t="s">
        <v>2097</v>
      </c>
      <c r="D1" s="15" t="s">
        <v>2098</v>
      </c>
      <c r="E1" s="15" t="s">
        <v>2099</v>
      </c>
      <c r="F1" s="15" t="s">
        <v>2100</v>
      </c>
      <c r="G1" s="15" t="s">
        <v>2101</v>
      </c>
      <c r="H1" s="15" t="s">
        <v>2102</v>
      </c>
    </row>
    <row r="2" spans="1:8" x14ac:dyDescent="0.3">
      <c r="A2" s="15" t="s">
        <v>2103</v>
      </c>
      <c r="B2" s="15">
        <f>COUNTIFS(Crowdfunding!$D$2:$D$1001, "&lt;1000",Crowdfunding!$G$2:$G$1001,"successful")</f>
        <v>30</v>
      </c>
      <c r="C2" s="15">
        <f>COUNTIFS(Crowdfunding!$D$2:$D$1001, "&lt;1000",Crowdfunding!$G$2:$G$1001,"failed")</f>
        <v>20</v>
      </c>
      <c r="D2" s="15">
        <f>COUNTIFS(Crowdfunding!$D$2:$D$1001, "&lt;1000",Crowdfunding!$G$2:$G$1001,"Canceled")</f>
        <v>1</v>
      </c>
      <c r="E2" s="15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3">
      <c r="A3" s="15" t="s">
        <v>2104</v>
      </c>
      <c r="B3" s="15">
        <f>COUNTIFS(Crowdfunding!$D$2:$D$1001, "&gt;=1000",Crowdfunding!$D$2:$D$1001, "&lt;5000",Crowdfunding!$G$2:$G$1001,"successful")</f>
        <v>191</v>
      </c>
      <c r="C3" s="15">
        <f>COUNTIFS(Crowdfunding!$D$2:$D$1001, "&gt;=1000",Crowdfunding!$D$2:$D$1001, "&lt;5000",Crowdfunding!$G$2:$G$1001,"failed")</f>
        <v>38</v>
      </c>
      <c r="D3" s="15">
        <f>COUNTIFS(Crowdfunding!$D$2:$D$1001, "&gt;=1000",Crowdfunding!$D$2:$D$1001, "&lt;5000",Crowdfunding!$G$2:$G$1001,"Canceled")</f>
        <v>2</v>
      </c>
      <c r="E3" s="15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3">
      <c r="A4" s="15" t="s">
        <v>2105</v>
      </c>
      <c r="B4" s="15">
        <f>COUNTIFS(Crowdfunding!$D$2:$D$1001, "&gt;=5000",Crowdfunding!$D$2:$D$1001, "&lt;10000",Crowdfunding!$G$2:$G$1001,"successful")</f>
        <v>164</v>
      </c>
      <c r="C4" s="15">
        <f>COUNTIFS(Crowdfunding!$D$2:$D$1001, "&gt;=5000",Crowdfunding!$D$2:$D$1001, "&lt;10000",Crowdfunding!$G$2:$G$1001,"failed")</f>
        <v>126</v>
      </c>
      <c r="D4" s="15">
        <f>COUNTIFS(Crowdfunding!$D$2:$D$1001, "&gt;=5000",Crowdfunding!$D$2:$D$1001, "&lt;10000",Crowdfunding!$G$2:$G$1001,"Canceled")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3">
      <c r="A5" s="15" t="s">
        <v>2106</v>
      </c>
      <c r="B5" s="15">
        <f>COUNTIFS(Crowdfunding!$D$2:$D$1001, "&gt;=10000",Crowdfunding!$D$2:$D$1001, "&lt;15000",Crowdfunding!$G$2:$G$1001,"successful")</f>
        <v>4</v>
      </c>
      <c r="C5" s="15">
        <f>COUNTIFS(Crowdfunding!$D$2:$D$1001, "&gt;=10000",Crowdfunding!$D$2:$D$1001, "&lt;15000",Crowdfunding!$G$2:$G$1001,"failed")</f>
        <v>5</v>
      </c>
      <c r="D5" s="15">
        <f>COUNTIFS(Crowdfunding!$D$2:$D$1001, "&gt;=10000",Crowdfunding!$D$2:$D$1001, "&lt;15000",Crowdfunding!$G$2:$G$1001,"Canceled")</f>
        <v>0</v>
      </c>
      <c r="E5" s="1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3">
      <c r="A6" s="15" t="s">
        <v>2107</v>
      </c>
      <c r="B6" s="15">
        <f>COUNTIFS(Crowdfunding!$D$2:$D$1001, "&gt;=15000",Crowdfunding!$D$2:$D$1001, "&lt;20000",Crowdfunding!$G$2:$G$1001,"successful")</f>
        <v>10</v>
      </c>
      <c r="C6" s="15">
        <f>COUNTIFS(Crowdfunding!$D$2:$D$1001, "&gt;=15000",Crowdfunding!$D$2:$D$1001, "&lt;20000",Crowdfunding!$G$2:$G$1001,"failed")</f>
        <v>0</v>
      </c>
      <c r="D6" s="15">
        <f>COUNTIFS(Crowdfunding!$D$2:$D$1001, "&gt;=15000",Crowdfunding!$D$2:$D$1001, "&lt;20000",Crowdfunding!$G$2:$G$1001,"Canceled")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3">
      <c r="A7" s="15" t="s">
        <v>2108</v>
      </c>
      <c r="B7" s="15">
        <f>COUNTIFS(Crowdfunding!$D$2:$D$1001, "&gt;=20000",Crowdfunding!$D$2:$D$1001, "&lt;25000",Crowdfunding!$G$2:$G$1001,"successful")</f>
        <v>7</v>
      </c>
      <c r="C7" s="15">
        <f>COUNTIFS(Crowdfunding!$D$2:$D$1001, "&gt;=20000",Crowdfunding!$D$2:$D$1001, "&lt;25000",Crowdfunding!$G$2:$G$1001,"failed")</f>
        <v>0</v>
      </c>
      <c r="D7" s="15">
        <f>COUNTIFS(Crowdfunding!$D$2:$D$1001, "&gt;=20000",Crowdfunding!$D$2:$D$1001, "&lt;25000",Crowdfunding!$G$2:$G$1001,"Canceled")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3">
      <c r="A8" s="15" t="s">
        <v>2109</v>
      </c>
      <c r="B8" s="15">
        <f>COUNTIFS(Crowdfunding!$D$2:$D$1001, "&gt;=25000",Crowdfunding!$D$2:$D$1001, "&lt;30000",Crowdfunding!$G$2:$G$1001,"successful")</f>
        <v>11</v>
      </c>
      <c r="C8" s="15">
        <f>COUNTIFS(Crowdfunding!$D$2:$D$1001, "&gt;=25000",Crowdfunding!$D$2:$D$1001, "&lt;30000",Crowdfunding!$G$2:$G$1001,"failed")</f>
        <v>3</v>
      </c>
      <c r="D8" s="15">
        <f>COUNTIFS(Crowdfunding!$D$2:$D$1001, "&gt;=25000",Crowdfunding!$D$2:$D$1001, "&lt;30000",Crowdfunding!$G$2:$G$1001,"Canceled")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3">
      <c r="A9" s="15" t="s">
        <v>2110</v>
      </c>
      <c r="B9" s="15">
        <f>COUNTIFS(Crowdfunding!$D$2:$D$1001, "&gt;=30000",Crowdfunding!$D$2:$D$1001, "&lt;35000",Crowdfunding!$G$2:$G$1001,"successful")</f>
        <v>7</v>
      </c>
      <c r="C9" s="15">
        <f>COUNTIFS(Crowdfunding!$D$2:$D$1001, "&gt;=30000",Crowdfunding!$D$2:$D$1001, "&lt;35000",Crowdfunding!$G$2:$G$1001,"failed")</f>
        <v>0</v>
      </c>
      <c r="D9" s="15">
        <f>COUNTIFS(Crowdfunding!$D$2:$D$1001, "&gt;=30000",Crowdfunding!$D$2:$D$1001, "&lt;35000",Crowdfunding!$G$2:$G$1001,"Canceled")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3">
      <c r="A10" s="15" t="s">
        <v>2111</v>
      </c>
      <c r="B10" s="15">
        <f>COUNTIFS(Crowdfunding!$D$2:$D$1001, "&gt;=35000",Crowdfunding!$D$2:$D$1001, "&lt;40000",Crowdfunding!$G$2:$G$1001,"successful")</f>
        <v>8</v>
      </c>
      <c r="C10" s="15">
        <f>COUNTIFS(Crowdfunding!$D$2:$D$1001, "&gt;=35000",Crowdfunding!$D$2:$D$1001, "&lt;40000",Crowdfunding!$G$2:$G$1001,"failed")</f>
        <v>3</v>
      </c>
      <c r="D10" s="15">
        <f>COUNTIFS(Crowdfunding!$D$2:$D$1001, "&gt;=35000",Crowdfunding!$D$2:$D$1001, "&lt;40000",Crowdfunding!$G$2:$G$1001,"Canceled")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3">
      <c r="A11" s="15" t="s">
        <v>2112</v>
      </c>
      <c r="B11" s="15">
        <f>COUNTIFS(Crowdfunding!$D$2:$D$1001, "&gt;=40000",Crowdfunding!$D$2:$D$1001, "&lt;45000",Crowdfunding!$G$2:$G$1001,"successful")</f>
        <v>11</v>
      </c>
      <c r="C11" s="15">
        <f>COUNTIFS(Crowdfunding!$D$2:$D$1001, "&gt;=40000",Crowdfunding!$D$2:$D$1001, "&lt;45000",Crowdfunding!$G$2:$G$1001,"failed")</f>
        <v>3</v>
      </c>
      <c r="D11" s="15">
        <f>COUNTIFS(Crowdfunding!$D$2:$D$1001, "&gt;=40000",Crowdfunding!$D$2:$D$1001, "&lt;45000",Crowdfunding!$G$2:$G$1001,"Canceled")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3">
      <c r="A12" s="15" t="s">
        <v>2113</v>
      </c>
      <c r="B12" s="15">
        <f>COUNTIFS(Crowdfunding!$D$2:$D$1001, "&gt;=45000",Crowdfunding!$D$2:$D$1001, "&lt;50000",Crowdfunding!$G$2:$G$1001,"successful")</f>
        <v>8</v>
      </c>
      <c r="C12" s="15">
        <f>COUNTIFS(Crowdfunding!$D$2:$D$1001, "&gt;=45000",Crowdfunding!$D$2:$D$1001, "&lt;50000",Crowdfunding!$G$2:$G$1001,"failed")</f>
        <v>3</v>
      </c>
      <c r="D12" s="15">
        <f>COUNTIFS(Crowdfunding!$D$2:$D$1001, "&gt;=45000",Crowdfunding!$D$2:$D$1001, "&lt;50000",Crowdfunding!$G$2:$G$1001,"Canceled")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3">
      <c r="A13" s="15" t="s">
        <v>2114</v>
      </c>
      <c r="B13" s="15">
        <f>COUNTIFS(Crowdfunding!$D$2:$D$1001, "&gt;=50000",Crowdfunding!$G$2:$G$1001,"successful")</f>
        <v>114</v>
      </c>
      <c r="C13" s="15">
        <f>COUNTIFS(Crowdfunding!$D$2:$D$1001, "&gt;=50000",Crowdfunding!$G$2:$G$1001,"failed")</f>
        <v>163</v>
      </c>
      <c r="D13" s="15">
        <f>COUNTIFS(Crowdfunding!$D$2:$D$1001, "&gt;=50000",Crowdfunding!$G$2:$G$1001,"Canceled")</f>
        <v>28</v>
      </c>
      <c r="E13" s="15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AE4E-E75E-4B02-9C9F-6D704AACFCB5}">
  <sheetPr codeName="Sheet5"/>
  <dimension ref="A1:U566"/>
  <sheetViews>
    <sheetView zoomScale="70" zoomScaleNormal="70" workbookViewId="0">
      <selection activeCell="I18" sqref="I18"/>
    </sheetView>
  </sheetViews>
  <sheetFormatPr defaultRowHeight="15.6" x14ac:dyDescent="0.3"/>
  <cols>
    <col min="1" max="1" width="9.19921875" bestFit="1" customWidth="1"/>
    <col min="2" max="2" width="13.19921875" bestFit="1" customWidth="1"/>
    <col min="5" max="5" width="8.296875" bestFit="1" customWidth="1"/>
    <col min="6" max="6" width="13.19921875" bestFit="1" customWidth="1"/>
    <col min="9" max="9" width="42.796875" bestFit="1" customWidth="1"/>
    <col min="11" max="11" width="2.796875" customWidth="1"/>
    <col min="12" max="12" width="42.796875" bestFit="1" customWidth="1"/>
    <col min="16" max="16" width="17.296875" customWidth="1"/>
    <col min="17" max="17" width="13.19921875" bestFit="1" customWidth="1"/>
    <col min="19" max="19" width="1.8984375" customWidth="1"/>
    <col min="21" max="21" width="13.19921875" bestFit="1" customWidth="1"/>
  </cols>
  <sheetData>
    <row r="1" spans="1:21" x14ac:dyDescent="0.3">
      <c r="A1" s="1" t="s">
        <v>4</v>
      </c>
      <c r="B1" s="1" t="s">
        <v>5</v>
      </c>
      <c r="E1" s="1" t="s">
        <v>4</v>
      </c>
      <c r="F1" s="1" t="s">
        <v>5</v>
      </c>
      <c r="I1" s="13" t="s">
        <v>2079</v>
      </c>
      <c r="L1" s="13" t="s">
        <v>2080</v>
      </c>
      <c r="P1" s="1"/>
      <c r="Q1" s="1"/>
      <c r="T1" s="1"/>
      <c r="U1" s="1"/>
    </row>
    <row r="2" spans="1:21" x14ac:dyDescent="0.3">
      <c r="A2" t="s">
        <v>20</v>
      </c>
      <c r="B2">
        <v>158</v>
      </c>
      <c r="E2" t="s">
        <v>14</v>
      </c>
      <c r="F2">
        <v>0</v>
      </c>
      <c r="P2" s="18"/>
      <c r="Q2" s="18"/>
      <c r="R2" s="18"/>
      <c r="S2" s="18"/>
      <c r="T2" s="18"/>
      <c r="U2" s="18"/>
    </row>
    <row r="3" spans="1:21" x14ac:dyDescent="0.3">
      <c r="A3" t="s">
        <v>20</v>
      </c>
      <c r="B3">
        <v>1425</v>
      </c>
      <c r="E3" t="s">
        <v>14</v>
      </c>
      <c r="F3">
        <v>24</v>
      </c>
      <c r="I3" t="s">
        <v>2073</v>
      </c>
      <c r="J3">
        <f>AVERAGE($B$2:$B$566)</f>
        <v>851.14690265486729</v>
      </c>
      <c r="L3" t="s">
        <v>2073</v>
      </c>
      <c r="M3">
        <f>AVERAGE($F$2:$F$365)</f>
        <v>585.61538461538464</v>
      </c>
      <c r="P3" s="18"/>
      <c r="Q3" s="18"/>
      <c r="R3" s="18"/>
      <c r="S3" s="18"/>
      <c r="T3" s="18"/>
      <c r="U3" s="18"/>
    </row>
    <row r="4" spans="1:21" x14ac:dyDescent="0.3">
      <c r="A4" t="s">
        <v>20</v>
      </c>
      <c r="B4">
        <v>174</v>
      </c>
      <c r="E4" t="s">
        <v>14</v>
      </c>
      <c r="F4">
        <v>53</v>
      </c>
      <c r="I4" t="s">
        <v>2075</v>
      </c>
      <c r="J4" s="14">
        <f>MEDIAN($B$2:$B$566)</f>
        <v>201</v>
      </c>
      <c r="L4" t="s">
        <v>2075</v>
      </c>
      <c r="M4" s="14">
        <f>MEDIAN($F$2:$F$365)</f>
        <v>114.5</v>
      </c>
      <c r="P4" s="18"/>
      <c r="Q4" s="18"/>
      <c r="R4" s="18"/>
      <c r="S4" s="18"/>
      <c r="T4" s="18"/>
      <c r="U4" s="18"/>
    </row>
    <row r="5" spans="1:21" x14ac:dyDescent="0.3">
      <c r="A5" t="s">
        <v>20</v>
      </c>
      <c r="B5">
        <v>227</v>
      </c>
      <c r="E5" t="s">
        <v>14</v>
      </c>
      <c r="F5">
        <v>18</v>
      </c>
      <c r="I5" t="s">
        <v>2076</v>
      </c>
      <c r="J5">
        <f>MIN($B$2:$B$566)</f>
        <v>16</v>
      </c>
      <c r="L5" t="s">
        <v>2076</v>
      </c>
      <c r="M5">
        <f>MIN($F$2:$F$365)</f>
        <v>0</v>
      </c>
      <c r="P5" s="18"/>
      <c r="Q5" s="18"/>
      <c r="R5" s="18"/>
      <c r="S5" s="18"/>
      <c r="T5" s="18"/>
      <c r="U5" s="18"/>
    </row>
    <row r="6" spans="1:21" x14ac:dyDescent="0.3">
      <c r="A6" t="s">
        <v>20</v>
      </c>
      <c r="B6">
        <v>220</v>
      </c>
      <c r="E6" t="s">
        <v>14</v>
      </c>
      <c r="F6">
        <v>44</v>
      </c>
      <c r="I6" t="s">
        <v>2077</v>
      </c>
      <c r="J6">
        <f>MAX($B$2:$B$566)</f>
        <v>7295</v>
      </c>
      <c r="L6" t="s">
        <v>2077</v>
      </c>
      <c r="M6">
        <f>MAX($F$2:$F$365)</f>
        <v>6080</v>
      </c>
      <c r="P6" s="18"/>
      <c r="Q6" s="18"/>
      <c r="R6" s="18"/>
      <c r="S6" s="18"/>
      <c r="T6" s="18"/>
      <c r="U6" s="18"/>
    </row>
    <row r="7" spans="1:21" x14ac:dyDescent="0.3">
      <c r="A7" t="s">
        <v>20</v>
      </c>
      <c r="B7">
        <v>98</v>
      </c>
      <c r="E7" t="s">
        <v>14</v>
      </c>
      <c r="F7">
        <v>27</v>
      </c>
      <c r="I7" t="s">
        <v>2074</v>
      </c>
      <c r="J7">
        <f>_xlfn.VAR.P($B$2:$B$566)</f>
        <v>1603373.7324019109</v>
      </c>
      <c r="L7" t="s">
        <v>2074</v>
      </c>
      <c r="M7">
        <f>_xlfn.VAR.P($F$2:$F$365)</f>
        <v>921574.68174133555</v>
      </c>
      <c r="P7" s="18"/>
      <c r="Q7" s="18"/>
      <c r="R7" s="18"/>
      <c r="S7" s="18"/>
      <c r="T7" s="18"/>
      <c r="U7" s="18"/>
    </row>
    <row r="8" spans="1:21" x14ac:dyDescent="0.3">
      <c r="A8" t="s">
        <v>20</v>
      </c>
      <c r="B8">
        <v>100</v>
      </c>
      <c r="E8" t="s">
        <v>14</v>
      </c>
      <c r="F8">
        <v>55</v>
      </c>
      <c r="I8" t="s">
        <v>2078</v>
      </c>
      <c r="J8">
        <f>_xlfn.STDEV.P($B$2:$B$566)</f>
        <v>1266.2439466397898</v>
      </c>
      <c r="L8" t="s">
        <v>2078</v>
      </c>
      <c r="M8">
        <f>_xlfn.STDEV.P($F$2:$F$365)</f>
        <v>959.98681331637863</v>
      </c>
      <c r="P8" s="18"/>
      <c r="Q8" s="18"/>
      <c r="R8" s="18"/>
      <c r="S8" s="18"/>
      <c r="T8" s="18"/>
      <c r="U8" s="18"/>
    </row>
    <row r="9" spans="1:21" x14ac:dyDescent="0.3">
      <c r="A9" t="s">
        <v>20</v>
      </c>
      <c r="B9">
        <v>1249</v>
      </c>
      <c r="E9" t="s">
        <v>14</v>
      </c>
      <c r="F9">
        <v>200</v>
      </c>
      <c r="P9" s="18"/>
      <c r="Q9" s="18"/>
      <c r="R9" s="18"/>
      <c r="S9" s="18"/>
      <c r="T9" s="18"/>
      <c r="U9" s="18"/>
    </row>
    <row r="10" spans="1:21" x14ac:dyDescent="0.3">
      <c r="A10" t="s">
        <v>20</v>
      </c>
      <c r="B10">
        <v>1396</v>
      </c>
      <c r="E10" t="s">
        <v>14</v>
      </c>
      <c r="F10">
        <v>452</v>
      </c>
      <c r="P10" s="18"/>
      <c r="Q10" s="18"/>
      <c r="R10" s="18"/>
      <c r="S10" s="18"/>
      <c r="T10" s="18"/>
      <c r="U10" s="18"/>
    </row>
    <row r="11" spans="1:21" x14ac:dyDescent="0.3">
      <c r="A11" t="s">
        <v>20</v>
      </c>
      <c r="B11">
        <v>890</v>
      </c>
      <c r="E11" t="s">
        <v>14</v>
      </c>
      <c r="F11">
        <v>674</v>
      </c>
      <c r="P11" s="18"/>
      <c r="Q11" s="18"/>
      <c r="R11" s="18"/>
      <c r="S11" s="18"/>
      <c r="T11" s="18"/>
      <c r="U11" s="18"/>
    </row>
    <row r="12" spans="1:21" x14ac:dyDescent="0.3">
      <c r="A12" t="s">
        <v>20</v>
      </c>
      <c r="B12">
        <v>142</v>
      </c>
      <c r="E12" t="s">
        <v>14</v>
      </c>
      <c r="F12">
        <v>558</v>
      </c>
      <c r="I12" t="s">
        <v>2115</v>
      </c>
      <c r="P12" s="18"/>
      <c r="Q12" s="18"/>
      <c r="R12" s="18"/>
      <c r="S12" s="18"/>
      <c r="T12" s="18"/>
      <c r="U12" s="18"/>
    </row>
    <row r="13" spans="1:21" x14ac:dyDescent="0.3">
      <c r="A13" t="s">
        <v>20</v>
      </c>
      <c r="B13">
        <v>2673</v>
      </c>
      <c r="E13" t="s">
        <v>14</v>
      </c>
      <c r="F13">
        <v>15</v>
      </c>
      <c r="I13" t="s">
        <v>2116</v>
      </c>
      <c r="P13" s="18"/>
      <c r="Q13" s="18"/>
      <c r="R13" s="18"/>
      <c r="S13" s="18"/>
      <c r="T13" s="18"/>
      <c r="U13" s="18"/>
    </row>
    <row r="14" spans="1:21" x14ac:dyDescent="0.3">
      <c r="A14" t="s">
        <v>20</v>
      </c>
      <c r="B14">
        <v>163</v>
      </c>
      <c r="E14" t="s">
        <v>14</v>
      </c>
      <c r="F14">
        <v>2307</v>
      </c>
      <c r="I14" t="s">
        <v>2117</v>
      </c>
      <c r="P14" s="18"/>
      <c r="Q14" s="18"/>
      <c r="R14" s="18"/>
      <c r="S14" s="18"/>
      <c r="T14" s="18"/>
      <c r="U14" s="18"/>
    </row>
    <row r="15" spans="1:21" x14ac:dyDescent="0.3">
      <c r="A15" t="s">
        <v>20</v>
      </c>
      <c r="B15">
        <v>2220</v>
      </c>
      <c r="E15" t="s">
        <v>14</v>
      </c>
      <c r="F15">
        <v>88</v>
      </c>
      <c r="P15" s="18"/>
      <c r="Q15" s="18"/>
      <c r="R15" s="18"/>
      <c r="S15" s="18"/>
      <c r="T15" s="18"/>
      <c r="U15" s="18"/>
    </row>
    <row r="16" spans="1:21" x14ac:dyDescent="0.3">
      <c r="A16" t="s">
        <v>20</v>
      </c>
      <c r="B16">
        <v>1606</v>
      </c>
      <c r="E16" t="s">
        <v>14</v>
      </c>
      <c r="F16">
        <v>48</v>
      </c>
      <c r="P16" s="18"/>
      <c r="Q16" s="18"/>
      <c r="R16" s="18"/>
      <c r="S16" s="18"/>
      <c r="T16" s="18"/>
      <c r="U16" s="18"/>
    </row>
    <row r="17" spans="1:21" x14ac:dyDescent="0.3">
      <c r="A17" t="s">
        <v>20</v>
      </c>
      <c r="B17">
        <v>129</v>
      </c>
      <c r="E17" t="s">
        <v>14</v>
      </c>
      <c r="F17">
        <v>1</v>
      </c>
      <c r="P17" s="18"/>
      <c r="Q17" s="18"/>
      <c r="R17" s="18"/>
      <c r="S17" s="18"/>
      <c r="T17" s="18"/>
      <c r="U17" s="18"/>
    </row>
    <row r="18" spans="1:21" x14ac:dyDescent="0.3">
      <c r="A18" t="s">
        <v>20</v>
      </c>
      <c r="B18">
        <v>226</v>
      </c>
      <c r="E18" t="s">
        <v>14</v>
      </c>
      <c r="F18">
        <v>1467</v>
      </c>
      <c r="P18" s="18"/>
      <c r="Q18" s="18"/>
      <c r="R18" s="18"/>
      <c r="S18" s="18"/>
      <c r="T18" s="18"/>
      <c r="U18" s="18"/>
    </row>
    <row r="19" spans="1:21" x14ac:dyDescent="0.3">
      <c r="A19" t="s">
        <v>20</v>
      </c>
      <c r="B19">
        <v>5419</v>
      </c>
      <c r="E19" t="s">
        <v>14</v>
      </c>
      <c r="F19">
        <v>75</v>
      </c>
      <c r="P19" s="18"/>
      <c r="Q19" s="18"/>
      <c r="R19" s="18"/>
      <c r="S19" s="18"/>
      <c r="T19" s="18"/>
      <c r="U19" s="18"/>
    </row>
    <row r="20" spans="1:21" x14ac:dyDescent="0.3">
      <c r="A20" t="s">
        <v>20</v>
      </c>
      <c r="B20">
        <v>165</v>
      </c>
      <c r="E20" t="s">
        <v>14</v>
      </c>
      <c r="F20">
        <v>120</v>
      </c>
      <c r="P20" s="18"/>
      <c r="Q20" s="18"/>
      <c r="R20" s="18"/>
      <c r="S20" s="18"/>
      <c r="T20" s="18"/>
      <c r="U20" s="18"/>
    </row>
    <row r="21" spans="1:21" x14ac:dyDescent="0.3">
      <c r="A21" t="s">
        <v>20</v>
      </c>
      <c r="B21">
        <v>1965</v>
      </c>
      <c r="E21" t="s">
        <v>14</v>
      </c>
      <c r="F21">
        <v>2253</v>
      </c>
    </row>
    <row r="22" spans="1:21" x14ac:dyDescent="0.3">
      <c r="A22" t="s">
        <v>20</v>
      </c>
      <c r="B22">
        <v>16</v>
      </c>
      <c r="E22" t="s">
        <v>14</v>
      </c>
      <c r="F22">
        <v>5</v>
      </c>
    </row>
    <row r="23" spans="1:21" x14ac:dyDescent="0.3">
      <c r="A23" t="s">
        <v>20</v>
      </c>
      <c r="B23">
        <v>107</v>
      </c>
      <c r="E23" t="s">
        <v>14</v>
      </c>
      <c r="F23">
        <v>38</v>
      </c>
    </row>
    <row r="24" spans="1:21" x14ac:dyDescent="0.3">
      <c r="A24" t="s">
        <v>20</v>
      </c>
      <c r="B24">
        <v>134</v>
      </c>
      <c r="E24" t="s">
        <v>14</v>
      </c>
      <c r="F24">
        <v>12</v>
      </c>
    </row>
    <row r="25" spans="1:21" x14ac:dyDescent="0.3">
      <c r="A25" t="s">
        <v>20</v>
      </c>
      <c r="B25">
        <v>198</v>
      </c>
      <c r="E25" t="s">
        <v>14</v>
      </c>
      <c r="F25">
        <v>1684</v>
      </c>
    </row>
    <row r="26" spans="1:21" x14ac:dyDescent="0.3">
      <c r="A26" t="s">
        <v>20</v>
      </c>
      <c r="B26">
        <v>111</v>
      </c>
      <c r="E26" t="s">
        <v>14</v>
      </c>
      <c r="F26">
        <v>56</v>
      </c>
    </row>
    <row r="27" spans="1:21" x14ac:dyDescent="0.3">
      <c r="A27" t="s">
        <v>20</v>
      </c>
      <c r="B27">
        <v>222</v>
      </c>
      <c r="E27" t="s">
        <v>14</v>
      </c>
      <c r="F27">
        <v>838</v>
      </c>
    </row>
    <row r="28" spans="1:21" x14ac:dyDescent="0.3">
      <c r="A28" t="s">
        <v>20</v>
      </c>
      <c r="B28">
        <v>6212</v>
      </c>
      <c r="E28" t="s">
        <v>14</v>
      </c>
      <c r="F28">
        <v>1000</v>
      </c>
    </row>
    <row r="29" spans="1:21" x14ac:dyDescent="0.3">
      <c r="A29" t="s">
        <v>20</v>
      </c>
      <c r="B29">
        <v>98</v>
      </c>
      <c r="E29" t="s">
        <v>14</v>
      </c>
      <c r="F29">
        <v>1482</v>
      </c>
    </row>
    <row r="30" spans="1:21" x14ac:dyDescent="0.3">
      <c r="A30" t="s">
        <v>20</v>
      </c>
      <c r="B30">
        <v>92</v>
      </c>
      <c r="E30" t="s">
        <v>14</v>
      </c>
      <c r="F30">
        <v>106</v>
      </c>
    </row>
    <row r="31" spans="1:21" x14ac:dyDescent="0.3">
      <c r="A31" t="s">
        <v>20</v>
      </c>
      <c r="B31">
        <v>149</v>
      </c>
      <c r="E31" t="s">
        <v>14</v>
      </c>
      <c r="F31">
        <v>679</v>
      </c>
    </row>
    <row r="32" spans="1:21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19" priority="21" operator="containsText" text="canceled">
      <formula>NOT(ISERROR(SEARCH("canceled",A2)))</formula>
    </cfRule>
    <cfRule type="containsText" dxfId="18" priority="22" operator="containsText" text="live">
      <formula>NOT(ISERROR(SEARCH("live",A2)))</formula>
    </cfRule>
    <cfRule type="containsText" dxfId="17" priority="23" operator="containsText" text="successful">
      <formula>NOT(ISERROR(SEARCH("successful",A2)))</formula>
    </cfRule>
    <cfRule type="containsText" dxfId="16" priority="24" operator="containsText" text="failed">
      <formula>NOT(ISERROR(SEARCH("failed",A2)))</formula>
    </cfRule>
  </conditionalFormatting>
  <conditionalFormatting sqref="E2:E365">
    <cfRule type="containsText" dxfId="15" priority="17" operator="containsText" text="canceled">
      <formula>NOT(ISERROR(SEARCH("canceled",E2)))</formula>
    </cfRule>
    <cfRule type="containsText" dxfId="14" priority="18" operator="containsText" text="live">
      <formula>NOT(ISERROR(SEARCH("live",E2)))</formula>
    </cfRule>
    <cfRule type="containsText" dxfId="13" priority="19" operator="containsText" text="successful">
      <formula>NOT(ISERROR(SEARCH("successful",E2)))</formula>
    </cfRule>
    <cfRule type="containsText" dxfId="12" priority="20" operator="containsText" text="failed">
      <formula>NOT(ISERROR(SEARCH("failed",E2)))</formula>
    </cfRule>
  </conditionalFormatting>
  <conditionalFormatting sqref="P2:P20">
    <cfRule type="containsText" dxfId="11" priority="5" operator="containsText" text="canceled">
      <formula>NOT(ISERROR(SEARCH("canceled",P2)))</formula>
    </cfRule>
    <cfRule type="containsText" dxfId="10" priority="6" operator="containsText" text="live">
      <formula>NOT(ISERROR(SEARCH("live",P2)))</formula>
    </cfRule>
    <cfRule type="containsText" dxfId="9" priority="7" operator="containsText" text="successful">
      <formula>NOT(ISERROR(SEARCH("successful",P2)))</formula>
    </cfRule>
    <cfRule type="containsText" dxfId="8" priority="8" operator="containsText" text="failed">
      <formula>NOT(ISERROR(SEARCH("failed",P2)))</formula>
    </cfRule>
  </conditionalFormatting>
  <conditionalFormatting sqref="T2:T20">
    <cfRule type="containsText" dxfId="7" priority="1" operator="containsText" text="canceled">
      <formula>NOT(ISERROR(SEARCH("canceled",T2)))</formula>
    </cfRule>
    <cfRule type="containsText" dxfId="6" priority="2" operator="containsText" text="live">
      <formula>NOT(ISERROR(SEARCH("live",T2)))</formula>
    </cfRule>
    <cfRule type="containsText" dxfId="5" priority="3" operator="containsText" text="successful">
      <formula>NOT(ISERROR(SEARCH("successful",T2)))</formula>
    </cfRule>
    <cfRule type="containsText" dxfId="4" priority="4" operator="containsText" text="failed">
      <formula>NOT(ISERROR(SEARCH("failed",T2)))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zoomScale="97" zoomScaleNormal="97" workbookViewId="0">
      <selection activeCell="N2" sqref="N2"/>
    </sheetView>
  </sheetViews>
  <sheetFormatPr defaultColWidth="11.19921875" defaultRowHeight="15.6" x14ac:dyDescent="0.3"/>
  <cols>
    <col min="1" max="1" width="4" bestFit="1" customWidth="1"/>
    <col min="2" max="2" width="26.09765625" style="4" customWidth="1"/>
    <col min="3" max="3" width="39.796875" style="3" customWidth="1"/>
    <col min="4" max="4" width="7.09765625" bestFit="1" customWidth="1"/>
    <col min="5" max="5" width="7.59765625" bestFit="1" customWidth="1"/>
    <col min="6" max="6" width="14.19921875" style="7" bestFit="1" customWidth="1"/>
    <col min="7" max="7" width="9.19921875" bestFit="1" customWidth="1"/>
    <col min="8" max="8" width="13.19921875" bestFit="1" customWidth="1"/>
    <col min="9" max="9" width="16.09765625" bestFit="1" customWidth="1"/>
    <col min="10" max="10" width="7.296875" bestFit="1" customWidth="1"/>
    <col min="11" max="11" width="8" bestFit="1" customWidth="1"/>
    <col min="12" max="12" width="11.296875" bestFit="1" customWidth="1"/>
    <col min="13" max="13" width="11.19921875" bestFit="1" customWidth="1"/>
    <col min="14" max="14" width="22.19921875" bestFit="1" customWidth="1"/>
    <col min="15" max="15" width="20.796875" bestFit="1" customWidth="1"/>
    <col min="16" max="16" width="9" bestFit="1" customWidth="1"/>
    <col min="17" max="17" width="8.296875" bestFit="1" customWidth="1"/>
    <col min="18" max="18" width="29.19921875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8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L2/(24*60*60)+DATE(1970,1,1)</f>
        <v>42336.25</v>
      </c>
      <c r="O2" s="12">
        <f>M2/(24*60*60)+DATE(1970,1,1)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8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L3/(24*60*60)+DATE(1970,1,1)</f>
        <v>41870.208333333336</v>
      </c>
      <c r="O3" s="12">
        <f t="shared" ref="O3:O66" si="3">M3/(24*60*60)+DATE(1970,1,1)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E67/D67*100</f>
        <v>236.14754098360655</v>
      </c>
      <c r="G67" t="s">
        <v>20</v>
      </c>
      <c r="H67">
        <v>236</v>
      </c>
      <c r="I67" s="8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8">L67/(24*60*60)+DATE(1970,1,1)</f>
        <v>40570.25</v>
      </c>
      <c r="O67" s="12">
        <f t="shared" ref="O67:O130" si="9">M67/(24*60*60)+DATE(1970,1,1)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8"/>
        <v>40417.208333333336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E131/D131*100</f>
        <v>3.202693602693603</v>
      </c>
      <c r="G131" t="s">
        <v>74</v>
      </c>
      <c r="H131">
        <v>55</v>
      </c>
      <c r="I131" s="8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4">L131/(24*60*60)+DATE(1970,1,1)</f>
        <v>42038.25</v>
      </c>
      <c r="O131" s="12">
        <f t="shared" ref="O131:O194" si="15">M131/(24*60*60)+DATE(1970,1,1)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4"/>
        <v>41817.208333333336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E195/D195*100</f>
        <v>45.636363636363633</v>
      </c>
      <c r="G195" t="s">
        <v>14</v>
      </c>
      <c r="H195">
        <v>65</v>
      </c>
      <c r="I195" s="8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0">L195/(24*60*60)+DATE(1970,1,1)</f>
        <v>43198.208333333328</v>
      </c>
      <c r="O195" s="12">
        <f t="shared" ref="O195:O258" si="21">M195/(24*60*60)+DATE(1970,1,1)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0"/>
        <v>42393.25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E259/D259*100</f>
        <v>146</v>
      </c>
      <c r="G259" t="s">
        <v>20</v>
      </c>
      <c r="H259">
        <v>92</v>
      </c>
      <c r="I259" s="8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6">L259/(24*60*60)+DATE(1970,1,1)</f>
        <v>41338.25</v>
      </c>
      <c r="O259" s="12">
        <f t="shared" ref="O259:O322" si="27">M259/(24*60*60)+DATE(1970,1,1)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6"/>
        <v>40673.208333333336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E323/D323*100</f>
        <v>94.144366197183089</v>
      </c>
      <c r="G323" t="s">
        <v>14</v>
      </c>
      <c r="H323">
        <v>2468</v>
      </c>
      <c r="I323" s="8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2">L323/(24*60*60)+DATE(1970,1,1)</f>
        <v>40634.208333333336</v>
      </c>
      <c r="O323" s="12">
        <f t="shared" ref="O323:O386" si="33">M323/(24*60*60)+DATE(1970,1,1)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2"/>
        <v>42776.25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E387/D387*100</f>
        <v>146.16709511568124</v>
      </c>
      <c r="G387" t="s">
        <v>20</v>
      </c>
      <c r="H387">
        <v>1137</v>
      </c>
      <c r="I387" s="8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8">L387/(24*60*60)+DATE(1970,1,1)</f>
        <v>43553.208333333328</v>
      </c>
      <c r="O387" s="12">
        <f t="shared" ref="O387:O450" si="39">M387/(24*60*60)+DATE(1970,1,1)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8"/>
        <v>41378.208333333336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E451/D451*100</f>
        <v>967</v>
      </c>
      <c r="G451" t="s">
        <v>20</v>
      </c>
      <c r="H451">
        <v>86</v>
      </c>
      <c r="I451" s="8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4">L451/(24*60*60)+DATE(1970,1,1)</f>
        <v>43530.25</v>
      </c>
      <c r="O451" s="12">
        <f t="shared" ref="O451:O514" si="45">M451/(24*60*60)+DATE(1970,1,1)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8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4"/>
        <v>41825.208333333336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E515/D515*100</f>
        <v>39.277108433734945</v>
      </c>
      <c r="G515" t="s">
        <v>74</v>
      </c>
      <c r="H515">
        <v>35</v>
      </c>
      <c r="I515" s="8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50">L515/(24*60*60)+DATE(1970,1,1)</f>
        <v>40430.208333333336</v>
      </c>
      <c r="O515" s="12">
        <f t="shared" ref="O515:O578" si="51">M515/(24*60*60)+DATE(1970,1,1)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50"/>
        <v>43040.208333333328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E579/D579*100</f>
        <v>18.853658536585368</v>
      </c>
      <c r="G579" t="s">
        <v>74</v>
      </c>
      <c r="H579">
        <v>37</v>
      </c>
      <c r="I579" s="8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6">L579/(24*60*60)+DATE(1970,1,1)</f>
        <v>40613.25</v>
      </c>
      <c r="O579" s="12">
        <f t="shared" ref="O579:O642" si="57">M579/(24*60*60)+DATE(1970,1,1)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6"/>
        <v>42387.25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E643/D643*100</f>
        <v>119.96808510638297</v>
      </c>
      <c r="G643" t="s">
        <v>20</v>
      </c>
      <c r="H643">
        <v>194</v>
      </c>
      <c r="I643" s="8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2">L643/(24*60*60)+DATE(1970,1,1)</f>
        <v>42786.25</v>
      </c>
      <c r="O643" s="12">
        <f t="shared" ref="O643:O706" si="63">M643/(24*60*60)+DATE(1970,1,1)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2"/>
        <v>42555.208333333328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E707/D707*100</f>
        <v>99.026517383618156</v>
      </c>
      <c r="G707" t="s">
        <v>14</v>
      </c>
      <c r="H707">
        <v>2025</v>
      </c>
      <c r="I707" s="8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8">L707/(24*60*60)+DATE(1970,1,1)</f>
        <v>41619.25</v>
      </c>
      <c r="O707" s="12">
        <f t="shared" ref="O707:O770" si="69">M707/(24*60*60)+DATE(1970,1,1)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8"/>
        <v>41619.25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E771/D771*100</f>
        <v>86.867834394904463</v>
      </c>
      <c r="G771" t="s">
        <v>14</v>
      </c>
      <c r="H771">
        <v>3410</v>
      </c>
      <c r="I771" s="8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4">L771/(24*60*60)+DATE(1970,1,1)</f>
        <v>41501.208333333336</v>
      </c>
      <c r="O771" s="12">
        <f t="shared" ref="O771:O834" si="75">M771/(24*60*60)+DATE(1970,1,1)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4"/>
        <v>42299.208333333328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E835/D835*100</f>
        <v>157.69117647058823</v>
      </c>
      <c r="G835" t="s">
        <v>20</v>
      </c>
      <c r="H835">
        <v>165</v>
      </c>
      <c r="I835" s="8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80">L835/(24*60*60)+DATE(1970,1,1)</f>
        <v>40588.25</v>
      </c>
      <c r="O835" s="12">
        <f t="shared" ref="O835:O898" si="81">M835/(24*60*60)+DATE(1970,1,1)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80"/>
        <v>40738.208333333336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E899/D899*100</f>
        <v>27.693181818181817</v>
      </c>
      <c r="G899" t="s">
        <v>14</v>
      </c>
      <c r="H899">
        <v>27</v>
      </c>
      <c r="I899" s="8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6">L899/(24*60*60)+DATE(1970,1,1)</f>
        <v>43583.208333333328</v>
      </c>
      <c r="O899" s="12">
        <f t="shared" ref="O899:O962" si="87">M899/(24*60*60)+DATE(1970,1,1)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6"/>
        <v>42408.25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E963/D963*100</f>
        <v>119.29824561403508</v>
      </c>
      <c r="G963" t="s">
        <v>20</v>
      </c>
      <c r="H963">
        <v>155</v>
      </c>
      <c r="I963" s="8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2">L963/(24*60*60)+DATE(1970,1,1)</f>
        <v>40591.25</v>
      </c>
      <c r="O963" s="12">
        <f t="shared" ref="O963:O1001" si="93">M963/(24*60*60)+DATE(1970,1,1)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theme="8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Subcategory Stats</vt:lpstr>
      <vt:lpstr>Outcomes Based on Launch Date</vt:lpstr>
      <vt:lpstr>Bonus_1_Goal Outcomes</vt:lpstr>
      <vt:lpstr>Bonus_2_Statistical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Baby Indra Nandagopal</cp:lastModifiedBy>
  <dcterms:created xsi:type="dcterms:W3CDTF">2021-09-29T18:52:28Z</dcterms:created>
  <dcterms:modified xsi:type="dcterms:W3CDTF">2022-06-16T04:07:26Z</dcterms:modified>
</cp:coreProperties>
</file>