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ingge2/PycharmProjects/KnowEng/dev/Gene_Prioritization_Pipeline/data/verification/"/>
    </mc:Choice>
  </mc:AlternateContent>
  <bookViews>
    <workbookView xWindow="2520" yWindow="460" windowWidth="27680" windowHeight="16120" tabRatio="500" activeTab="1"/>
  </bookViews>
  <sheets>
    <sheet name="correlation" sheetId="2" r:id="rId1"/>
    <sheet name="net_correlation" sheetId="3" r:id="rId2"/>
    <sheet name="bootstrap_net_correlation" sheetId="1" r:id="rId3"/>
    <sheet name="bootstrap_correlation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C57" i="4"/>
  <c r="C58" i="4"/>
  <c r="C59" i="4"/>
  <c r="C60" i="4"/>
  <c r="C62" i="4"/>
  <c r="C61" i="4"/>
  <c r="C45" i="4"/>
  <c r="C46" i="4"/>
  <c r="C47" i="4"/>
  <c r="C48" i="4"/>
  <c r="C49" i="4"/>
  <c r="C50" i="4"/>
  <c r="C51" i="4"/>
  <c r="C52" i="4"/>
  <c r="C34" i="4"/>
  <c r="C35" i="4"/>
  <c r="C36" i="4"/>
  <c r="C37" i="4"/>
  <c r="C38" i="4"/>
  <c r="C39" i="4"/>
  <c r="C40" i="4"/>
  <c r="C41" i="4"/>
  <c r="C25" i="4"/>
  <c r="C26" i="4"/>
  <c r="C27" i="4"/>
  <c r="C28" i="4"/>
  <c r="C29" i="4"/>
  <c r="C30" i="4"/>
  <c r="B20" i="4"/>
  <c r="B2" i="3"/>
  <c r="C64" i="3"/>
  <c r="C65" i="3"/>
  <c r="C66" i="3"/>
  <c r="C67" i="3"/>
  <c r="C68" i="3"/>
  <c r="C69" i="3"/>
  <c r="C70" i="3"/>
  <c r="C71" i="3"/>
  <c r="C72" i="3"/>
  <c r="C73" i="3"/>
  <c r="C74" i="3"/>
  <c r="C37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33" i="3"/>
  <c r="C34" i="3"/>
  <c r="C35" i="3"/>
  <c r="C36" i="3"/>
  <c r="C38" i="3"/>
  <c r="C39" i="3"/>
  <c r="C40" i="3"/>
  <c r="C30" i="3"/>
  <c r="C31" i="3"/>
  <c r="C32" i="3"/>
  <c r="C29" i="3"/>
  <c r="C28" i="3"/>
  <c r="C27" i="3"/>
  <c r="C26" i="3"/>
  <c r="C25" i="3"/>
  <c r="C24" i="3"/>
  <c r="C23" i="3"/>
  <c r="C22" i="3"/>
  <c r="C21" i="3"/>
  <c r="B17" i="3"/>
  <c r="B2" i="2"/>
  <c r="C34" i="2"/>
  <c r="C35" i="2"/>
  <c r="C36" i="2"/>
  <c r="C37" i="2"/>
  <c r="C20" i="2"/>
  <c r="C38" i="2"/>
  <c r="C39" i="2"/>
  <c r="C18" i="2"/>
  <c r="C27" i="2"/>
  <c r="C19" i="2"/>
  <c r="C28" i="2"/>
  <c r="C29" i="2"/>
  <c r="C30" i="2"/>
  <c r="C21" i="2"/>
  <c r="C22" i="2"/>
  <c r="C23" i="2"/>
  <c r="B15" i="2"/>
  <c r="C71" i="1"/>
  <c r="B3" i="1"/>
  <c r="C79" i="1"/>
  <c r="C30" i="1"/>
  <c r="C76" i="1"/>
  <c r="C35" i="1"/>
  <c r="C78" i="1"/>
  <c r="C34" i="1"/>
  <c r="C72" i="1"/>
  <c r="C57" i="1"/>
  <c r="C61" i="1"/>
  <c r="C62" i="1"/>
  <c r="C51" i="1"/>
  <c r="C48" i="1"/>
  <c r="C50" i="1"/>
  <c r="C31" i="1"/>
  <c r="C46" i="1"/>
  <c r="C47" i="1"/>
  <c r="C33" i="1"/>
  <c r="C32" i="1"/>
  <c r="C26" i="1"/>
  <c r="C27" i="1"/>
  <c r="C39" i="1"/>
  <c r="C29" i="1"/>
  <c r="C28" i="1"/>
  <c r="C22" i="1"/>
  <c r="C21" i="1"/>
  <c r="C19" i="1"/>
  <c r="C20" i="1"/>
  <c r="C18" i="1"/>
  <c r="C45" i="1"/>
  <c r="E45" i="1"/>
  <c r="E46" i="1"/>
  <c r="E47" i="1"/>
  <c r="E39" i="1"/>
  <c r="C40" i="1"/>
  <c r="E40" i="1"/>
  <c r="C41" i="1"/>
  <c r="E41" i="1"/>
  <c r="C42" i="1"/>
  <c r="E42" i="1"/>
  <c r="C43" i="1"/>
  <c r="E43" i="1"/>
  <c r="C44" i="1"/>
  <c r="E44" i="1"/>
  <c r="E48" i="1"/>
  <c r="C49" i="1"/>
  <c r="E49" i="1"/>
  <c r="E50" i="1"/>
  <c r="E51" i="1"/>
  <c r="C52" i="1"/>
  <c r="E52" i="1"/>
  <c r="C53" i="1"/>
  <c r="E53" i="1"/>
  <c r="C54" i="1"/>
  <c r="E54" i="1"/>
  <c r="C55" i="1"/>
  <c r="E55" i="1"/>
  <c r="C56" i="1"/>
  <c r="E56" i="1"/>
  <c r="E57" i="1"/>
  <c r="C58" i="1"/>
  <c r="E58" i="1"/>
  <c r="C59" i="1"/>
  <c r="E59" i="1"/>
  <c r="C60" i="1"/>
  <c r="E60" i="1"/>
  <c r="E61" i="1"/>
  <c r="E62" i="1"/>
  <c r="C63" i="1"/>
  <c r="E63" i="1"/>
  <c r="C64" i="1"/>
  <c r="E64" i="1"/>
  <c r="C65" i="1"/>
  <c r="E65" i="1"/>
  <c r="C66" i="1"/>
  <c r="E66" i="1"/>
  <c r="E68" i="1"/>
  <c r="E22" i="1"/>
  <c r="E18" i="1"/>
  <c r="E19" i="1"/>
  <c r="E20" i="1"/>
  <c r="E21" i="1"/>
  <c r="C23" i="1"/>
  <c r="E23" i="1"/>
  <c r="C24" i="1"/>
  <c r="E24" i="1"/>
  <c r="C25" i="1"/>
  <c r="E25" i="1"/>
  <c r="E26" i="1"/>
  <c r="E27" i="1"/>
  <c r="E28" i="1"/>
  <c r="E29" i="1"/>
  <c r="E30" i="1"/>
  <c r="E31" i="1"/>
  <c r="E32" i="1"/>
  <c r="E33" i="1"/>
  <c r="E34" i="1"/>
  <c r="E35" i="1"/>
  <c r="E36" i="1"/>
  <c r="E71" i="1"/>
  <c r="E72" i="1"/>
  <c r="C73" i="1"/>
  <c r="E73" i="1"/>
  <c r="C74" i="1"/>
  <c r="E74" i="1"/>
  <c r="C75" i="1"/>
  <c r="E75" i="1"/>
  <c r="E76" i="1"/>
  <c r="C77" i="1"/>
  <c r="E77" i="1"/>
  <c r="E78" i="1"/>
  <c r="E79" i="1"/>
  <c r="C80" i="1"/>
  <c r="E80" i="1"/>
  <c r="E81" i="1"/>
  <c r="B15" i="1"/>
  <c r="C67" i="1"/>
  <c r="E67" i="1"/>
</calcChain>
</file>

<file path=xl/sharedStrings.xml><?xml version="1.0" encoding="utf-8"?>
<sst xmlns="http://schemas.openxmlformats.org/spreadsheetml/2006/main" count="337" uniqueCount="99">
  <si>
    <t>drug_response_df</t>
  </si>
  <si>
    <t>samples</t>
  </si>
  <si>
    <t>spreadsheet_df</t>
  </si>
  <si>
    <t>network_df</t>
  </si>
  <si>
    <t>edges</t>
  </si>
  <si>
    <t>genes</t>
  </si>
  <si>
    <t>net_genes</t>
  </si>
  <si>
    <t>M</t>
  </si>
  <si>
    <t>node_1_names</t>
  </si>
  <si>
    <t>node_2_names</t>
  </si>
  <si>
    <t>unique_gene_names</t>
  </si>
  <si>
    <t>network_mat_sparse</t>
  </si>
  <si>
    <t>network_mat</t>
  </si>
  <si>
    <t>baseline_array</t>
  </si>
  <si>
    <t>genes_list</t>
  </si>
  <si>
    <t>drugs_list</t>
  </si>
  <si>
    <t>consolidated_df</t>
  </si>
  <si>
    <t>drugs</t>
  </si>
  <si>
    <t>spreadsheet_genes_as_input</t>
  </si>
  <si>
    <t>Variable name</t>
  </si>
  <si>
    <t>Size</t>
  </si>
  <si>
    <t>restart_accumulator</t>
  </si>
  <si>
    <t>gm_accumulator</t>
  </si>
  <si>
    <t>borda_count</t>
  </si>
  <si>
    <t>pearson_array</t>
  </si>
  <si>
    <t>drug_response</t>
  </si>
  <si>
    <t>pc_array</t>
  </si>
  <si>
    <t>sample_smooth</t>
  </si>
  <si>
    <t>sample_permutation</t>
  </si>
  <si>
    <t>sample_random</t>
  </si>
  <si>
    <t>Parallel Worker</t>
  </si>
  <si>
    <t>generate_net_correlation_output</t>
  </si>
  <si>
    <t>mask</t>
  </si>
  <si>
    <t>min_max_pc</t>
  </si>
  <si>
    <t>gene_name_list</t>
  </si>
  <si>
    <t>drug_name_list</t>
  </si>
  <si>
    <t>output_val</t>
  </si>
  <si>
    <t>result_df</t>
  </si>
  <si>
    <t>genes_lookup_table</t>
  </si>
  <si>
    <t xml:space="preserve"> base memory Line number</t>
  </si>
  <si>
    <t>Input variables</t>
  </si>
  <si>
    <t>zip(itertools.repeat…</t>
  </si>
  <si>
    <t>input variables (not named below)</t>
  </si>
  <si>
    <t>number of parallel processes</t>
  </si>
  <si>
    <t>Total Memory Required:</t>
  </si>
  <si>
    <t>base memory total</t>
  </si>
  <si>
    <t xml:space="preserve"> generate_net_correlation_output</t>
  </si>
  <si>
    <t>multiplicity</t>
  </si>
  <si>
    <t>single</t>
  </si>
  <si>
    <t xml:space="preserve">input </t>
  </si>
  <si>
    <t>units</t>
  </si>
  <si>
    <t>letters</t>
  </si>
  <si>
    <t>items</t>
  </si>
  <si>
    <t>Bytes</t>
  </si>
  <si>
    <t>drug name string</t>
  </si>
  <si>
    <t>gene name string</t>
  </si>
  <si>
    <t>f477bbe</t>
  </si>
  <si>
    <t>production version</t>
  </si>
  <si>
    <t>processors</t>
  </si>
  <si>
    <t>MB</t>
  </si>
  <si>
    <t>bootstrap net Input Variables</t>
  </si>
  <si>
    <t>double</t>
  </si>
  <si>
    <t>sample name string</t>
  </si>
  <si>
    <t>(n-bootstraps loop) 466</t>
  </si>
  <si>
    <t>(end bootstraps loop) 482</t>
  </si>
  <si>
    <t>Input Variables</t>
  </si>
  <si>
    <t>Byte</t>
  </si>
  <si>
    <t>pandas df string</t>
  </si>
  <si>
    <t>string</t>
  </si>
  <si>
    <t>int</t>
  </si>
  <si>
    <t>float</t>
  </si>
  <si>
    <t>item</t>
  </si>
  <si>
    <t xml:space="preserve"> Line number</t>
  </si>
  <si>
    <t>Size/MB</t>
  </si>
  <si>
    <t>drug_response_df_0</t>
  </si>
  <si>
    <t>spreadsheet_df_0</t>
  </si>
  <si>
    <t>consolodated_df</t>
  </si>
  <si>
    <t>Total sum</t>
  </si>
  <si>
    <t>parallel worker</t>
  </si>
  <si>
    <t>Line number</t>
  </si>
  <si>
    <t>df_header</t>
  </si>
  <si>
    <t>result_df.index</t>
  </si>
  <si>
    <t>intersection genes between original gene and net_genes</t>
  </si>
  <si>
    <t xml:space="preserve">boolean </t>
  </si>
  <si>
    <t>output column number</t>
  </si>
  <si>
    <t>MByte</t>
  </si>
  <si>
    <t>run_net_correlation</t>
  </si>
  <si>
    <t xml:space="preserve">Total sum </t>
  </si>
  <si>
    <t>worker_for_run_net_correlation</t>
  </si>
  <si>
    <t>name_size</t>
  </si>
  <si>
    <t>samples not null</t>
  </si>
  <si>
    <t>python empty list base size</t>
  </si>
  <si>
    <t>byte</t>
  </si>
  <si>
    <t>number_of_bootstrap</t>
  </si>
  <si>
    <t>run_bootstrap_correlation</t>
  </si>
  <si>
    <t>worker_for_run_bootstrap_correlation outside</t>
  </si>
  <si>
    <t>pcc_gm_array</t>
  </si>
  <si>
    <t>worker_for_run_bootstrap_correlation inside</t>
  </si>
  <si>
    <t>generate_bootstrap_coorelation_output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</si>
</sst>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scheme val="minor"/>
    </font>
    <font>
      <sz val="9"/>
      <color rgb="FF000000"/>
      <name val="Menlo"/>
    </font>
    <font>
      <sz val="9"/>
      <color theme="0"/>
      <name val="Menlo"/>
    </font>
    <font>
      <b/>
      <sz val="9"/>
      <color rgb="FF008080"/>
      <name val="Menlo"/>
    </font>
    <font>
      <sz val="9"/>
      <color theme="1"/>
      <name val="Menlo Regula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1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2" fillId="0" borderId="0" xfId="3"/>
    <xf numFmtId="164" fontId="0" fillId="0" borderId="0" xfId="0" applyNumberFormat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1" fillId="2" borderId="0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7" fillId="0" borderId="0" xfId="0" applyFont="1"/>
    <xf numFmtId="0" fontId="8" fillId="2" borderId="0" xfId="0" applyFont="1" applyFill="1" applyAlignment="1">
      <alignment horizontal="center"/>
    </xf>
    <xf numFmtId="0" fontId="9" fillId="0" borderId="0" xfId="0" applyFont="1"/>
    <xf numFmtId="0" fontId="1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nowEnG/Gene_Prioritization_Pipeline/commit/f477bbe8c42433a3c82ffcfb7d826333c1624c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1" workbookViewId="0">
      <selection activeCell="C18" sqref="C18:C23"/>
    </sheetView>
  </sheetViews>
  <sheetFormatPr baseColWidth="10" defaultRowHeight="16" x14ac:dyDescent="0.2"/>
  <cols>
    <col min="1" max="1" width="26.83203125" customWidth="1"/>
    <col min="2" max="2" width="19" customWidth="1"/>
  </cols>
  <sheetData>
    <row r="1" spans="1:3" x14ac:dyDescent="0.2">
      <c r="A1" s="2" t="s">
        <v>65</v>
      </c>
      <c r="B1" s="5" t="s">
        <v>20</v>
      </c>
      <c r="C1" s="5" t="s">
        <v>50</v>
      </c>
    </row>
    <row r="2" spans="1:3" x14ac:dyDescent="0.2">
      <c r="A2" s="1" t="s">
        <v>7</v>
      </c>
      <c r="B2">
        <f>1000000</f>
        <v>1000000</v>
      </c>
      <c r="C2" s="6" t="s">
        <v>66</v>
      </c>
    </row>
    <row r="3" spans="1:3" x14ac:dyDescent="0.2">
      <c r="A3" s="1" t="s">
        <v>67</v>
      </c>
      <c r="B3">
        <v>8</v>
      </c>
      <c r="C3" s="6" t="s">
        <v>66</v>
      </c>
    </row>
    <row r="4" spans="1:3" x14ac:dyDescent="0.2">
      <c r="A4" s="1" t="s">
        <v>68</v>
      </c>
      <c r="B4">
        <v>8</v>
      </c>
      <c r="C4" s="6" t="s">
        <v>66</v>
      </c>
    </row>
    <row r="5" spans="1:3" x14ac:dyDescent="0.2">
      <c r="A5" s="1" t="s">
        <v>69</v>
      </c>
      <c r="B5">
        <v>8</v>
      </c>
      <c r="C5" s="6" t="s">
        <v>66</v>
      </c>
    </row>
    <row r="6" spans="1:3" x14ac:dyDescent="0.2">
      <c r="A6" s="1" t="s">
        <v>70</v>
      </c>
      <c r="B6">
        <v>8</v>
      </c>
      <c r="C6" s="6" t="s">
        <v>66</v>
      </c>
    </row>
    <row r="7" spans="1:3" x14ac:dyDescent="0.2">
      <c r="A7" s="1" t="s">
        <v>48</v>
      </c>
      <c r="B7">
        <v>4</v>
      </c>
      <c r="C7" s="6" t="s">
        <v>66</v>
      </c>
    </row>
    <row r="8" spans="1:3" x14ac:dyDescent="0.2">
      <c r="A8" s="1" t="s">
        <v>17</v>
      </c>
      <c r="B8">
        <v>24</v>
      </c>
      <c r="C8" s="6" t="s">
        <v>71</v>
      </c>
    </row>
    <row r="9" spans="1:3" x14ac:dyDescent="0.2">
      <c r="A9" s="1" t="s">
        <v>1</v>
      </c>
      <c r="B9">
        <v>491</v>
      </c>
      <c r="C9" s="6" t="s">
        <v>71</v>
      </c>
    </row>
    <row r="10" spans="1:3" x14ac:dyDescent="0.2">
      <c r="A10" s="1" t="s">
        <v>5</v>
      </c>
      <c r="B10">
        <v>18874</v>
      </c>
      <c r="C10" s="6" t="s">
        <v>71</v>
      </c>
    </row>
    <row r="11" spans="1:3" x14ac:dyDescent="0.2">
      <c r="A11" s="1" t="s">
        <v>4</v>
      </c>
      <c r="B11">
        <v>2961786</v>
      </c>
      <c r="C11" s="6" t="s">
        <v>71</v>
      </c>
    </row>
    <row r="12" spans="1:3" x14ac:dyDescent="0.2">
      <c r="A12" s="1" t="s">
        <v>6</v>
      </c>
      <c r="B12">
        <v>15589</v>
      </c>
      <c r="C12" s="6" t="s">
        <v>71</v>
      </c>
    </row>
    <row r="13" spans="1:3" x14ac:dyDescent="0.2">
      <c r="A13" s="1"/>
      <c r="C13" s="6"/>
    </row>
    <row r="14" spans="1:3" x14ac:dyDescent="0.2">
      <c r="A14" s="1" t="s">
        <v>43</v>
      </c>
      <c r="B14">
        <v>1</v>
      </c>
      <c r="C14" s="6" t="s">
        <v>71</v>
      </c>
    </row>
    <row r="15" spans="1:3" x14ac:dyDescent="0.2">
      <c r="A15" s="1" t="s">
        <v>44</v>
      </c>
      <c r="B15" s="8">
        <f>C23+C30+C39</f>
        <v>224.58701166666665</v>
      </c>
      <c r="C15" s="6" t="s">
        <v>66</v>
      </c>
    </row>
    <row r="16" spans="1:3" x14ac:dyDescent="0.2">
      <c r="A16" s="1"/>
      <c r="C16" s="6"/>
    </row>
    <row r="17" spans="1:3" x14ac:dyDescent="0.2">
      <c r="A17" s="5" t="s">
        <v>72</v>
      </c>
      <c r="B17" s="5" t="s">
        <v>19</v>
      </c>
      <c r="C17" s="5" t="s">
        <v>73</v>
      </c>
    </row>
    <row r="18" spans="1:3" x14ac:dyDescent="0.2">
      <c r="A18" s="6">
        <v>81</v>
      </c>
      <c r="B18" s="4" t="s">
        <v>74</v>
      </c>
      <c r="C18" s="1">
        <f>(B9*B8*B6+B9*B3+B8*B3)/B2</f>
        <v>9.8391999999999993E-2</v>
      </c>
    </row>
    <row r="19" spans="1:3" x14ac:dyDescent="0.2">
      <c r="A19" s="6">
        <v>82</v>
      </c>
      <c r="B19" s="17" t="s">
        <v>75</v>
      </c>
      <c r="C19" s="1">
        <f>(B10*B9*B6+B10*B3+B9*B3)/B2</f>
        <v>74.291991999999993</v>
      </c>
    </row>
    <row r="20" spans="1:3" x14ac:dyDescent="0.2">
      <c r="A20" s="6">
        <v>84</v>
      </c>
      <c r="B20" s="17" t="s">
        <v>14</v>
      </c>
      <c r="C20" s="1">
        <f>B10*B4/B2</f>
        <v>0.15099199999999999</v>
      </c>
    </row>
    <row r="21" spans="1:3" x14ac:dyDescent="0.2">
      <c r="A21" s="6">
        <v>84</v>
      </c>
      <c r="B21" s="17" t="s">
        <v>15</v>
      </c>
      <c r="C21" s="1">
        <f>B8*B4/B2</f>
        <v>1.92E-4</v>
      </c>
    </row>
    <row r="22" spans="1:3" x14ac:dyDescent="0.2">
      <c r="A22" s="6">
        <v>84</v>
      </c>
      <c r="B22" s="17" t="s">
        <v>76</v>
      </c>
      <c r="C22" s="1">
        <f>C18+C19</f>
        <v>74.390383999999997</v>
      </c>
    </row>
    <row r="23" spans="1:3" x14ac:dyDescent="0.2">
      <c r="A23" s="6"/>
      <c r="B23" s="18" t="s">
        <v>77</v>
      </c>
      <c r="C23" s="21">
        <f>SUM(C18:C22)</f>
        <v>148.931952</v>
      </c>
    </row>
    <row r="24" spans="1:3" x14ac:dyDescent="0.2">
      <c r="A24" s="6"/>
    </row>
    <row r="25" spans="1:3" x14ac:dyDescent="0.2">
      <c r="A25" s="20" t="s">
        <v>78</v>
      </c>
    </row>
    <row r="26" spans="1:3" x14ac:dyDescent="0.2">
      <c r="A26" s="5" t="s">
        <v>79</v>
      </c>
      <c r="B26" s="5" t="s">
        <v>19</v>
      </c>
      <c r="C26" s="5" t="s">
        <v>73</v>
      </c>
    </row>
    <row r="27" spans="1:3" x14ac:dyDescent="0.2">
      <c r="A27" s="6">
        <v>127</v>
      </c>
      <c r="B27" t="s">
        <v>0</v>
      </c>
      <c r="C27">
        <f>C18/24</f>
        <v>4.0996666666666664E-3</v>
      </c>
    </row>
    <row r="28" spans="1:3" x14ac:dyDescent="0.2">
      <c r="A28" s="6">
        <v>127</v>
      </c>
      <c r="B28" t="s">
        <v>2</v>
      </c>
      <c r="C28">
        <f>C19</f>
        <v>74.291991999999993</v>
      </c>
    </row>
    <row r="29" spans="1:3" x14ac:dyDescent="0.2">
      <c r="A29" s="6">
        <v>128</v>
      </c>
      <c r="B29" t="s">
        <v>26</v>
      </c>
      <c r="C29">
        <f>B10*B6/B2</f>
        <v>0.15099199999999999</v>
      </c>
    </row>
    <row r="30" spans="1:3" x14ac:dyDescent="0.2">
      <c r="A30" s="6"/>
      <c r="B30" s="19" t="s">
        <v>77</v>
      </c>
      <c r="C30" s="19">
        <f>SUM(C27:C29)</f>
        <v>74.447083666666657</v>
      </c>
    </row>
    <row r="32" spans="1:3" x14ac:dyDescent="0.2">
      <c r="A32" s="2" t="s">
        <v>31</v>
      </c>
    </row>
    <row r="33" spans="1:3" x14ac:dyDescent="0.2">
      <c r="A33" s="5" t="s">
        <v>79</v>
      </c>
      <c r="B33" s="5" t="s">
        <v>19</v>
      </c>
      <c r="C33" s="5" t="s">
        <v>73</v>
      </c>
    </row>
    <row r="34" spans="1:3" x14ac:dyDescent="0.2">
      <c r="A34" s="6">
        <v>148</v>
      </c>
      <c r="B34" s="17" t="s">
        <v>35</v>
      </c>
      <c r="C34">
        <f>B10*B4/B2</f>
        <v>0.15099199999999999</v>
      </c>
    </row>
    <row r="35" spans="1:3" x14ac:dyDescent="0.2">
      <c r="A35" s="6">
        <v>149</v>
      </c>
      <c r="B35" s="17" t="s">
        <v>36</v>
      </c>
      <c r="C35">
        <f>(B3*2+B6*3) * B10/B2</f>
        <v>0.75495999999999996</v>
      </c>
    </row>
    <row r="36" spans="1:3" x14ac:dyDescent="0.2">
      <c r="A36" s="6">
        <v>152</v>
      </c>
      <c r="B36" s="17" t="s">
        <v>80</v>
      </c>
      <c r="C36">
        <f>B4*5/B2</f>
        <v>4.0000000000000003E-5</v>
      </c>
    </row>
    <row r="37" spans="1:3" x14ac:dyDescent="0.2">
      <c r="A37" s="6">
        <v>153</v>
      </c>
      <c r="B37" s="17" t="s">
        <v>37</v>
      </c>
      <c r="C37">
        <f>C34</f>
        <v>0.15099199999999999</v>
      </c>
    </row>
    <row r="38" spans="1:3" x14ac:dyDescent="0.2">
      <c r="A38" s="6">
        <v>154</v>
      </c>
      <c r="B38" s="17" t="s">
        <v>81</v>
      </c>
      <c r="C38">
        <f>C20</f>
        <v>0.15099199999999999</v>
      </c>
    </row>
    <row r="39" spans="1:3" x14ac:dyDescent="0.2">
      <c r="A39" s="6"/>
      <c r="B39" s="18" t="s">
        <v>77</v>
      </c>
      <c r="C39" s="19">
        <f>SUM(C34:C38)</f>
        <v>1.2079759999999999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D31" sqref="D31"/>
    </sheetView>
  </sheetViews>
  <sheetFormatPr baseColWidth="10" defaultRowHeight="16" x14ac:dyDescent="0.2"/>
  <cols>
    <col min="1" max="1" width="47" bestFit="1" customWidth="1"/>
    <col min="2" max="2" width="24.5" bestFit="1" customWidth="1"/>
  </cols>
  <sheetData>
    <row r="1" spans="1:3" x14ac:dyDescent="0.2">
      <c r="A1" s="5" t="s">
        <v>65</v>
      </c>
      <c r="B1" s="5" t="s">
        <v>20</v>
      </c>
      <c r="C1" s="5" t="s">
        <v>50</v>
      </c>
    </row>
    <row r="2" spans="1:3" x14ac:dyDescent="0.2">
      <c r="A2" s="6" t="s">
        <v>7</v>
      </c>
      <c r="B2">
        <f>1000000</f>
        <v>1000000</v>
      </c>
      <c r="C2" s="6" t="s">
        <v>66</v>
      </c>
    </row>
    <row r="3" spans="1:3" x14ac:dyDescent="0.2">
      <c r="A3" s="6" t="s">
        <v>67</v>
      </c>
      <c r="B3">
        <v>8</v>
      </c>
      <c r="C3" s="6" t="s">
        <v>66</v>
      </c>
    </row>
    <row r="4" spans="1:3" x14ac:dyDescent="0.2">
      <c r="A4" s="6" t="s">
        <v>68</v>
      </c>
      <c r="B4">
        <v>8</v>
      </c>
      <c r="C4" s="6" t="s">
        <v>66</v>
      </c>
    </row>
    <row r="5" spans="1:3" x14ac:dyDescent="0.2">
      <c r="A5" s="6" t="s">
        <v>69</v>
      </c>
      <c r="B5">
        <v>8</v>
      </c>
      <c r="C5" s="6" t="s">
        <v>66</v>
      </c>
    </row>
    <row r="6" spans="1:3" x14ac:dyDescent="0.2">
      <c r="A6" s="6" t="s">
        <v>70</v>
      </c>
      <c r="B6">
        <v>8</v>
      </c>
      <c r="C6" s="6" t="s">
        <v>66</v>
      </c>
    </row>
    <row r="7" spans="1:3" x14ac:dyDescent="0.2">
      <c r="A7" s="6" t="s">
        <v>48</v>
      </c>
      <c r="B7">
        <v>4</v>
      </c>
      <c r="C7" s="6" t="s">
        <v>71</v>
      </c>
    </row>
    <row r="8" spans="1:3" x14ac:dyDescent="0.2">
      <c r="A8" s="6" t="s">
        <v>17</v>
      </c>
      <c r="B8">
        <v>1</v>
      </c>
      <c r="C8" s="6" t="s">
        <v>71</v>
      </c>
    </row>
    <row r="9" spans="1:3" x14ac:dyDescent="0.2">
      <c r="A9" s="6" t="s">
        <v>1</v>
      </c>
      <c r="B9">
        <v>491</v>
      </c>
      <c r="C9" s="6" t="s">
        <v>71</v>
      </c>
    </row>
    <row r="10" spans="1:3" x14ac:dyDescent="0.2">
      <c r="A10" s="6" t="s">
        <v>5</v>
      </c>
      <c r="B10">
        <v>18874</v>
      </c>
      <c r="C10" s="6" t="s">
        <v>71</v>
      </c>
    </row>
    <row r="11" spans="1:3" x14ac:dyDescent="0.2">
      <c r="A11" s="6" t="s">
        <v>4</v>
      </c>
      <c r="B11">
        <v>2961786</v>
      </c>
      <c r="C11" s="6" t="s">
        <v>71</v>
      </c>
    </row>
    <row r="12" spans="1:3" x14ac:dyDescent="0.2">
      <c r="A12" s="6" t="s">
        <v>6</v>
      </c>
      <c r="B12">
        <v>15589</v>
      </c>
      <c r="C12" s="6" t="s">
        <v>71</v>
      </c>
    </row>
    <row r="13" spans="1:3" x14ac:dyDescent="0.2">
      <c r="A13" s="6" t="s">
        <v>82</v>
      </c>
      <c r="B13">
        <v>13410</v>
      </c>
      <c r="C13" s="6" t="s">
        <v>71</v>
      </c>
    </row>
    <row r="14" spans="1:3" x14ac:dyDescent="0.2">
      <c r="A14" s="6" t="s">
        <v>83</v>
      </c>
      <c r="B14">
        <v>1</v>
      </c>
      <c r="C14" s="6" t="s">
        <v>66</v>
      </c>
    </row>
    <row r="15" spans="1:3" x14ac:dyDescent="0.2">
      <c r="A15" s="6" t="s">
        <v>84</v>
      </c>
      <c r="B15">
        <v>6</v>
      </c>
      <c r="C15" s="6" t="s">
        <v>71</v>
      </c>
    </row>
    <row r="16" spans="1:3" x14ac:dyDescent="0.2">
      <c r="A16" s="6" t="s">
        <v>43</v>
      </c>
      <c r="B16">
        <v>1</v>
      </c>
      <c r="C16" s="6" t="s">
        <v>71</v>
      </c>
    </row>
    <row r="17" spans="1:3" x14ac:dyDescent="0.2">
      <c r="A17" s="6" t="s">
        <v>44</v>
      </c>
      <c r="B17" s="8">
        <f>SUM(C31+C40) + B16*(C59+C74)</f>
        <v>616.59492141666647</v>
      </c>
      <c r="C17" s="6" t="s">
        <v>85</v>
      </c>
    </row>
    <row r="18" spans="1:3" x14ac:dyDescent="0.2">
      <c r="A18" s="1"/>
      <c r="B18" s="8"/>
      <c r="C18" s="6"/>
    </row>
    <row r="19" spans="1:3" x14ac:dyDescent="0.2">
      <c r="A19" s="5" t="s">
        <v>86</v>
      </c>
      <c r="C19" s="6"/>
    </row>
    <row r="20" spans="1:3" x14ac:dyDescent="0.2">
      <c r="A20" s="5" t="s">
        <v>72</v>
      </c>
      <c r="B20" s="5" t="s">
        <v>19</v>
      </c>
      <c r="C20" s="5" t="s">
        <v>73</v>
      </c>
    </row>
    <row r="21" spans="1:3" x14ac:dyDescent="0.2">
      <c r="A21" s="6">
        <v>267</v>
      </c>
      <c r="B21" s="22" t="s">
        <v>0</v>
      </c>
      <c r="C21">
        <f>(B9*B6/B2)</f>
        <v>3.9280000000000001E-3</v>
      </c>
    </row>
    <row r="22" spans="1:3" x14ac:dyDescent="0.2">
      <c r="A22" s="6">
        <v>268</v>
      </c>
      <c r="B22" s="22" t="s">
        <v>2</v>
      </c>
      <c r="C22">
        <f>(B10*B9*B6+B10*B3+B9*B3)/B2</f>
        <v>74.291991999999993</v>
      </c>
    </row>
    <row r="23" spans="1:3" x14ac:dyDescent="0.2">
      <c r="A23" s="6">
        <v>269</v>
      </c>
      <c r="B23" s="22" t="s">
        <v>18</v>
      </c>
      <c r="C23">
        <f>150992/B2</f>
        <v>0.15099199999999999</v>
      </c>
    </row>
    <row r="24" spans="1:3" x14ac:dyDescent="0.2">
      <c r="A24" s="6">
        <v>271</v>
      </c>
      <c r="B24" s="22" t="s">
        <v>3</v>
      </c>
      <c r="C24">
        <f>B11*3*B6/B2</f>
        <v>71.082864000000001</v>
      </c>
    </row>
    <row r="25" spans="1:3" x14ac:dyDescent="0.2">
      <c r="A25" s="6">
        <v>272</v>
      </c>
      <c r="B25" s="22" t="s">
        <v>8</v>
      </c>
      <c r="C25">
        <f>(B4*B12)/B2</f>
        <v>0.124712</v>
      </c>
    </row>
    <row r="26" spans="1:3" x14ac:dyDescent="0.2">
      <c r="A26" s="6">
        <v>272</v>
      </c>
      <c r="B26" s="22" t="s">
        <v>9</v>
      </c>
      <c r="C26">
        <f>(B4*B12)/B2</f>
        <v>0.124712</v>
      </c>
    </row>
    <row r="27" spans="1:3" x14ac:dyDescent="0.2">
      <c r="A27" s="6">
        <v>273</v>
      </c>
      <c r="B27" s="22" t="s">
        <v>10</v>
      </c>
      <c r="C27">
        <f>(B4*B12)/B2</f>
        <v>0.124712</v>
      </c>
    </row>
    <row r="28" spans="1:3" x14ac:dyDescent="0.2">
      <c r="A28" s="6">
        <v>275</v>
      </c>
      <c r="B28" s="22" t="s">
        <v>10</v>
      </c>
      <c r="C28">
        <f>(B4*B12)/B2</f>
        <v>0.124712</v>
      </c>
    </row>
    <row r="29" spans="1:3" x14ac:dyDescent="0.2">
      <c r="A29" s="6">
        <v>277</v>
      </c>
      <c r="B29" s="22" t="s">
        <v>38</v>
      </c>
      <c r="C29">
        <f>786528/B2</f>
        <v>0.786528</v>
      </c>
    </row>
    <row r="30" spans="1:3" x14ac:dyDescent="0.2">
      <c r="A30" s="6">
        <v>279</v>
      </c>
      <c r="B30" s="22" t="s">
        <v>3</v>
      </c>
      <c r="C30">
        <f>B11*B6*3/B2</f>
        <v>71.082864000000001</v>
      </c>
    </row>
    <row r="31" spans="1:3" x14ac:dyDescent="0.2">
      <c r="A31" s="6">
        <v>280</v>
      </c>
      <c r="B31" s="22" t="s">
        <v>3</v>
      </c>
      <c r="C31">
        <f>B11*B6*3/B2</f>
        <v>71.082864000000001</v>
      </c>
    </row>
    <row r="32" spans="1:3" x14ac:dyDescent="0.2">
      <c r="A32" s="6">
        <v>282</v>
      </c>
      <c r="B32" s="22" t="s">
        <v>3</v>
      </c>
      <c r="C32">
        <f>C30+C31</f>
        <v>142.165728</v>
      </c>
    </row>
    <row r="33" spans="1:3" x14ac:dyDescent="0.2">
      <c r="A33" s="6">
        <v>283</v>
      </c>
      <c r="B33" t="s">
        <v>11</v>
      </c>
      <c r="C33">
        <f>B11*2*3*B6/B2</f>
        <v>142.165728</v>
      </c>
    </row>
    <row r="34" spans="1:3" x14ac:dyDescent="0.2">
      <c r="A34" s="6">
        <v>286</v>
      </c>
      <c r="B34" t="s">
        <v>12</v>
      </c>
      <c r="C34">
        <f>C33</f>
        <v>142.165728</v>
      </c>
    </row>
    <row r="35" spans="1:3" x14ac:dyDescent="0.2">
      <c r="A35" s="6">
        <v>288</v>
      </c>
      <c r="B35" s="22" t="s">
        <v>13</v>
      </c>
      <c r="C35">
        <f>(B12*B6/B2)</f>
        <v>0.124712</v>
      </c>
    </row>
    <row r="36" spans="1:3" x14ac:dyDescent="0.2">
      <c r="A36" s="6">
        <v>289</v>
      </c>
      <c r="B36" s="22" t="s">
        <v>13</v>
      </c>
      <c r="C36">
        <f>C35</f>
        <v>0.124712</v>
      </c>
    </row>
    <row r="37" spans="1:3" x14ac:dyDescent="0.2">
      <c r="A37" s="6">
        <v>291</v>
      </c>
      <c r="B37" s="22" t="s">
        <v>14</v>
      </c>
      <c r="C37">
        <f>18874/B2</f>
        <v>1.8873999999999998E-2</v>
      </c>
    </row>
    <row r="38" spans="1:3" x14ac:dyDescent="0.2">
      <c r="A38" s="6">
        <v>291</v>
      </c>
      <c r="B38" s="22" t="s">
        <v>15</v>
      </c>
      <c r="C38">
        <f>(64+B8*8)/B2</f>
        <v>7.2000000000000002E-5</v>
      </c>
    </row>
    <row r="39" spans="1:3" x14ac:dyDescent="0.2">
      <c r="A39" s="6">
        <v>291</v>
      </c>
      <c r="B39" s="22" t="s">
        <v>76</v>
      </c>
      <c r="C39">
        <f>((B10+B8)*B9*B6+(B10+B8)*B3+B9*B3)/B2</f>
        <v>74.295928000000004</v>
      </c>
    </row>
    <row r="40" spans="1:3" x14ac:dyDescent="0.2">
      <c r="B40" s="22" t="s">
        <v>87</v>
      </c>
      <c r="C40">
        <f>SUM(C33:C39)</f>
        <v>358.89575399999995</v>
      </c>
    </row>
    <row r="43" spans="1:3" x14ac:dyDescent="0.2">
      <c r="A43" s="5" t="s">
        <v>88</v>
      </c>
    </row>
    <row r="44" spans="1:3" x14ac:dyDescent="0.2">
      <c r="A44" s="5" t="s">
        <v>72</v>
      </c>
      <c r="B44" s="5" t="s">
        <v>19</v>
      </c>
      <c r="C44" s="5" t="s">
        <v>73</v>
      </c>
    </row>
    <row r="45" spans="1:3" x14ac:dyDescent="0.2">
      <c r="A45" s="6">
        <v>327</v>
      </c>
      <c r="B45" s="22" t="s">
        <v>0</v>
      </c>
      <c r="C45">
        <f>C37/24</f>
        <v>7.864166666666666E-4</v>
      </c>
    </row>
    <row r="46" spans="1:3" x14ac:dyDescent="0.2">
      <c r="A46" s="6">
        <v>327</v>
      </c>
      <c r="B46" s="22" t="s">
        <v>2</v>
      </c>
      <c r="C46">
        <f>(B12*B9*B6+B12*B3+B9*B3)/B2</f>
        <v>61.362231999999999</v>
      </c>
    </row>
    <row r="47" spans="1:3" x14ac:dyDescent="0.2">
      <c r="A47" s="6">
        <v>329</v>
      </c>
      <c r="B47" s="22" t="s">
        <v>2</v>
      </c>
      <c r="C47">
        <f>C46</f>
        <v>61.362231999999999</v>
      </c>
    </row>
    <row r="48" spans="1:3" x14ac:dyDescent="0.2">
      <c r="A48" s="6">
        <v>333</v>
      </c>
      <c r="B48" s="22" t="s">
        <v>27</v>
      </c>
      <c r="C48">
        <f>B12*B9*B6/B2</f>
        <v>61.233592000000002</v>
      </c>
    </row>
    <row r="49" spans="1:3" x14ac:dyDescent="0.2">
      <c r="A49" s="6">
        <v>335</v>
      </c>
      <c r="B49" s="22" t="s">
        <v>26</v>
      </c>
      <c r="C49">
        <f>B12*B6/B2</f>
        <v>0.124712</v>
      </c>
    </row>
    <row r="50" spans="1:3" x14ac:dyDescent="0.2">
      <c r="A50" s="6">
        <v>336</v>
      </c>
      <c r="B50" s="22" t="s">
        <v>24</v>
      </c>
      <c r="C50">
        <f>C49</f>
        <v>0.124712</v>
      </c>
    </row>
    <row r="51" spans="1:3" x14ac:dyDescent="0.2">
      <c r="A51" s="6">
        <v>337</v>
      </c>
      <c r="B51" s="22" t="s">
        <v>26</v>
      </c>
      <c r="C51">
        <f>(B12 *  B6 /B2)</f>
        <v>0.124712</v>
      </c>
    </row>
    <row r="52" spans="1:3" x14ac:dyDescent="0.2">
      <c r="A52" s="6">
        <v>338</v>
      </c>
      <c r="B52" s="22" t="s">
        <v>26</v>
      </c>
      <c r="C52">
        <f>(B12 *  B6 /B2)</f>
        <v>0.124712</v>
      </c>
    </row>
    <row r="53" spans="1:3" x14ac:dyDescent="0.2">
      <c r="A53" s="6">
        <v>339</v>
      </c>
      <c r="B53" s="22" t="s">
        <v>21</v>
      </c>
      <c r="C53">
        <f>(B12 *  B6 /B2)</f>
        <v>0.124712</v>
      </c>
    </row>
    <row r="54" spans="1:3" x14ac:dyDescent="0.2">
      <c r="A54" s="6">
        <v>340</v>
      </c>
      <c r="B54" s="22" t="s">
        <v>21</v>
      </c>
      <c r="C54">
        <f>(B12 *  B6 /B2)</f>
        <v>0.124712</v>
      </c>
    </row>
    <row r="55" spans="1:3" x14ac:dyDescent="0.2">
      <c r="A55" s="6">
        <v>342</v>
      </c>
      <c r="B55" s="22" t="s">
        <v>26</v>
      </c>
      <c r="C55">
        <f>(B12 *  B6 /B2)</f>
        <v>0.124712</v>
      </c>
    </row>
    <row r="56" spans="1:3" x14ac:dyDescent="0.2">
      <c r="A56" s="6">
        <v>343</v>
      </c>
      <c r="B56" s="22" t="s">
        <v>26</v>
      </c>
      <c r="C56">
        <f>(B12 *  B6 /B2)</f>
        <v>0.124712</v>
      </c>
    </row>
    <row r="57" spans="1:3" x14ac:dyDescent="0.2">
      <c r="A57" s="6">
        <v>345</v>
      </c>
      <c r="B57" s="22" t="s">
        <v>26</v>
      </c>
      <c r="C57">
        <f>(B12 *  B6 /B2)</f>
        <v>0.124712</v>
      </c>
    </row>
    <row r="58" spans="1:3" x14ac:dyDescent="0.2">
      <c r="A58" s="6">
        <v>346</v>
      </c>
      <c r="B58" s="22" t="s">
        <v>33</v>
      </c>
      <c r="C58">
        <f>(B12 *  B6 /B2)</f>
        <v>0.124712</v>
      </c>
    </row>
    <row r="59" spans="1:3" x14ac:dyDescent="0.2">
      <c r="B59" s="22" t="s">
        <v>77</v>
      </c>
      <c r="C59">
        <f>SUM(C45:C58)</f>
        <v>185.20596241666652</v>
      </c>
    </row>
    <row r="62" spans="1:3" x14ac:dyDescent="0.2">
      <c r="A62" s="5" t="s">
        <v>31</v>
      </c>
    </row>
    <row r="63" spans="1:3" x14ac:dyDescent="0.2">
      <c r="A63" s="5" t="s">
        <v>72</v>
      </c>
      <c r="B63" s="5" t="s">
        <v>19</v>
      </c>
      <c r="C63" s="5" t="s">
        <v>73</v>
      </c>
    </row>
    <row r="64" spans="1:3" x14ac:dyDescent="0.2">
      <c r="A64" s="6">
        <v>505</v>
      </c>
      <c r="B64" t="s">
        <v>32</v>
      </c>
      <c r="C64">
        <f>B12*B14/B2</f>
        <v>1.5589E-2</v>
      </c>
    </row>
    <row r="65" spans="1:3" x14ac:dyDescent="0.2">
      <c r="A65" s="6">
        <v>506</v>
      </c>
      <c r="B65" t="s">
        <v>26</v>
      </c>
      <c r="C65">
        <f>B13*B5/B2</f>
        <v>0.10728</v>
      </c>
    </row>
    <row r="66" spans="1:3" x14ac:dyDescent="0.2">
      <c r="A66" s="6">
        <v>507</v>
      </c>
      <c r="B66" s="22" t="s">
        <v>24</v>
      </c>
      <c r="C66">
        <f>B13*B5/B2</f>
        <v>0.10728</v>
      </c>
    </row>
    <row r="67" spans="1:3" x14ac:dyDescent="0.2">
      <c r="A67" s="6">
        <v>508</v>
      </c>
      <c r="B67" s="22" t="s">
        <v>33</v>
      </c>
      <c r="C67">
        <f>B13*B5/B2</f>
        <v>0.10728</v>
      </c>
    </row>
    <row r="68" spans="1:3" x14ac:dyDescent="0.2">
      <c r="A68" s="6">
        <v>509</v>
      </c>
      <c r="B68" s="22" t="s">
        <v>34</v>
      </c>
      <c r="C68">
        <f>B13*B4/B2</f>
        <v>0.10728</v>
      </c>
    </row>
    <row r="69" spans="1:3" x14ac:dyDescent="0.2">
      <c r="A69" s="6">
        <v>510</v>
      </c>
      <c r="B69" s="22" t="s">
        <v>21</v>
      </c>
      <c r="C69">
        <f>B13*B6/B2</f>
        <v>0.10728</v>
      </c>
    </row>
    <row r="70" spans="1:3" x14ac:dyDescent="0.2">
      <c r="A70" s="6">
        <v>511</v>
      </c>
      <c r="B70" s="22" t="s">
        <v>35</v>
      </c>
      <c r="C70">
        <f>B13*B4/B2</f>
        <v>0.10728</v>
      </c>
    </row>
    <row r="71" spans="1:3" x14ac:dyDescent="0.2">
      <c r="A71" s="6">
        <v>513</v>
      </c>
      <c r="B71" s="22" t="s">
        <v>36</v>
      </c>
      <c r="C71">
        <f>B13*B14*B6/B2</f>
        <v>0.10728</v>
      </c>
    </row>
    <row r="72" spans="1:3" x14ac:dyDescent="0.2">
      <c r="A72" s="6">
        <v>516</v>
      </c>
      <c r="B72" s="22" t="s">
        <v>80</v>
      </c>
      <c r="C72">
        <f>112/B2</f>
        <v>1.12E-4</v>
      </c>
    </row>
    <row r="73" spans="1:3" x14ac:dyDescent="0.2">
      <c r="A73" s="6">
        <v>518</v>
      </c>
      <c r="B73" s="22" t="s">
        <v>37</v>
      </c>
      <c r="C73">
        <f>B13*B15*B6/B2</f>
        <v>0.64368000000000003</v>
      </c>
    </row>
    <row r="74" spans="1:3" x14ac:dyDescent="0.2">
      <c r="B74" s="22" t="s">
        <v>77</v>
      </c>
      <c r="C74">
        <f>SUM(C64:C73)</f>
        <v>1.4103410000000001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zoomScale="96" zoomScaleNormal="96" zoomScalePageLayoutView="96" workbookViewId="0">
      <selection activeCell="F11" sqref="F11"/>
    </sheetView>
  </sheetViews>
  <sheetFormatPr baseColWidth="10" defaultRowHeight="16" x14ac:dyDescent="0.2"/>
  <cols>
    <col min="1" max="1" width="30.33203125" style="1" customWidth="1"/>
    <col min="2" max="2" width="24.83203125" bestFit="1" customWidth="1"/>
    <col min="3" max="3" width="9.5" style="14" customWidth="1"/>
    <col min="4" max="4" width="9.6640625" style="6" customWidth="1"/>
    <col min="5" max="5" width="10.83203125" style="12" customWidth="1"/>
    <col min="6" max="6" width="22.6640625" customWidth="1"/>
  </cols>
  <sheetData>
    <row r="1" spans="1:3" x14ac:dyDescent="0.2">
      <c r="A1" s="1" t="s">
        <v>57</v>
      </c>
      <c r="B1" s="11" t="s">
        <v>56</v>
      </c>
    </row>
    <row r="2" spans="1:3" x14ac:dyDescent="0.2">
      <c r="A2" s="2" t="s">
        <v>60</v>
      </c>
      <c r="B2" s="5" t="s">
        <v>20</v>
      </c>
      <c r="C2" s="15" t="s">
        <v>50</v>
      </c>
    </row>
    <row r="3" spans="1:3" x14ac:dyDescent="0.2">
      <c r="A3" s="1" t="s">
        <v>7</v>
      </c>
      <c r="B3">
        <f>1000000</f>
        <v>1000000</v>
      </c>
      <c r="C3" s="14" t="s">
        <v>53</v>
      </c>
    </row>
    <row r="4" spans="1:3" x14ac:dyDescent="0.2">
      <c r="A4" s="1" t="s">
        <v>54</v>
      </c>
      <c r="B4">
        <v>20</v>
      </c>
      <c r="C4" s="14" t="s">
        <v>51</v>
      </c>
    </row>
    <row r="5" spans="1:3" x14ac:dyDescent="0.2">
      <c r="A5" s="1" t="s">
        <v>62</v>
      </c>
      <c r="B5">
        <v>32</v>
      </c>
      <c r="C5" s="14" t="s">
        <v>51</v>
      </c>
    </row>
    <row r="6" spans="1:3" x14ac:dyDescent="0.2">
      <c r="A6" s="1" t="s">
        <v>55</v>
      </c>
      <c r="B6">
        <v>15</v>
      </c>
      <c r="C6" s="14" t="s">
        <v>51</v>
      </c>
    </row>
    <row r="7" spans="1:3" x14ac:dyDescent="0.2">
      <c r="A7" s="1" t="s">
        <v>61</v>
      </c>
      <c r="B7">
        <v>8</v>
      </c>
      <c r="C7" s="14" t="s">
        <v>53</v>
      </c>
    </row>
    <row r="8" spans="1:3" x14ac:dyDescent="0.2">
      <c r="A8" s="1" t="s">
        <v>48</v>
      </c>
      <c r="B8">
        <v>4</v>
      </c>
      <c r="C8" s="14" t="s">
        <v>53</v>
      </c>
    </row>
    <row r="9" spans="1:3" x14ac:dyDescent="0.2">
      <c r="A9" s="1" t="s">
        <v>17</v>
      </c>
      <c r="B9">
        <v>24</v>
      </c>
      <c r="C9" s="14" t="s">
        <v>52</v>
      </c>
    </row>
    <row r="10" spans="1:3" x14ac:dyDescent="0.2">
      <c r="A10" s="1" t="s">
        <v>1</v>
      </c>
      <c r="B10">
        <v>491</v>
      </c>
      <c r="C10" s="14" t="s">
        <v>52</v>
      </c>
    </row>
    <row r="11" spans="1:3" x14ac:dyDescent="0.2">
      <c r="A11" s="1" t="s">
        <v>5</v>
      </c>
      <c r="B11">
        <v>18874</v>
      </c>
      <c r="C11" s="14" t="s">
        <v>52</v>
      </c>
    </row>
    <row r="12" spans="1:3" x14ac:dyDescent="0.2">
      <c r="A12" s="1" t="s">
        <v>4</v>
      </c>
      <c r="B12">
        <v>2961786</v>
      </c>
      <c r="C12" s="14" t="s">
        <v>52</v>
      </c>
    </row>
    <row r="13" spans="1:3" x14ac:dyDescent="0.2">
      <c r="A13" s="1" t="s">
        <v>6</v>
      </c>
      <c r="B13">
        <v>15589</v>
      </c>
      <c r="C13" s="14" t="s">
        <v>52</v>
      </c>
    </row>
    <row r="14" spans="1:3" x14ac:dyDescent="0.2">
      <c r="A14" s="1" t="s">
        <v>43</v>
      </c>
      <c r="B14">
        <v>1</v>
      </c>
      <c r="C14" s="14" t="s">
        <v>58</v>
      </c>
    </row>
    <row r="15" spans="1:3" x14ac:dyDescent="0.2">
      <c r="A15" s="1" t="s">
        <v>44</v>
      </c>
      <c r="B15" s="8">
        <f>SUM(B14*(E68+E81)+(E36+C39))</f>
        <v>1754.7107596344081</v>
      </c>
      <c r="C15" s="14" t="s">
        <v>59</v>
      </c>
    </row>
    <row r="17" spans="1:5" x14ac:dyDescent="0.2">
      <c r="A17" s="2" t="s">
        <v>39</v>
      </c>
      <c r="B17" s="3" t="s">
        <v>19</v>
      </c>
      <c r="C17" s="15" t="s">
        <v>59</v>
      </c>
      <c r="D17" s="6" t="s">
        <v>47</v>
      </c>
      <c r="E17" s="12" t="s">
        <v>59</v>
      </c>
    </row>
    <row r="18" spans="1:5" x14ac:dyDescent="0.2">
      <c r="A18" s="1">
        <v>363</v>
      </c>
      <c r="B18" s="4" t="s">
        <v>3</v>
      </c>
      <c r="C18" s="14">
        <f>(B12*B6*2 +B12*B8)/B3</f>
        <v>100.70072399999999</v>
      </c>
      <c r="D18" s="6">
        <v>1</v>
      </c>
      <c r="E18" s="12">
        <f t="shared" ref="E18:E35" si="0">C18*D18</f>
        <v>100.70072399999999</v>
      </c>
    </row>
    <row r="19" spans="1:5" x14ac:dyDescent="0.2">
      <c r="A19" s="1">
        <v>364</v>
      </c>
      <c r="B19" s="4" t="s">
        <v>8</v>
      </c>
      <c r="C19" s="14">
        <f>B13*B6/B3</f>
        <v>0.23383499999999999</v>
      </c>
      <c r="D19" s="6">
        <v>1</v>
      </c>
      <c r="E19" s="12">
        <f t="shared" si="0"/>
        <v>0.23383499999999999</v>
      </c>
    </row>
    <row r="20" spans="1:5" x14ac:dyDescent="0.2">
      <c r="A20" s="1">
        <v>364</v>
      </c>
      <c r="B20" s="4" t="s">
        <v>9</v>
      </c>
      <c r="C20" s="14">
        <f>B13*B6/B3</f>
        <v>0.23383499999999999</v>
      </c>
      <c r="D20" s="6">
        <v>1</v>
      </c>
      <c r="E20" s="12">
        <f t="shared" si="0"/>
        <v>0.23383499999999999</v>
      </c>
    </row>
    <row r="21" spans="1:5" x14ac:dyDescent="0.2">
      <c r="A21" s="1">
        <v>365</v>
      </c>
      <c r="B21" s="4" t="s">
        <v>10</v>
      </c>
      <c r="C21" s="14">
        <f>B13*B6/B3</f>
        <v>0.23383499999999999</v>
      </c>
      <c r="D21" s="6">
        <v>1</v>
      </c>
      <c r="E21" s="12">
        <f t="shared" si="0"/>
        <v>0.23383499999999999</v>
      </c>
    </row>
    <row r="22" spans="1:5" x14ac:dyDescent="0.2">
      <c r="A22" s="1">
        <v>369</v>
      </c>
      <c r="B22" s="4" t="s">
        <v>38</v>
      </c>
      <c r="C22" s="14">
        <f>(B13*B6+B13*B8)/B3</f>
        <v>0.29619099999999998</v>
      </c>
      <c r="D22" s="6">
        <v>1</v>
      </c>
      <c r="E22" s="12">
        <f t="shared" si="0"/>
        <v>0.29619099999999998</v>
      </c>
    </row>
    <row r="23" spans="1:5" x14ac:dyDescent="0.2">
      <c r="A23" s="1">
        <v>371</v>
      </c>
      <c r="B23" s="4" t="s">
        <v>3</v>
      </c>
      <c r="C23" s="14">
        <f>C18</f>
        <v>100.70072399999999</v>
      </c>
      <c r="D23" s="6">
        <v>1</v>
      </c>
      <c r="E23" s="12">
        <f t="shared" si="0"/>
        <v>100.70072399999999</v>
      </c>
    </row>
    <row r="24" spans="1:5" x14ac:dyDescent="0.2">
      <c r="A24" s="1">
        <v>372</v>
      </c>
      <c r="B24" s="4" t="s">
        <v>3</v>
      </c>
      <c r="C24" s="14">
        <f>C18</f>
        <v>100.70072399999999</v>
      </c>
      <c r="D24" s="6">
        <v>1</v>
      </c>
      <c r="E24" s="12">
        <f t="shared" si="0"/>
        <v>100.70072399999999</v>
      </c>
    </row>
    <row r="25" spans="1:5" x14ac:dyDescent="0.2">
      <c r="A25" s="1">
        <v>374</v>
      </c>
      <c r="B25" s="4" t="s">
        <v>3</v>
      </c>
      <c r="C25" s="14">
        <f>C18*2</f>
        <v>201.40144799999999</v>
      </c>
      <c r="D25" s="6">
        <v>1</v>
      </c>
      <c r="E25" s="12">
        <f t="shared" si="0"/>
        <v>201.40144799999999</v>
      </c>
    </row>
    <row r="26" spans="1:5" x14ac:dyDescent="0.2">
      <c r="A26" s="1">
        <v>374</v>
      </c>
      <c r="B26" s="4" t="s">
        <v>11</v>
      </c>
      <c r="C26" s="14">
        <f>2*(B12*B8+B12*B7)/B3</f>
        <v>71.082864000000001</v>
      </c>
      <c r="D26" s="6">
        <v>1</v>
      </c>
      <c r="E26" s="12">
        <f t="shared" si="0"/>
        <v>71.082864000000001</v>
      </c>
    </row>
    <row r="27" spans="1:5" x14ac:dyDescent="0.2">
      <c r="A27" s="1">
        <v>378</v>
      </c>
      <c r="B27" s="4" t="s">
        <v>12</v>
      </c>
      <c r="C27" s="14">
        <f>C26</f>
        <v>71.082864000000001</v>
      </c>
      <c r="D27" s="6">
        <v>1</v>
      </c>
      <c r="E27" s="12">
        <f t="shared" si="0"/>
        <v>71.082864000000001</v>
      </c>
    </row>
    <row r="28" spans="1:5" x14ac:dyDescent="0.2">
      <c r="A28" s="1">
        <v>359</v>
      </c>
      <c r="B28" s="4" t="s">
        <v>0</v>
      </c>
      <c r="C28" s="14">
        <f>(B10*B5+B9*B4+B10*B9*B7)/B3</f>
        <v>0.11046400000000001</v>
      </c>
      <c r="D28" s="6">
        <v>1</v>
      </c>
      <c r="E28" s="12">
        <f>C28*D28</f>
        <v>0.11046400000000001</v>
      </c>
    </row>
    <row r="29" spans="1:5" x14ac:dyDescent="0.2">
      <c r="A29" s="1">
        <v>360</v>
      </c>
      <c r="B29" s="4" t="s">
        <v>2</v>
      </c>
      <c r="C29" s="14">
        <f>(B11*B6+B10*B5+B11*B10*B7)/B3</f>
        <v>74.435894000000005</v>
      </c>
      <c r="D29" s="6">
        <v>1</v>
      </c>
      <c r="E29" s="12">
        <f>C29*D29</f>
        <v>74.435894000000005</v>
      </c>
    </row>
    <row r="30" spans="1:5" x14ac:dyDescent="0.2">
      <c r="A30" s="1">
        <v>361</v>
      </c>
      <c r="B30" s="4" t="s">
        <v>18</v>
      </c>
      <c r="C30" s="14">
        <f>(B11*B6*B8)/B3</f>
        <v>1.1324399999999999</v>
      </c>
      <c r="D30" s="6">
        <v>1</v>
      </c>
      <c r="E30" s="12">
        <f>C30*D30</f>
        <v>1.1324399999999999</v>
      </c>
    </row>
    <row r="31" spans="1:5" x14ac:dyDescent="0.2">
      <c r="A31" s="1">
        <v>380</v>
      </c>
      <c r="B31" s="4" t="s">
        <v>2</v>
      </c>
      <c r="C31" s="14">
        <f>(B13*B6+B10*B5+B13*B10*B7)/B3</f>
        <v>61.483139000000001</v>
      </c>
      <c r="D31" s="6">
        <v>2</v>
      </c>
      <c r="E31" s="12">
        <f t="shared" si="0"/>
        <v>122.966278</v>
      </c>
    </row>
    <row r="32" spans="1:5" x14ac:dyDescent="0.2">
      <c r="A32" s="1">
        <v>382</v>
      </c>
      <c r="B32" s="4" t="s">
        <v>13</v>
      </c>
      <c r="C32" s="14">
        <f>(B13 * B7 /B3)</f>
        <v>0.124712</v>
      </c>
      <c r="D32" s="6">
        <v>3</v>
      </c>
      <c r="E32" s="12">
        <f t="shared" si="0"/>
        <v>0.37413600000000002</v>
      </c>
    </row>
    <row r="33" spans="1:5" x14ac:dyDescent="0.2">
      <c r="A33" s="1">
        <v>387</v>
      </c>
      <c r="B33" s="4" t="s">
        <v>16</v>
      </c>
      <c r="C33" s="14">
        <f>((B13*B6+B9*B4)+(B13+B9)*B10*B7)/B3</f>
        <v>61.562179</v>
      </c>
      <c r="D33" s="6">
        <v>2</v>
      </c>
      <c r="E33" s="12">
        <f t="shared" si="0"/>
        <v>123.124358</v>
      </c>
    </row>
    <row r="34" spans="1:5" x14ac:dyDescent="0.2">
      <c r="A34" s="1">
        <v>387</v>
      </c>
      <c r="B34" s="4" t="s">
        <v>14</v>
      </c>
      <c r="C34" s="14">
        <f>B13*B6*B8/B3</f>
        <v>0.93533999999999995</v>
      </c>
      <c r="D34" s="6">
        <v>1</v>
      </c>
      <c r="E34" s="12">
        <f t="shared" si="0"/>
        <v>0.93533999999999995</v>
      </c>
    </row>
    <row r="35" spans="1:5" x14ac:dyDescent="0.2">
      <c r="A35" s="1">
        <v>387</v>
      </c>
      <c r="B35" s="4" t="s">
        <v>15</v>
      </c>
      <c r="C35" s="14">
        <f>B9*B4*B8/B3</f>
        <v>1.92E-3</v>
      </c>
      <c r="D35" s="6">
        <v>1</v>
      </c>
      <c r="E35" s="12">
        <f t="shared" si="0"/>
        <v>1.92E-3</v>
      </c>
    </row>
    <row r="36" spans="1:5" x14ac:dyDescent="0.2">
      <c r="A36" s="1" t="s">
        <v>45</v>
      </c>
      <c r="B36" s="4"/>
      <c r="E36" s="12">
        <f>SUM(E18:E35)</f>
        <v>969.74787399999991</v>
      </c>
    </row>
    <row r="37" spans="1:5" ht="17" customHeight="1" x14ac:dyDescent="0.2">
      <c r="B37" s="4"/>
    </row>
    <row r="38" spans="1:5" x14ac:dyDescent="0.2">
      <c r="A38" s="2" t="s">
        <v>30</v>
      </c>
      <c r="B38" s="4"/>
    </row>
    <row r="39" spans="1:5" x14ac:dyDescent="0.2">
      <c r="A39" s="2" t="s">
        <v>40</v>
      </c>
      <c r="B39" s="4" t="s">
        <v>41</v>
      </c>
      <c r="C39" s="14">
        <f>C33+C34+C35+C32+C30+C27</f>
        <v>134.83945499999999</v>
      </c>
      <c r="D39" s="6">
        <v>1</v>
      </c>
      <c r="E39" s="12">
        <f>C39*D39</f>
        <v>134.83945499999999</v>
      </c>
    </row>
    <row r="40" spans="1:5" x14ac:dyDescent="0.2">
      <c r="A40" s="7" t="s">
        <v>49</v>
      </c>
      <c r="B40" s="4" t="s">
        <v>16</v>
      </c>
      <c r="C40" s="14">
        <f>C33</f>
        <v>61.562179</v>
      </c>
      <c r="D40" s="6">
        <v>1</v>
      </c>
      <c r="E40" s="12">
        <f t="shared" ref="E40:E41" si="1">C40*D40</f>
        <v>61.562179</v>
      </c>
    </row>
    <row r="41" spans="1:5" x14ac:dyDescent="0.2">
      <c r="A41" s="7" t="s">
        <v>49</v>
      </c>
      <c r="B41" s="4" t="s">
        <v>12</v>
      </c>
      <c r="C41" s="14">
        <f>C27</f>
        <v>71.082864000000001</v>
      </c>
      <c r="D41" s="6">
        <v>2</v>
      </c>
      <c r="E41" s="12">
        <f t="shared" si="1"/>
        <v>142.165728</v>
      </c>
    </row>
    <row r="42" spans="1:5" x14ac:dyDescent="0.2">
      <c r="A42" s="1">
        <v>453</v>
      </c>
      <c r="B42" s="4" t="s">
        <v>21</v>
      </c>
      <c r="C42" s="14">
        <f>(B13 *  B7 /B3)</f>
        <v>0.124712</v>
      </c>
      <c r="D42" s="6">
        <v>1</v>
      </c>
      <c r="E42" s="12">
        <f t="shared" ref="E42:E67" si="2">C42*D42</f>
        <v>0.124712</v>
      </c>
    </row>
    <row r="43" spans="1:5" x14ac:dyDescent="0.2">
      <c r="A43" s="1">
        <v>454</v>
      </c>
      <c r="B43" s="4" t="s">
        <v>22</v>
      </c>
      <c r="C43" s="14">
        <f>(B13 *  B7 /B3)</f>
        <v>0.124712</v>
      </c>
      <c r="D43" s="6">
        <v>1</v>
      </c>
      <c r="E43" s="12">
        <f t="shared" si="2"/>
        <v>0.124712</v>
      </c>
    </row>
    <row r="44" spans="1:5" x14ac:dyDescent="0.2">
      <c r="A44" s="1">
        <v>455</v>
      </c>
      <c r="B44" s="4" t="s">
        <v>23</v>
      </c>
      <c r="C44" s="14">
        <f>(B13 *  B7 /B3)</f>
        <v>0.124712</v>
      </c>
      <c r="D44" s="6">
        <v>1</v>
      </c>
      <c r="E44" s="12">
        <f t="shared" si="2"/>
        <v>0.124712</v>
      </c>
    </row>
    <row r="45" spans="1:5" x14ac:dyDescent="0.2">
      <c r="A45" s="1">
        <v>457</v>
      </c>
      <c r="B45" s="4" t="s">
        <v>0</v>
      </c>
      <c r="C45" s="14">
        <f>(B10 *  B7 +B9*B4+B10*B6)/B3</f>
        <v>1.1773E-2</v>
      </c>
      <c r="D45" s="6">
        <v>1</v>
      </c>
      <c r="E45" s="12">
        <f t="shared" si="2"/>
        <v>1.1773E-2</v>
      </c>
    </row>
    <row r="46" spans="1:5" x14ac:dyDescent="0.2">
      <c r="A46" s="1">
        <v>457</v>
      </c>
      <c r="B46" s="4" t="s">
        <v>2</v>
      </c>
      <c r="C46" s="14">
        <f>+C31</f>
        <v>61.483139000000001</v>
      </c>
      <c r="D46" s="6">
        <v>1</v>
      </c>
      <c r="E46" s="12">
        <f t="shared" si="2"/>
        <v>61.483139000000001</v>
      </c>
    </row>
    <row r="47" spans="1:5" x14ac:dyDescent="0.2">
      <c r="A47" s="1">
        <v>459</v>
      </c>
      <c r="B47" s="9" t="s">
        <v>2</v>
      </c>
      <c r="C47" s="16">
        <f>C46</f>
        <v>61.483139000000001</v>
      </c>
      <c r="D47" s="10">
        <v>0</v>
      </c>
      <c r="E47" s="13">
        <f t="shared" si="2"/>
        <v>0</v>
      </c>
    </row>
    <row r="48" spans="1:5" x14ac:dyDescent="0.2">
      <c r="A48" s="1">
        <v>461</v>
      </c>
      <c r="B48" s="4" t="s">
        <v>27</v>
      </c>
      <c r="C48" s="14">
        <f>(B13*B10*B7)/B3</f>
        <v>61.233592000000002</v>
      </c>
      <c r="D48" s="6">
        <v>1</v>
      </c>
      <c r="E48" s="12">
        <f t="shared" si="2"/>
        <v>61.233592000000002</v>
      </c>
    </row>
    <row r="49" spans="1:5" x14ac:dyDescent="0.2">
      <c r="A49" s="1">
        <v>463</v>
      </c>
      <c r="B49" s="4" t="s">
        <v>24</v>
      </c>
      <c r="C49" s="14">
        <f>(B13* B7/B3)</f>
        <v>0.124712</v>
      </c>
      <c r="D49" s="6">
        <v>1</v>
      </c>
      <c r="E49" s="12">
        <f t="shared" si="2"/>
        <v>0.124712</v>
      </c>
    </row>
    <row r="50" spans="1:5" x14ac:dyDescent="0.2">
      <c r="A50" s="1" t="s">
        <v>63</v>
      </c>
      <c r="B50" s="4" t="s">
        <v>29</v>
      </c>
      <c r="C50" s="14">
        <f>C48</f>
        <v>61.233592000000002</v>
      </c>
      <c r="D50" s="6">
        <v>3</v>
      </c>
      <c r="E50" s="12">
        <f t="shared" si="2"/>
        <v>183.70077600000002</v>
      </c>
    </row>
    <row r="51" spans="1:5" x14ac:dyDescent="0.2">
      <c r="A51" s="1">
        <v>466</v>
      </c>
      <c r="B51" s="4" t="s">
        <v>28</v>
      </c>
      <c r="C51" s="14">
        <f>B10*B7/B3</f>
        <v>3.9280000000000001E-3</v>
      </c>
      <c r="D51" s="6">
        <v>1</v>
      </c>
      <c r="E51" s="12">
        <f t="shared" si="2"/>
        <v>3.9280000000000001E-3</v>
      </c>
    </row>
    <row r="52" spans="1:5" x14ac:dyDescent="0.2">
      <c r="A52" s="1">
        <v>470</v>
      </c>
      <c r="B52" s="4" t="s">
        <v>25</v>
      </c>
      <c r="C52" s="14">
        <f>B10 * B7/B3</f>
        <v>3.9280000000000001E-3</v>
      </c>
      <c r="D52" s="6">
        <v>1</v>
      </c>
      <c r="E52" s="12">
        <f t="shared" si="2"/>
        <v>3.9280000000000001E-3</v>
      </c>
    </row>
    <row r="53" spans="1:5" x14ac:dyDescent="0.2">
      <c r="A53" s="1">
        <v>471</v>
      </c>
      <c r="B53" s="9" t="s">
        <v>25</v>
      </c>
      <c r="C53" s="16">
        <f>B10*B7/B3</f>
        <v>3.9280000000000001E-3</v>
      </c>
      <c r="D53" s="10">
        <v>0</v>
      </c>
      <c r="E53" s="13">
        <f t="shared" si="2"/>
        <v>0</v>
      </c>
    </row>
    <row r="54" spans="1:5" x14ac:dyDescent="0.2">
      <c r="A54" s="1">
        <v>472</v>
      </c>
      <c r="B54" s="4" t="s">
        <v>26</v>
      </c>
      <c r="C54" s="14">
        <f>(B13 *  B7 /B3)</f>
        <v>0.124712</v>
      </c>
      <c r="D54" s="6">
        <v>1</v>
      </c>
      <c r="E54" s="12">
        <f t="shared" si="2"/>
        <v>0.124712</v>
      </c>
    </row>
    <row r="55" spans="1:5" x14ac:dyDescent="0.2">
      <c r="A55" s="1">
        <v>473</v>
      </c>
      <c r="B55" s="4" t="s">
        <v>26</v>
      </c>
      <c r="C55" s="14">
        <f>(B13 *  B7 /B3)</f>
        <v>0.124712</v>
      </c>
      <c r="D55" s="6">
        <v>1</v>
      </c>
      <c r="E55" s="12">
        <f t="shared" si="2"/>
        <v>0.124712</v>
      </c>
    </row>
    <row r="56" spans="1:5" x14ac:dyDescent="0.2">
      <c r="A56" s="1">
        <v>475</v>
      </c>
      <c r="B56" s="4" t="s">
        <v>26</v>
      </c>
      <c r="C56" s="14">
        <f>(B13 *  B7 /B3)</f>
        <v>0.124712</v>
      </c>
      <c r="D56" s="6">
        <v>1</v>
      </c>
      <c r="E56" s="12">
        <f t="shared" si="2"/>
        <v>0.124712</v>
      </c>
    </row>
    <row r="57" spans="1:5" x14ac:dyDescent="0.2">
      <c r="A57" s="1">
        <v>475</v>
      </c>
      <c r="B57" s="4" t="s">
        <v>21</v>
      </c>
      <c r="C57" s="14">
        <f>(B13 *  B7 /B3)</f>
        <v>0.124712</v>
      </c>
      <c r="D57" s="6">
        <v>1</v>
      </c>
      <c r="E57" s="12">
        <f t="shared" si="2"/>
        <v>0.124712</v>
      </c>
    </row>
    <row r="58" spans="1:5" x14ac:dyDescent="0.2">
      <c r="A58" s="1">
        <v>477</v>
      </c>
      <c r="B58" s="9" t="s">
        <v>26</v>
      </c>
      <c r="C58" s="16">
        <f>(B13 *  B7 /B3)</f>
        <v>0.124712</v>
      </c>
      <c r="D58" s="10">
        <v>0</v>
      </c>
      <c r="E58" s="13">
        <f t="shared" si="2"/>
        <v>0</v>
      </c>
    </row>
    <row r="59" spans="1:5" x14ac:dyDescent="0.2">
      <c r="A59" s="1">
        <v>478</v>
      </c>
      <c r="B59" s="9" t="s">
        <v>26</v>
      </c>
      <c r="C59" s="16">
        <f>(B13 *  B7 /B3)</f>
        <v>0.124712</v>
      </c>
      <c r="D59" s="10">
        <v>0</v>
      </c>
      <c r="E59" s="13">
        <f t="shared" si="2"/>
        <v>0</v>
      </c>
    </row>
    <row r="60" spans="1:5" x14ac:dyDescent="0.2">
      <c r="A60" s="1">
        <v>479</v>
      </c>
      <c r="B60" s="9" t="s">
        <v>26</v>
      </c>
      <c r="C60" s="16">
        <f>(B13 *  B7 /B3)</f>
        <v>0.124712</v>
      </c>
      <c r="D60" s="10">
        <v>0</v>
      </c>
      <c r="E60" s="13">
        <f t="shared" si="2"/>
        <v>0</v>
      </c>
    </row>
    <row r="61" spans="1:5" x14ac:dyDescent="0.2">
      <c r="A61" s="1">
        <v>481</v>
      </c>
      <c r="B61" s="4" t="s">
        <v>23</v>
      </c>
      <c r="C61" s="14">
        <f>(B13 *  B7 /B3)</f>
        <v>0.124712</v>
      </c>
      <c r="D61" s="6">
        <v>1</v>
      </c>
      <c r="E61" s="12">
        <f t="shared" si="2"/>
        <v>0.124712</v>
      </c>
    </row>
    <row r="62" spans="1:5" x14ac:dyDescent="0.2">
      <c r="A62" s="1" t="s">
        <v>64</v>
      </c>
      <c r="B62" s="9" t="s">
        <v>22</v>
      </c>
      <c r="C62" s="16">
        <f>(B13 *  B7 /B3)</f>
        <v>0.124712</v>
      </c>
      <c r="D62" s="10">
        <v>0</v>
      </c>
      <c r="E62" s="13">
        <f t="shared" si="2"/>
        <v>0</v>
      </c>
    </row>
    <row r="63" spans="1:5" x14ac:dyDescent="0.2">
      <c r="A63" s="1">
        <v>484</v>
      </c>
      <c r="B63" s="9" t="s">
        <v>21</v>
      </c>
      <c r="C63" s="16">
        <f>(B13 *  B7 /B3)</f>
        <v>0.124712</v>
      </c>
      <c r="D63" s="10">
        <v>0</v>
      </c>
      <c r="E63" s="13">
        <f t="shared" si="2"/>
        <v>0</v>
      </c>
    </row>
    <row r="64" spans="1:5" x14ac:dyDescent="0.2">
      <c r="A64" s="1">
        <v>486</v>
      </c>
      <c r="B64" s="4" t="s">
        <v>23</v>
      </c>
      <c r="C64" s="14">
        <f>(B13 *  B7 /B3)</f>
        <v>0.124712</v>
      </c>
      <c r="D64" s="6">
        <v>1</v>
      </c>
      <c r="E64" s="12">
        <f t="shared" si="2"/>
        <v>0.124712</v>
      </c>
    </row>
    <row r="65" spans="1:5" ht="18" customHeight="1" x14ac:dyDescent="0.2">
      <c r="A65" s="1">
        <v>487</v>
      </c>
      <c r="B65" s="9" t="s">
        <v>22</v>
      </c>
      <c r="C65" s="16">
        <f>(B13 *  B7 /B3)</f>
        <v>0.124712</v>
      </c>
      <c r="D65" s="10">
        <v>0</v>
      </c>
      <c r="E65" s="13">
        <f t="shared" si="2"/>
        <v>0</v>
      </c>
    </row>
    <row r="66" spans="1:5" x14ac:dyDescent="0.2">
      <c r="A66" s="1">
        <v>488</v>
      </c>
      <c r="B66" s="4" t="s">
        <v>22</v>
      </c>
      <c r="C66" s="14">
        <f>(B13 *  B7 /B3)</f>
        <v>0.124712</v>
      </c>
      <c r="D66" s="6">
        <v>1</v>
      </c>
      <c r="E66" s="12">
        <f t="shared" si="2"/>
        <v>0.124712</v>
      </c>
    </row>
    <row r="67" spans="1:5" x14ac:dyDescent="0.2">
      <c r="A67" s="1">
        <v>489</v>
      </c>
      <c r="B67" s="4" t="s">
        <v>22</v>
      </c>
      <c r="C67" s="14">
        <f>(B13 *  B7 /B3)</f>
        <v>0.124712</v>
      </c>
      <c r="D67" s="6">
        <v>1</v>
      </c>
      <c r="E67" s="12">
        <f t="shared" si="2"/>
        <v>0.124712</v>
      </c>
    </row>
    <row r="68" spans="1:5" ht="15" customHeight="1" x14ac:dyDescent="0.2">
      <c r="A68" s="1" t="s">
        <v>30</v>
      </c>
      <c r="B68" s="4"/>
      <c r="E68" s="12">
        <f>SUM(E39:E66)</f>
        <v>646.37633000000028</v>
      </c>
    </row>
    <row r="69" spans="1:5" ht="13" customHeight="1" x14ac:dyDescent="0.2">
      <c r="B69" s="4"/>
    </row>
    <row r="70" spans="1:5" x14ac:dyDescent="0.2">
      <c r="A70" s="2" t="s">
        <v>31</v>
      </c>
    </row>
    <row r="71" spans="1:5" x14ac:dyDescent="0.2">
      <c r="A71" s="2" t="s">
        <v>42</v>
      </c>
      <c r="C71" s="14">
        <f>(C30+C34+C57+C60+C61+C62)/B3</f>
        <v>2.5666280000000005E-6</v>
      </c>
      <c r="D71" s="6">
        <v>1</v>
      </c>
      <c r="E71" s="12">
        <f>C71*D71</f>
        <v>2.5666280000000005E-6</v>
      </c>
    </row>
    <row r="72" spans="1:5" x14ac:dyDescent="0.2">
      <c r="A72" s="1">
        <v>505</v>
      </c>
      <c r="B72" s="4" t="s">
        <v>32</v>
      </c>
      <c r="C72" s="14">
        <f>(C34+C30)/B3</f>
        <v>2.0677799999999998E-6</v>
      </c>
      <c r="D72" s="6">
        <v>1</v>
      </c>
      <c r="E72" s="12">
        <f t="shared" ref="E72:E80" si="3">C72*D72</f>
        <v>2.0677799999999998E-6</v>
      </c>
    </row>
    <row r="73" spans="1:5" x14ac:dyDescent="0.2">
      <c r="A73" s="1">
        <v>506</v>
      </c>
      <c r="B73" s="4" t="s">
        <v>26</v>
      </c>
      <c r="C73" s="14">
        <f>(B13 *  B7 /B3)</f>
        <v>0.124712</v>
      </c>
      <c r="D73" s="6">
        <v>1</v>
      </c>
      <c r="E73" s="12">
        <f t="shared" si="3"/>
        <v>0.124712</v>
      </c>
    </row>
    <row r="74" spans="1:5" x14ac:dyDescent="0.2">
      <c r="A74" s="1">
        <v>507</v>
      </c>
      <c r="B74" s="4" t="s">
        <v>24</v>
      </c>
      <c r="C74" s="14">
        <f>(B13 *  B7 /B3)</f>
        <v>0.124712</v>
      </c>
      <c r="D74" s="6">
        <v>1</v>
      </c>
      <c r="E74" s="12">
        <f t="shared" si="3"/>
        <v>0.124712</v>
      </c>
    </row>
    <row r="75" spans="1:5" x14ac:dyDescent="0.2">
      <c r="A75" s="1">
        <v>508</v>
      </c>
      <c r="B75" s="4" t="s">
        <v>33</v>
      </c>
      <c r="C75" s="14">
        <f>(B13 *  B7 /B3)</f>
        <v>0.124712</v>
      </c>
      <c r="D75" s="6">
        <v>1</v>
      </c>
      <c r="E75" s="12">
        <f t="shared" si="3"/>
        <v>0.124712</v>
      </c>
    </row>
    <row r="76" spans="1:5" x14ac:dyDescent="0.2">
      <c r="A76" s="1">
        <v>509</v>
      </c>
      <c r="B76" s="4" t="s">
        <v>34</v>
      </c>
      <c r="C76" s="14">
        <f>C30</f>
        <v>1.1324399999999999</v>
      </c>
      <c r="D76" s="6">
        <v>1</v>
      </c>
      <c r="E76" s="12">
        <f t="shared" si="3"/>
        <v>1.1324399999999999</v>
      </c>
    </row>
    <row r="77" spans="1:5" x14ac:dyDescent="0.2">
      <c r="A77" s="1">
        <v>510</v>
      </c>
      <c r="B77" s="4" t="s">
        <v>21</v>
      </c>
      <c r="C77" s="14">
        <f>(B13 *  B7 /B3)</f>
        <v>0.124712</v>
      </c>
      <c r="D77" s="6">
        <v>1</v>
      </c>
      <c r="E77" s="12">
        <f t="shared" si="3"/>
        <v>0.124712</v>
      </c>
    </row>
    <row r="78" spans="1:5" x14ac:dyDescent="0.2">
      <c r="A78" s="1">
        <v>511</v>
      </c>
      <c r="B78" s="4" t="s">
        <v>35</v>
      </c>
      <c r="C78" s="14">
        <f>C35</f>
        <v>1.92E-3</v>
      </c>
      <c r="D78" s="6">
        <v>1</v>
      </c>
      <c r="E78" s="12">
        <f t="shared" si="3"/>
        <v>1.92E-3</v>
      </c>
    </row>
    <row r="79" spans="1:5" x14ac:dyDescent="0.2">
      <c r="A79" s="1">
        <v>513</v>
      </c>
      <c r="B79" s="4" t="s">
        <v>36</v>
      </c>
      <c r="C79" s="14">
        <f>7*(B11*B7)/B3</f>
        <v>1.0569440000000001</v>
      </c>
      <c r="D79" s="6">
        <v>1</v>
      </c>
      <c r="E79" s="12">
        <f t="shared" si="3"/>
        <v>1.0569440000000001</v>
      </c>
    </row>
    <row r="80" spans="1:5" x14ac:dyDescent="0.2">
      <c r="A80" s="1">
        <v>518</v>
      </c>
      <c r="B80" s="4" t="s">
        <v>37</v>
      </c>
      <c r="C80" s="14">
        <f>C79</f>
        <v>1.0569440000000001</v>
      </c>
      <c r="D80" s="6">
        <v>1</v>
      </c>
      <c r="E80" s="12">
        <f t="shared" si="3"/>
        <v>1.0569440000000001</v>
      </c>
    </row>
    <row r="81" spans="1:5" x14ac:dyDescent="0.2">
      <c r="A81" s="1" t="s">
        <v>46</v>
      </c>
      <c r="B81" s="4"/>
      <c r="E81" s="12">
        <f>SUM(E71:E80)</f>
        <v>3.747100634408</v>
      </c>
    </row>
  </sheetData>
  <hyperlinks>
    <hyperlink ref="B1" r:id="rId1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opLeftCell="A27" workbookViewId="0">
      <selection activeCell="G29" sqref="G29"/>
    </sheetView>
  </sheetViews>
  <sheetFormatPr baseColWidth="10" defaultRowHeight="16" x14ac:dyDescent="0.2"/>
  <cols>
    <col min="1" max="1" width="47" bestFit="1" customWidth="1"/>
    <col min="2" max="2" width="17.33203125" customWidth="1"/>
    <col min="3" max="3" width="10.1640625" customWidth="1"/>
  </cols>
  <sheetData>
    <row r="1" spans="1:3" x14ac:dyDescent="0.2">
      <c r="A1" s="5" t="s">
        <v>65</v>
      </c>
      <c r="B1" s="5" t="s">
        <v>20</v>
      </c>
      <c r="C1" s="5" t="s">
        <v>89</v>
      </c>
    </row>
    <row r="2" spans="1:3" x14ac:dyDescent="0.2">
      <c r="A2" s="6" t="s">
        <v>7</v>
      </c>
      <c r="B2">
        <f>1000000</f>
        <v>1000000</v>
      </c>
      <c r="C2" s="6" t="s">
        <v>66</v>
      </c>
    </row>
    <row r="3" spans="1:3" x14ac:dyDescent="0.2">
      <c r="A3" s="6" t="s">
        <v>67</v>
      </c>
      <c r="B3">
        <v>8</v>
      </c>
      <c r="C3" s="6" t="s">
        <v>66</v>
      </c>
    </row>
    <row r="4" spans="1:3" x14ac:dyDescent="0.2">
      <c r="A4" s="6" t="s">
        <v>68</v>
      </c>
      <c r="B4">
        <v>8</v>
      </c>
      <c r="C4" s="6" t="s">
        <v>66</v>
      </c>
    </row>
    <row r="5" spans="1:3" x14ac:dyDescent="0.2">
      <c r="A5" s="6" t="s">
        <v>69</v>
      </c>
      <c r="B5">
        <v>8</v>
      </c>
      <c r="C5" s="6" t="s">
        <v>66</v>
      </c>
    </row>
    <row r="6" spans="1:3" x14ac:dyDescent="0.2">
      <c r="A6" s="6" t="s">
        <v>70</v>
      </c>
      <c r="B6">
        <v>8</v>
      </c>
      <c r="C6" s="6" t="s">
        <v>66</v>
      </c>
    </row>
    <row r="7" spans="1:3" x14ac:dyDescent="0.2">
      <c r="A7" s="6" t="s">
        <v>48</v>
      </c>
      <c r="B7">
        <v>4</v>
      </c>
      <c r="C7" s="6" t="s">
        <v>66</v>
      </c>
    </row>
    <row r="8" spans="1:3" x14ac:dyDescent="0.2">
      <c r="A8" s="6" t="s">
        <v>17</v>
      </c>
      <c r="B8">
        <v>1</v>
      </c>
      <c r="C8" s="6" t="s">
        <v>71</v>
      </c>
    </row>
    <row r="9" spans="1:3" x14ac:dyDescent="0.2">
      <c r="A9" s="6" t="s">
        <v>1</v>
      </c>
      <c r="B9">
        <v>491</v>
      </c>
      <c r="C9" s="6" t="s">
        <v>71</v>
      </c>
    </row>
    <row r="10" spans="1:3" x14ac:dyDescent="0.2">
      <c r="A10" s="6" t="s">
        <v>90</v>
      </c>
      <c r="B10">
        <v>442</v>
      </c>
      <c r="C10" s="6" t="s">
        <v>71</v>
      </c>
    </row>
    <row r="11" spans="1:3" x14ac:dyDescent="0.2">
      <c r="A11" s="6" t="s">
        <v>5</v>
      </c>
      <c r="B11">
        <v>18874</v>
      </c>
      <c r="C11" s="6" t="s">
        <v>71</v>
      </c>
    </row>
    <row r="12" spans="1:3" x14ac:dyDescent="0.2">
      <c r="A12" s="6" t="s">
        <v>4</v>
      </c>
      <c r="B12">
        <v>2961786</v>
      </c>
      <c r="C12" s="6" t="s">
        <v>71</v>
      </c>
    </row>
    <row r="13" spans="1:3" x14ac:dyDescent="0.2">
      <c r="A13" s="6" t="s">
        <v>6</v>
      </c>
      <c r="B13">
        <v>15589</v>
      </c>
      <c r="C13" s="6" t="s">
        <v>71</v>
      </c>
    </row>
    <row r="14" spans="1:3" x14ac:dyDescent="0.2">
      <c r="A14" s="6" t="s">
        <v>82</v>
      </c>
      <c r="B14">
        <v>13410</v>
      </c>
      <c r="C14" s="6" t="s">
        <v>71</v>
      </c>
    </row>
    <row r="15" spans="1:3" x14ac:dyDescent="0.2">
      <c r="A15" s="6" t="s">
        <v>91</v>
      </c>
      <c r="B15">
        <v>64</v>
      </c>
      <c r="C15" s="6" t="s">
        <v>92</v>
      </c>
    </row>
    <row r="16" spans="1:3" x14ac:dyDescent="0.2">
      <c r="A16" s="6" t="s">
        <v>83</v>
      </c>
      <c r="B16">
        <v>1</v>
      </c>
      <c r="C16" s="6" t="s">
        <v>66</v>
      </c>
    </row>
    <row r="17" spans="1:3" x14ac:dyDescent="0.2">
      <c r="A17" s="6" t="s">
        <v>93</v>
      </c>
      <c r="B17">
        <v>5</v>
      </c>
      <c r="C17" s="6" t="s">
        <v>71</v>
      </c>
    </row>
    <row r="18" spans="1:3" x14ac:dyDescent="0.2">
      <c r="A18" s="6" t="s">
        <v>84</v>
      </c>
      <c r="B18">
        <v>5</v>
      </c>
      <c r="C18" s="6" t="s">
        <v>71</v>
      </c>
    </row>
    <row r="19" spans="1:3" x14ac:dyDescent="0.2">
      <c r="A19" s="6" t="s">
        <v>43</v>
      </c>
      <c r="B19">
        <v>1</v>
      </c>
      <c r="C19" s="6" t="s">
        <v>71</v>
      </c>
    </row>
    <row r="20" spans="1:3" x14ac:dyDescent="0.2">
      <c r="A20" s="6" t="s">
        <v>44</v>
      </c>
      <c r="B20" s="8">
        <f>C30+B19*(C52+C41+C62)</f>
        <v>561.30454600000007</v>
      </c>
      <c r="C20" s="6" t="s">
        <v>66</v>
      </c>
    </row>
    <row r="23" spans="1:3" x14ac:dyDescent="0.2">
      <c r="A23" s="23" t="s">
        <v>94</v>
      </c>
    </row>
    <row r="24" spans="1:3" x14ac:dyDescent="0.2">
      <c r="A24" s="5" t="s">
        <v>72</v>
      </c>
      <c r="B24" s="5" t="s">
        <v>19</v>
      </c>
      <c r="C24" s="5" t="s">
        <v>73</v>
      </c>
    </row>
    <row r="25" spans="1:3" x14ac:dyDescent="0.2">
      <c r="A25" s="6">
        <v>162</v>
      </c>
      <c r="B25" s="22" t="s">
        <v>0</v>
      </c>
      <c r="C25">
        <f>(B9*B8*B6+B9*B3+B8*B3)/B2</f>
        <v>7.8639999999999995E-3</v>
      </c>
    </row>
    <row r="26" spans="1:3" x14ac:dyDescent="0.2">
      <c r="A26" s="6">
        <v>163</v>
      </c>
      <c r="B26" s="22" t="s">
        <v>2</v>
      </c>
      <c r="C26">
        <f>(B11*B9*B6+B11*B3+B9*B3)/B2</f>
        <v>74.291991999999993</v>
      </c>
    </row>
    <row r="27" spans="1:3" x14ac:dyDescent="0.2">
      <c r="A27" s="6">
        <v>165</v>
      </c>
      <c r="B27" s="22" t="s">
        <v>14</v>
      </c>
      <c r="C27">
        <f>(B15+B11*B4)/B2</f>
        <v>0.151056</v>
      </c>
    </row>
    <row r="28" spans="1:3" x14ac:dyDescent="0.2">
      <c r="A28" s="6">
        <v>165</v>
      </c>
      <c r="B28" s="22" t="s">
        <v>15</v>
      </c>
      <c r="C28">
        <f>(B15+B8*B4)/B2</f>
        <v>7.2000000000000002E-5</v>
      </c>
    </row>
    <row r="29" spans="1:3" x14ac:dyDescent="0.2">
      <c r="A29" s="6">
        <v>165</v>
      </c>
      <c r="B29" s="22" t="s">
        <v>16</v>
      </c>
      <c r="C29">
        <f>(B8+B11)*B9*B6/B2</f>
        <v>74.141000000000005</v>
      </c>
    </row>
    <row r="30" spans="1:3" x14ac:dyDescent="0.2">
      <c r="B30" s="22" t="s">
        <v>77</v>
      </c>
      <c r="C30">
        <f>SUM(C25:C29)</f>
        <v>148.591984</v>
      </c>
    </row>
    <row r="32" spans="1:3" x14ac:dyDescent="0.2">
      <c r="A32" s="23" t="s">
        <v>95</v>
      </c>
    </row>
    <row r="33" spans="1:3" x14ac:dyDescent="0.2">
      <c r="A33" s="5" t="s">
        <v>72</v>
      </c>
      <c r="B33" s="5" t="s">
        <v>19</v>
      </c>
      <c r="C33" s="5" t="s">
        <v>73</v>
      </c>
    </row>
    <row r="34" spans="1:3" x14ac:dyDescent="0.2">
      <c r="A34" s="6">
        <v>215</v>
      </c>
      <c r="B34" s="22" t="s">
        <v>0</v>
      </c>
      <c r="C34">
        <f>(B9*B8*B6+B9*B3+B8*B3)/B2</f>
        <v>7.8639999999999995E-3</v>
      </c>
    </row>
    <row r="35" spans="1:3" x14ac:dyDescent="0.2">
      <c r="A35" s="6">
        <v>215</v>
      </c>
      <c r="B35" s="22" t="s">
        <v>2</v>
      </c>
      <c r="C35">
        <f>(B11*B9*B6+B11*B3+B9*B3)/B2</f>
        <v>74.291991999999993</v>
      </c>
    </row>
    <row r="36" spans="1:3" x14ac:dyDescent="0.2">
      <c r="A36" s="6">
        <v>216</v>
      </c>
      <c r="B36" s="22" t="s">
        <v>24</v>
      </c>
      <c r="C36">
        <f>B11*B6/B2</f>
        <v>0.15099199999999999</v>
      </c>
    </row>
    <row r="37" spans="1:3" x14ac:dyDescent="0.2">
      <c r="A37" s="6">
        <v>217</v>
      </c>
      <c r="B37" s="22" t="s">
        <v>23</v>
      </c>
      <c r="C37">
        <f>B11*B6/B2</f>
        <v>0.15099199999999999</v>
      </c>
    </row>
    <row r="38" spans="1:3" x14ac:dyDescent="0.2">
      <c r="A38" s="6">
        <v>218</v>
      </c>
      <c r="B38" s="22" t="s">
        <v>22</v>
      </c>
      <c r="C38">
        <f>B11*B6/B2</f>
        <v>0.15099199999999999</v>
      </c>
    </row>
    <row r="39" spans="1:3" x14ac:dyDescent="0.2">
      <c r="A39" s="6">
        <v>267</v>
      </c>
      <c r="B39" s="22" t="s">
        <v>96</v>
      </c>
      <c r="C39">
        <f>B11*B6/B2</f>
        <v>0.15099199999999999</v>
      </c>
    </row>
    <row r="40" spans="1:3" x14ac:dyDescent="0.2">
      <c r="A40" s="6">
        <v>270</v>
      </c>
      <c r="B40" s="22" t="s">
        <v>23</v>
      </c>
      <c r="C40">
        <f>B11*B6/B2</f>
        <v>0.15099199999999999</v>
      </c>
    </row>
    <row r="41" spans="1:3" x14ac:dyDescent="0.2">
      <c r="A41" s="6"/>
      <c r="B41" s="22" t="s">
        <v>77</v>
      </c>
      <c r="C41">
        <f>SUM(C34:C40)</f>
        <v>75.054816000000002</v>
      </c>
    </row>
    <row r="42" spans="1:3" x14ac:dyDescent="0.2">
      <c r="A42" s="6"/>
    </row>
    <row r="43" spans="1:3" x14ac:dyDescent="0.2">
      <c r="A43" s="23" t="s">
        <v>97</v>
      </c>
      <c r="B43" s="24"/>
    </row>
    <row r="44" spans="1:3" x14ac:dyDescent="0.2">
      <c r="A44" s="5" t="s">
        <v>72</v>
      </c>
      <c r="B44" s="5" t="s">
        <v>19</v>
      </c>
      <c r="C44" s="5" t="s">
        <v>73</v>
      </c>
    </row>
    <row r="45" spans="1:3" x14ac:dyDescent="0.2">
      <c r="A45" s="6">
        <v>220</v>
      </c>
      <c r="B45" s="22" t="s">
        <v>29</v>
      </c>
      <c r="C45">
        <f>B11*B10*B6/B2</f>
        <v>66.738463999999993</v>
      </c>
    </row>
    <row r="46" spans="1:3" x14ac:dyDescent="0.2">
      <c r="A46" s="6">
        <v>220</v>
      </c>
      <c r="B46" s="22" t="s">
        <v>28</v>
      </c>
      <c r="C46">
        <f>B10*B8/B2</f>
        <v>4.4200000000000001E-4</v>
      </c>
    </row>
    <row r="47" spans="1:3" x14ac:dyDescent="0.2">
      <c r="A47" s="6">
        <v>223</v>
      </c>
      <c r="B47" s="22" t="s">
        <v>25</v>
      </c>
      <c r="C47">
        <f>B9*B6/B2</f>
        <v>3.9280000000000001E-3</v>
      </c>
    </row>
    <row r="48" spans="1:3" x14ac:dyDescent="0.2">
      <c r="A48" s="6">
        <v>224</v>
      </c>
      <c r="B48" s="22" t="s">
        <v>25</v>
      </c>
      <c r="C48">
        <f>B10*B6/B2</f>
        <v>3.5360000000000001E-3</v>
      </c>
    </row>
    <row r="49" spans="1:3" x14ac:dyDescent="0.2">
      <c r="A49" s="6">
        <v>225</v>
      </c>
      <c r="B49" s="22" t="s">
        <v>26</v>
      </c>
      <c r="C49">
        <f>B11*B6/B2</f>
        <v>0.15099199999999999</v>
      </c>
    </row>
    <row r="50" spans="1:3" x14ac:dyDescent="0.2">
      <c r="A50" s="6">
        <v>226</v>
      </c>
      <c r="B50" s="22" t="s">
        <v>23</v>
      </c>
      <c r="C50">
        <f>B11*B6/B2</f>
        <v>0.15099199999999999</v>
      </c>
    </row>
    <row r="51" spans="1:3" x14ac:dyDescent="0.2">
      <c r="A51" s="6">
        <v>227</v>
      </c>
      <c r="B51" s="22" t="s">
        <v>22</v>
      </c>
      <c r="C51">
        <f>B11*B6/B2</f>
        <v>0.15099199999999999</v>
      </c>
    </row>
    <row r="52" spans="1:3" x14ac:dyDescent="0.2">
      <c r="B52" s="22" t="s">
        <v>77</v>
      </c>
      <c r="C52">
        <f xml:space="preserve"> SUM(C45:C51)*B17</f>
        <v>335.99673000000001</v>
      </c>
    </row>
    <row r="55" spans="1:3" x14ac:dyDescent="0.2">
      <c r="A55" s="23" t="s">
        <v>98</v>
      </c>
      <c r="B55" s="24"/>
    </row>
    <row r="56" spans="1:3" x14ac:dyDescent="0.2">
      <c r="A56" s="5" t="s">
        <v>72</v>
      </c>
      <c r="B56" s="5" t="s">
        <v>19</v>
      </c>
      <c r="C56" s="5" t="s">
        <v>73</v>
      </c>
    </row>
    <row r="57" spans="1:3" x14ac:dyDescent="0.2">
      <c r="A57" s="6">
        <v>246</v>
      </c>
      <c r="B57" s="22" t="s">
        <v>35</v>
      </c>
      <c r="C57">
        <f>B11*B4/B2</f>
        <v>0.15099199999999999</v>
      </c>
    </row>
    <row r="58" spans="1:3" x14ac:dyDescent="0.2">
      <c r="A58" s="6">
        <v>247</v>
      </c>
      <c r="B58" s="22" t="s">
        <v>36</v>
      </c>
      <c r="C58">
        <f>B11*B18*B6/B2</f>
        <v>0.75495999999999996</v>
      </c>
    </row>
    <row r="59" spans="1:3" x14ac:dyDescent="0.2">
      <c r="A59" s="6">
        <v>250</v>
      </c>
      <c r="B59" s="25" t="s">
        <v>80</v>
      </c>
      <c r="C59">
        <f>(B15+B18*B4)/B2</f>
        <v>1.0399999999999999E-4</v>
      </c>
    </row>
    <row r="60" spans="1:3" x14ac:dyDescent="0.2">
      <c r="A60" s="6">
        <v>251</v>
      </c>
      <c r="B60" s="22" t="s">
        <v>37</v>
      </c>
      <c r="C60">
        <f>B11*B18*B6/B2</f>
        <v>0.75495999999999996</v>
      </c>
    </row>
    <row r="61" spans="1:3" x14ac:dyDescent="0.2">
      <c r="A61" s="6">
        <v>252</v>
      </c>
      <c r="B61" s="22" t="s">
        <v>81</v>
      </c>
      <c r="C61">
        <f>C57</f>
        <v>0.15099199999999999</v>
      </c>
    </row>
    <row r="62" spans="1:3" x14ac:dyDescent="0.2">
      <c r="B62" s="22" t="s">
        <v>87</v>
      </c>
      <c r="C62">
        <f xml:space="preserve"> SUM(C57:C60)</f>
        <v>1.661016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net_correlation</vt:lpstr>
      <vt:lpstr>bootstrap_net_correlation</vt:lpstr>
      <vt:lpstr>bootstrap_correlation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2016-12-05T16:11:46Z</dcterms:created>
  <dcterms:modified xsi:type="dcterms:W3CDTF">2016-12-19T22:58:01Z</dcterms:modified>
</cp:coreProperties>
</file>