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ingge2/Documents/"/>
    </mc:Choice>
  </mc:AlternateContent>
  <bookViews>
    <workbookView xWindow="18280" yWindow="460" windowWidth="18080" windowHeight="19540" tabRatio="500"/>
  </bookViews>
  <sheets>
    <sheet name="run_net_correlation" sheetId="2" r:id="rId1"/>
    <sheet name="run_correlation" sheetId="1" r:id="rId2"/>
    <sheet name="run_bootstrap_correl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C55" i="3"/>
  <c r="C44" i="3"/>
  <c r="C64" i="3"/>
  <c r="C63" i="3"/>
  <c r="C61" i="3"/>
  <c r="C60" i="3"/>
  <c r="C62" i="3"/>
  <c r="C43" i="3"/>
  <c r="C42" i="3"/>
  <c r="C41" i="3"/>
  <c r="C40" i="3"/>
  <c r="B2" i="3"/>
  <c r="C35" i="3"/>
  <c r="C36" i="3"/>
  <c r="C37" i="3"/>
  <c r="C38" i="3"/>
  <c r="C39" i="3"/>
  <c r="C24" i="3"/>
  <c r="C25" i="3"/>
  <c r="C26" i="3"/>
  <c r="C27" i="3"/>
  <c r="C28" i="3"/>
  <c r="C29" i="3"/>
  <c r="C31" i="3"/>
  <c r="C54" i="3"/>
  <c r="C53" i="3"/>
  <c r="C52" i="3"/>
  <c r="C51" i="3"/>
  <c r="C50" i="3"/>
  <c r="C49" i="3"/>
  <c r="C48" i="3"/>
  <c r="C11" i="3"/>
  <c r="C12" i="3"/>
  <c r="B17" i="2"/>
  <c r="C83" i="2"/>
  <c r="C82" i="2"/>
  <c r="C81" i="2"/>
  <c r="C80" i="2"/>
  <c r="B2" i="2"/>
  <c r="C79" i="2"/>
  <c r="C78" i="2"/>
  <c r="C77" i="2"/>
  <c r="C76" i="2"/>
  <c r="C75" i="2"/>
  <c r="C74" i="2"/>
  <c r="C73" i="2"/>
  <c r="C3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26" i="2"/>
  <c r="C37" i="2"/>
  <c r="C38" i="2"/>
  <c r="C46" i="2"/>
  <c r="C21" i="2"/>
  <c r="C22" i="2"/>
  <c r="C23" i="2"/>
  <c r="C24" i="2"/>
  <c r="C25" i="2"/>
  <c r="C27" i="2"/>
  <c r="C28" i="2"/>
  <c r="C29" i="2"/>
  <c r="C30" i="2"/>
  <c r="C31" i="2"/>
  <c r="C35" i="2"/>
  <c r="C36" i="2"/>
  <c r="C40" i="2"/>
  <c r="C41" i="2"/>
  <c r="C42" i="2"/>
  <c r="C43" i="2"/>
  <c r="C44" i="2"/>
  <c r="C45" i="2"/>
  <c r="C47" i="2"/>
  <c r="C48" i="2"/>
  <c r="C49" i="2"/>
  <c r="C11" i="2"/>
  <c r="C10" i="2"/>
  <c r="B15" i="1"/>
  <c r="C39" i="1"/>
  <c r="C30" i="1"/>
  <c r="C23" i="1"/>
  <c r="C38" i="1"/>
  <c r="C37" i="1"/>
  <c r="C36" i="1"/>
  <c r="C35" i="1"/>
  <c r="C34" i="1"/>
  <c r="C29" i="1"/>
  <c r="C28" i="1"/>
  <c r="C27" i="1"/>
  <c r="C18" i="1"/>
  <c r="C22" i="1"/>
  <c r="C21" i="1"/>
  <c r="C20" i="1"/>
  <c r="C19" i="1"/>
  <c r="B2" i="1"/>
  <c r="C11" i="1"/>
  <c r="C10" i="1"/>
</calcChain>
</file>

<file path=xl/sharedStrings.xml><?xml version="1.0" encoding="utf-8"?>
<sst xmlns="http://schemas.openxmlformats.org/spreadsheetml/2006/main" count="198" uniqueCount="74">
  <si>
    <t>Input Variables</t>
  </si>
  <si>
    <t>Size</t>
  </si>
  <si>
    <t>name_size</t>
  </si>
  <si>
    <t>M</t>
  </si>
  <si>
    <t>pandas df string</t>
  </si>
  <si>
    <t>string</t>
  </si>
  <si>
    <t>int</t>
  </si>
  <si>
    <t>float</t>
  </si>
  <si>
    <t>single</t>
  </si>
  <si>
    <t>drugs</t>
  </si>
  <si>
    <t>samples</t>
  </si>
  <si>
    <t>genes</t>
  </si>
  <si>
    <t>edges</t>
  </si>
  <si>
    <t>net_genes</t>
  </si>
  <si>
    <t>number of parallel processes</t>
  </si>
  <si>
    <t>Total Memory Required:</t>
  </si>
  <si>
    <t>Variable name</t>
  </si>
  <si>
    <t>Size/MB</t>
  </si>
  <si>
    <t>drug_response_df</t>
  </si>
  <si>
    <t>spreadsheet_df</t>
  </si>
  <si>
    <t>drug_response_df_0</t>
  </si>
  <si>
    <t>spreadsheet_df_0</t>
  </si>
  <si>
    <t>genes_list</t>
  </si>
  <si>
    <t>drugs_list</t>
  </si>
  <si>
    <t>consolodated_df</t>
  </si>
  <si>
    <t>Line number</t>
  </si>
  <si>
    <t xml:space="preserve"> Line number</t>
  </si>
  <si>
    <t>pc_array</t>
  </si>
  <si>
    <t>generate_net_correlation_output</t>
  </si>
  <si>
    <t>drug_name_list</t>
  </si>
  <si>
    <t>output_val</t>
  </si>
  <si>
    <t>df_header</t>
  </si>
  <si>
    <t>result_df</t>
  </si>
  <si>
    <t>result_df.index</t>
  </si>
  <si>
    <t>parallel worker</t>
  </si>
  <si>
    <t>Total sum</t>
  </si>
  <si>
    <t>network_df</t>
  </si>
  <si>
    <t>unique_gene_names</t>
  </si>
  <si>
    <t>genes_lookup_table</t>
  </si>
  <si>
    <t>network_mat_sparse</t>
  </si>
  <si>
    <t>network_mat</t>
  </si>
  <si>
    <t>baseline_array</t>
  </si>
  <si>
    <t>node_2_names</t>
  </si>
  <si>
    <t>node_1_names</t>
  </si>
  <si>
    <t>get_input_data_iterator_with_network</t>
  </si>
  <si>
    <t>consolidated_df</t>
  </si>
  <si>
    <t>number_of_drugs</t>
  </si>
  <si>
    <t>range_list</t>
  </si>
  <si>
    <t>zip_list</t>
  </si>
  <si>
    <t>get_network_mat</t>
  </si>
  <si>
    <t xml:space="preserve">Total sum </t>
  </si>
  <si>
    <t>worker_for_run_net_correlation</t>
  </si>
  <si>
    <t>sample_smooth</t>
  </si>
  <si>
    <t>pearson_array</t>
  </si>
  <si>
    <t>restart_accumulator</t>
  </si>
  <si>
    <t>min_max_pc</t>
  </si>
  <si>
    <t>mask</t>
  </si>
  <si>
    <t>gene_name_list</t>
  </si>
  <si>
    <t xml:space="preserve">boolean </t>
  </si>
  <si>
    <t>intersection genes between original gene and net_genes</t>
  </si>
  <si>
    <t>output column number</t>
  </si>
  <si>
    <t>get_input_data_iterator</t>
  </si>
  <si>
    <t xml:space="preserve">zip_list </t>
  </si>
  <si>
    <t>borda_count</t>
  </si>
  <si>
    <t>gm_accumulator</t>
  </si>
  <si>
    <t>worker_for_run_bootstrap_correlation outside</t>
  </si>
  <si>
    <t>worker_for_run_bootstrap_correlation inside</t>
  </si>
  <si>
    <t>sample_random</t>
  </si>
  <si>
    <t>sample_permutation</t>
  </si>
  <si>
    <t>drug_response</t>
  </si>
  <si>
    <t>samples not null</t>
  </si>
  <si>
    <t>pcc_gm_array</t>
  </si>
  <si>
    <t>write_bootstrap_correlation_output</t>
  </si>
  <si>
    <t>number_of_bootstrap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</si>
</sst>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Menlo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sz val="9"/>
      <color theme="0"/>
      <name val="Menlo"/>
    </font>
    <font>
      <b/>
      <sz val="9"/>
      <color rgb="FF008080"/>
      <name val="Menlo"/>
    </font>
    <font>
      <sz val="9"/>
      <color theme="1"/>
      <name val="Menlo Regula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2" fillId="2" borderId="0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2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zoomScale="120" zoomScaleNormal="120" zoomScalePageLayoutView="120" workbookViewId="0">
      <pane ySplit="17" topLeftCell="A18" activePane="bottomLeft" state="frozen"/>
      <selection pane="bottomLeft" activeCell="A18" sqref="A18:XFD18"/>
    </sheetView>
  </sheetViews>
  <sheetFormatPr baseColWidth="10" defaultRowHeight="16" x14ac:dyDescent="0.2"/>
  <cols>
    <col min="1" max="1" width="46.6640625" customWidth="1"/>
    <col min="2" max="2" width="25" customWidth="1"/>
    <col min="3" max="3" width="10.832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4" t="s">
        <v>3</v>
      </c>
      <c r="B2">
        <f>1000000</f>
        <v>1000000</v>
      </c>
      <c r="C2" s="4"/>
    </row>
    <row r="3" spans="1:3" x14ac:dyDescent="0.2">
      <c r="A3" s="4" t="s">
        <v>4</v>
      </c>
      <c r="B3">
        <v>8</v>
      </c>
      <c r="C3" s="4"/>
    </row>
    <row r="4" spans="1:3" x14ac:dyDescent="0.2">
      <c r="A4" s="4" t="s">
        <v>5</v>
      </c>
      <c r="B4">
        <v>4</v>
      </c>
      <c r="C4" s="4"/>
    </row>
    <row r="5" spans="1:3" x14ac:dyDescent="0.2">
      <c r="A5" s="4" t="s">
        <v>6</v>
      </c>
      <c r="B5">
        <v>8</v>
      </c>
      <c r="C5" s="4"/>
    </row>
    <row r="6" spans="1:3" x14ac:dyDescent="0.2">
      <c r="A6" s="4" t="s">
        <v>7</v>
      </c>
      <c r="B6">
        <v>8</v>
      </c>
      <c r="C6" s="4"/>
    </row>
    <row r="7" spans="1:3" x14ac:dyDescent="0.2">
      <c r="A7" s="4" t="s">
        <v>8</v>
      </c>
      <c r="B7">
        <v>4</v>
      </c>
      <c r="C7" s="4"/>
    </row>
    <row r="8" spans="1:3" x14ac:dyDescent="0.2">
      <c r="A8" s="4" t="s">
        <v>9</v>
      </c>
      <c r="B8">
        <v>24</v>
      </c>
      <c r="C8" s="4">
        <v>20</v>
      </c>
    </row>
    <row r="9" spans="1:3" x14ac:dyDescent="0.2">
      <c r="A9" s="4" t="s">
        <v>10</v>
      </c>
      <c r="B9">
        <v>491</v>
      </c>
      <c r="C9" s="4">
        <v>32</v>
      </c>
    </row>
    <row r="10" spans="1:3" x14ac:dyDescent="0.2">
      <c r="A10" s="4" t="s">
        <v>11</v>
      </c>
      <c r="B10">
        <v>18874</v>
      </c>
      <c r="C10" s="4">
        <f>15*B4</f>
        <v>60</v>
      </c>
    </row>
    <row r="11" spans="1:3" x14ac:dyDescent="0.2">
      <c r="A11" s="4" t="s">
        <v>12</v>
      </c>
      <c r="B11">
        <v>2961786</v>
      </c>
      <c r="C11" s="4">
        <f>15*B4</f>
        <v>60</v>
      </c>
    </row>
    <row r="12" spans="1:3" x14ac:dyDescent="0.2">
      <c r="A12" s="4" t="s">
        <v>13</v>
      </c>
      <c r="B12">
        <v>15589</v>
      </c>
      <c r="C12" s="4">
        <v>15</v>
      </c>
    </row>
    <row r="13" spans="1:3" x14ac:dyDescent="0.2">
      <c r="A13" s="4" t="s">
        <v>59</v>
      </c>
      <c r="B13">
        <v>13410</v>
      </c>
      <c r="C13" s="4"/>
    </row>
    <row r="14" spans="1:3" x14ac:dyDescent="0.2">
      <c r="A14" s="4" t="s">
        <v>58</v>
      </c>
      <c r="B14">
        <v>1</v>
      </c>
      <c r="C14" s="4"/>
    </row>
    <row r="15" spans="1:3" x14ac:dyDescent="0.2">
      <c r="A15" s="4" t="s">
        <v>60</v>
      </c>
      <c r="B15">
        <v>6</v>
      </c>
      <c r="C15" s="4"/>
    </row>
    <row r="16" spans="1:3" x14ac:dyDescent="0.2">
      <c r="A16" s="4" t="s">
        <v>14</v>
      </c>
      <c r="B16">
        <v>4</v>
      </c>
      <c r="C16" s="4"/>
    </row>
    <row r="17" spans="1:3" x14ac:dyDescent="0.2">
      <c r="A17" s="4" t="s">
        <v>15</v>
      </c>
      <c r="B17" s="5">
        <f>SUM(C31+C49) + B16*(C68+C83)</f>
        <v>1574.4024386666663</v>
      </c>
      <c r="C17" s="4"/>
    </row>
    <row r="18" spans="1:3" x14ac:dyDescent="0.2">
      <c r="A18" s="3"/>
      <c r="B18" s="5"/>
      <c r="C18" s="4"/>
    </row>
    <row r="19" spans="1:3" x14ac:dyDescent="0.2">
      <c r="A19" s="2" t="s">
        <v>49</v>
      </c>
      <c r="C19" s="4"/>
    </row>
    <row r="20" spans="1:3" x14ac:dyDescent="0.2">
      <c r="A20" s="2" t="s">
        <v>26</v>
      </c>
      <c r="B20" s="2" t="s">
        <v>16</v>
      </c>
      <c r="C20" s="2" t="s">
        <v>17</v>
      </c>
    </row>
    <row r="21" spans="1:3" x14ac:dyDescent="0.2">
      <c r="A21" s="4">
        <v>105</v>
      </c>
      <c r="B21" s="7" t="s">
        <v>36</v>
      </c>
      <c r="C21">
        <f>B11*3*B3/B2</f>
        <v>71.082864000000001</v>
      </c>
    </row>
    <row r="22" spans="1:3" x14ac:dyDescent="0.2">
      <c r="A22" s="4">
        <v>106</v>
      </c>
      <c r="B22" s="7" t="s">
        <v>43</v>
      </c>
      <c r="C22">
        <f>B10*B4/B2</f>
        <v>7.5495999999999994E-2</v>
      </c>
    </row>
    <row r="23" spans="1:3" x14ac:dyDescent="0.2">
      <c r="A23" s="4">
        <v>107</v>
      </c>
      <c r="B23" s="7" t="s">
        <v>42</v>
      </c>
      <c r="C23">
        <f>B10*B4/B2</f>
        <v>7.5495999999999994E-2</v>
      </c>
    </row>
    <row r="24" spans="1:3" x14ac:dyDescent="0.2">
      <c r="A24" s="4">
        <v>109</v>
      </c>
      <c r="B24" s="7" t="s">
        <v>37</v>
      </c>
      <c r="C24">
        <f>B12*B4/B2</f>
        <v>6.2356000000000002E-2</v>
      </c>
    </row>
    <row r="25" spans="1:3" x14ac:dyDescent="0.2">
      <c r="A25" s="4">
        <v>111</v>
      </c>
      <c r="B25" s="7" t="s">
        <v>38</v>
      </c>
      <c r="C25">
        <f>(B4*B12+B12*B6)/B2</f>
        <v>0.18706800000000001</v>
      </c>
    </row>
    <row r="26" spans="1:3" x14ac:dyDescent="0.2">
      <c r="A26" s="4">
        <v>113</v>
      </c>
      <c r="B26" s="7" t="s">
        <v>36</v>
      </c>
      <c r="C26">
        <f>(B11*B3*2 +B11*B6)/B2</f>
        <v>71.082864000000001</v>
      </c>
    </row>
    <row r="27" spans="1:3" x14ac:dyDescent="0.2">
      <c r="A27" s="4">
        <v>114</v>
      </c>
      <c r="B27" s="7" t="s">
        <v>36</v>
      </c>
      <c r="C27">
        <f>C26</f>
        <v>71.082864000000001</v>
      </c>
    </row>
    <row r="28" spans="1:3" x14ac:dyDescent="0.2">
      <c r="A28" s="4">
        <v>116</v>
      </c>
      <c r="B28" s="7" t="s">
        <v>36</v>
      </c>
      <c r="C28">
        <f>C26*2</f>
        <v>142.165728</v>
      </c>
    </row>
    <row r="29" spans="1:3" x14ac:dyDescent="0.2">
      <c r="A29" s="4">
        <v>117</v>
      </c>
      <c r="B29" s="7" t="s">
        <v>39</v>
      </c>
      <c r="C29">
        <f>(B12*B7+B11*B7+B11*B6)/B2</f>
        <v>35.603788000000002</v>
      </c>
    </row>
    <row r="30" spans="1:3" x14ac:dyDescent="0.2">
      <c r="A30" s="4">
        <v>120</v>
      </c>
      <c r="B30" s="7" t="s">
        <v>40</v>
      </c>
      <c r="C30">
        <f>C29</f>
        <v>35.603788000000002</v>
      </c>
    </row>
    <row r="31" spans="1:3" x14ac:dyDescent="0.2">
      <c r="B31" s="7" t="s">
        <v>35</v>
      </c>
      <c r="C31">
        <f>SUM(C21:C30)</f>
        <v>427.02231200000006</v>
      </c>
    </row>
    <row r="33" spans="1:3" x14ac:dyDescent="0.2">
      <c r="A33" s="12" t="s">
        <v>44</v>
      </c>
    </row>
    <row r="34" spans="1:3" x14ac:dyDescent="0.2">
      <c r="A34" s="2" t="s">
        <v>26</v>
      </c>
      <c r="B34" s="2" t="s">
        <v>16</v>
      </c>
      <c r="C34" s="2" t="s">
        <v>17</v>
      </c>
    </row>
    <row r="35" spans="1:3" x14ac:dyDescent="0.2">
      <c r="A35" s="4">
        <v>65</v>
      </c>
      <c r="B35" t="s">
        <v>40</v>
      </c>
      <c r="C35">
        <f>B11*B6*2*3/B2</f>
        <v>142.165728</v>
      </c>
    </row>
    <row r="36" spans="1:3" x14ac:dyDescent="0.2">
      <c r="A36" s="4">
        <v>65</v>
      </c>
      <c r="B36" t="s">
        <v>37</v>
      </c>
      <c r="C36">
        <f>B12*B4/B2</f>
        <v>6.2356000000000002E-2</v>
      </c>
    </row>
    <row r="37" spans="1:3" x14ac:dyDescent="0.2">
      <c r="A37" s="4">
        <v>66</v>
      </c>
      <c r="B37" s="7" t="s">
        <v>41</v>
      </c>
      <c r="C37">
        <f>B12*B6/B2</f>
        <v>0.124712</v>
      </c>
    </row>
    <row r="38" spans="1:3" x14ac:dyDescent="0.2">
      <c r="A38" s="4">
        <v>67</v>
      </c>
      <c r="B38" s="7" t="s">
        <v>41</v>
      </c>
      <c r="C38">
        <f>C37</f>
        <v>0.124712</v>
      </c>
    </row>
    <row r="39" spans="1:3" x14ac:dyDescent="0.2">
      <c r="A39" s="4">
        <v>69</v>
      </c>
      <c r="B39" s="7" t="s">
        <v>18</v>
      </c>
      <c r="C39">
        <f>(B9*B8*B6+B9*B3+B8*B3)/B2</f>
        <v>9.8391999999999993E-2</v>
      </c>
    </row>
    <row r="40" spans="1:3" x14ac:dyDescent="0.2">
      <c r="A40" s="4">
        <v>70</v>
      </c>
      <c r="B40" s="7" t="s">
        <v>19</v>
      </c>
      <c r="C40">
        <f>(B10*B9*B6+B10*B3+B9*B3)/B2</f>
        <v>74.291991999999993</v>
      </c>
    </row>
    <row r="41" spans="1:3" x14ac:dyDescent="0.2">
      <c r="A41" s="4">
        <v>73</v>
      </c>
      <c r="B41" s="7" t="s">
        <v>19</v>
      </c>
      <c r="C41">
        <f>(B12*B9*B6+B10*B3+B9*B3)/B2</f>
        <v>61.388511999999999</v>
      </c>
    </row>
    <row r="42" spans="1:3" x14ac:dyDescent="0.2">
      <c r="A42" s="4">
        <v>75</v>
      </c>
      <c r="B42" s="7" t="s">
        <v>22</v>
      </c>
      <c r="C42">
        <f>B12*B4/B2</f>
        <v>6.2356000000000002E-2</v>
      </c>
    </row>
    <row r="43" spans="1:3" x14ac:dyDescent="0.2">
      <c r="A43" s="4">
        <v>76</v>
      </c>
      <c r="B43" s="7" t="s">
        <v>23</v>
      </c>
      <c r="C43">
        <f>B8*B4/B2</f>
        <v>9.6000000000000002E-5</v>
      </c>
    </row>
    <row r="44" spans="1:3" x14ac:dyDescent="0.2">
      <c r="A44" s="4">
        <v>77</v>
      </c>
      <c r="B44" s="7" t="s">
        <v>45</v>
      </c>
      <c r="C44">
        <f>((B12 + B8)* B9 * B6+B9*B3+B12*B3+B8*B3)/B2</f>
        <v>61.456696000000001</v>
      </c>
    </row>
    <row r="45" spans="1:3" x14ac:dyDescent="0.2">
      <c r="A45" s="4">
        <v>78</v>
      </c>
      <c r="B45" s="7" t="s">
        <v>45</v>
      </c>
      <c r="C45">
        <f>C44+C39</f>
        <v>61.555087999999998</v>
      </c>
    </row>
    <row r="46" spans="1:3" x14ac:dyDescent="0.2">
      <c r="A46" s="4">
        <v>80</v>
      </c>
      <c r="B46" s="7" t="s">
        <v>46</v>
      </c>
      <c r="C46">
        <f>28/B2</f>
        <v>2.8E-5</v>
      </c>
    </row>
    <row r="47" spans="1:3" x14ac:dyDescent="0.2">
      <c r="A47" s="4">
        <v>81</v>
      </c>
      <c r="B47" s="7" t="s">
        <v>47</v>
      </c>
      <c r="C47">
        <f>48/B2</f>
        <v>4.8000000000000001E-5</v>
      </c>
    </row>
    <row r="48" spans="1:3" x14ac:dyDescent="0.2">
      <c r="A48" s="4">
        <v>83</v>
      </c>
      <c r="B48" s="7" t="s">
        <v>48</v>
      </c>
      <c r="C48">
        <f>64/B2</f>
        <v>6.3999999999999997E-5</v>
      </c>
    </row>
    <row r="49" spans="1:3" x14ac:dyDescent="0.2">
      <c r="B49" s="7" t="s">
        <v>50</v>
      </c>
      <c r="C49">
        <f>SUM(C35:C48)</f>
        <v>401.33078</v>
      </c>
    </row>
    <row r="52" spans="1:3" x14ac:dyDescent="0.2">
      <c r="A52" s="2" t="s">
        <v>51</v>
      </c>
    </row>
    <row r="53" spans="1:3" x14ac:dyDescent="0.2">
      <c r="A53" s="2" t="s">
        <v>26</v>
      </c>
      <c r="B53" s="2" t="s">
        <v>16</v>
      </c>
      <c r="C53" s="2" t="s">
        <v>17</v>
      </c>
    </row>
    <row r="54" spans="1:3" x14ac:dyDescent="0.2">
      <c r="A54" s="4">
        <v>343</v>
      </c>
      <c r="B54" s="7" t="s">
        <v>18</v>
      </c>
      <c r="C54">
        <f>C39/24</f>
        <v>4.0996666666666664E-3</v>
      </c>
    </row>
    <row r="55" spans="1:3" x14ac:dyDescent="0.2">
      <c r="A55" s="4">
        <v>343</v>
      </c>
      <c r="B55" s="7" t="s">
        <v>19</v>
      </c>
      <c r="C55">
        <f>(B12*B9*B6+B12*B3+B9*B3)/B2</f>
        <v>61.362231999999999</v>
      </c>
    </row>
    <row r="56" spans="1:3" x14ac:dyDescent="0.2">
      <c r="A56" s="4">
        <v>344</v>
      </c>
      <c r="B56" s="7" t="s">
        <v>19</v>
      </c>
      <c r="C56">
        <f>C55</f>
        <v>61.362231999999999</v>
      </c>
    </row>
    <row r="57" spans="1:3" x14ac:dyDescent="0.2">
      <c r="A57" s="4">
        <v>345</v>
      </c>
      <c r="B57" s="7" t="s">
        <v>52</v>
      </c>
      <c r="C57">
        <f>B12*B9*B6/B2</f>
        <v>61.233592000000002</v>
      </c>
    </row>
    <row r="58" spans="1:3" x14ac:dyDescent="0.2">
      <c r="A58" s="4">
        <v>347</v>
      </c>
      <c r="B58" s="7" t="s">
        <v>27</v>
      </c>
      <c r="C58">
        <f>B12*B6/B2</f>
        <v>0.124712</v>
      </c>
    </row>
    <row r="59" spans="1:3" x14ac:dyDescent="0.2">
      <c r="A59" s="4">
        <v>348</v>
      </c>
      <c r="B59" s="7" t="s">
        <v>53</v>
      </c>
      <c r="C59">
        <f>C58</f>
        <v>0.124712</v>
      </c>
    </row>
    <row r="60" spans="1:3" x14ac:dyDescent="0.2">
      <c r="A60" s="4">
        <v>349</v>
      </c>
      <c r="B60" s="7" t="s">
        <v>27</v>
      </c>
      <c r="C60">
        <f>(B12 *  B6 /B2)</f>
        <v>0.124712</v>
      </c>
    </row>
    <row r="61" spans="1:3" x14ac:dyDescent="0.2">
      <c r="A61" s="4">
        <v>350</v>
      </c>
      <c r="B61" s="7" t="s">
        <v>27</v>
      </c>
      <c r="C61">
        <f>(B12 *  B6 /B2)</f>
        <v>0.124712</v>
      </c>
    </row>
    <row r="62" spans="1:3" x14ac:dyDescent="0.2">
      <c r="A62" s="4">
        <v>351</v>
      </c>
      <c r="B62" s="7" t="s">
        <v>54</v>
      </c>
      <c r="C62">
        <f>(B12 *  B6 /B2)</f>
        <v>0.124712</v>
      </c>
    </row>
    <row r="63" spans="1:3" x14ac:dyDescent="0.2">
      <c r="A63" s="4">
        <v>352</v>
      </c>
      <c r="B63" s="7" t="s">
        <v>54</v>
      </c>
      <c r="C63">
        <f>(B12 *  B6 /B2)</f>
        <v>0.124712</v>
      </c>
    </row>
    <row r="64" spans="1:3" x14ac:dyDescent="0.2">
      <c r="A64" s="4">
        <v>354</v>
      </c>
      <c r="B64" s="7" t="s">
        <v>27</v>
      </c>
      <c r="C64">
        <f>(B12 *  B6 /B2)</f>
        <v>0.124712</v>
      </c>
    </row>
    <row r="65" spans="1:3" x14ac:dyDescent="0.2">
      <c r="A65" s="4">
        <v>355</v>
      </c>
      <c r="B65" s="7" t="s">
        <v>27</v>
      </c>
      <c r="C65">
        <f>(B12 *  B6 /B2)</f>
        <v>0.124712</v>
      </c>
    </row>
    <row r="66" spans="1:3" x14ac:dyDescent="0.2">
      <c r="A66" s="4">
        <v>357</v>
      </c>
      <c r="B66" s="7" t="s">
        <v>27</v>
      </c>
      <c r="C66">
        <f>(B12 *  B6 /B2)</f>
        <v>0.124712</v>
      </c>
    </row>
    <row r="67" spans="1:3" x14ac:dyDescent="0.2">
      <c r="A67" s="4">
        <v>358</v>
      </c>
      <c r="B67" s="7" t="s">
        <v>55</v>
      </c>
      <c r="C67">
        <f>(B12 *  B6 /B2)</f>
        <v>0.124712</v>
      </c>
    </row>
    <row r="68" spans="1:3" x14ac:dyDescent="0.2">
      <c r="B68" s="7" t="s">
        <v>35</v>
      </c>
      <c r="C68">
        <f>SUM(C54:C67)</f>
        <v>185.20927566666654</v>
      </c>
    </row>
    <row r="71" spans="1:3" x14ac:dyDescent="0.2">
      <c r="A71" s="2" t="s">
        <v>28</v>
      </c>
    </row>
    <row r="72" spans="1:3" x14ac:dyDescent="0.2">
      <c r="A72" s="2" t="s">
        <v>26</v>
      </c>
      <c r="B72" s="2" t="s">
        <v>16</v>
      </c>
      <c r="C72" s="2" t="s">
        <v>17</v>
      </c>
    </row>
    <row r="73" spans="1:3" x14ac:dyDescent="0.2">
      <c r="B73" t="s">
        <v>56</v>
      </c>
      <c r="C73">
        <f>B12*B14/B2</f>
        <v>1.5589E-2</v>
      </c>
    </row>
    <row r="74" spans="1:3" x14ac:dyDescent="0.2">
      <c r="B74" t="s">
        <v>27</v>
      </c>
      <c r="C74">
        <f>B13*B5/B2</f>
        <v>0.10728</v>
      </c>
    </row>
    <row r="75" spans="1:3" x14ac:dyDescent="0.2">
      <c r="B75" s="7" t="s">
        <v>53</v>
      </c>
      <c r="C75">
        <f>B13*B5/B2</f>
        <v>0.10728</v>
      </c>
    </row>
    <row r="76" spans="1:3" x14ac:dyDescent="0.2">
      <c r="B76" s="7" t="s">
        <v>55</v>
      </c>
      <c r="C76">
        <f>B13*B5/B2</f>
        <v>0.10728</v>
      </c>
    </row>
    <row r="77" spans="1:3" x14ac:dyDescent="0.2">
      <c r="B77" s="7" t="s">
        <v>57</v>
      </c>
      <c r="C77">
        <f>B13*B4/B2</f>
        <v>5.364E-2</v>
      </c>
    </row>
    <row r="78" spans="1:3" x14ac:dyDescent="0.2">
      <c r="B78" s="7" t="s">
        <v>54</v>
      </c>
      <c r="C78">
        <f>B13*B6/B2</f>
        <v>0.10728</v>
      </c>
    </row>
    <row r="79" spans="1:3" x14ac:dyDescent="0.2">
      <c r="B79" s="7" t="s">
        <v>29</v>
      </c>
      <c r="C79">
        <f>B13*B4/B2</f>
        <v>5.364E-2</v>
      </c>
    </row>
    <row r="80" spans="1:3" x14ac:dyDescent="0.2">
      <c r="B80" s="7" t="s">
        <v>30</v>
      </c>
      <c r="C80">
        <f>B13*B14*B6/B2</f>
        <v>0.10728</v>
      </c>
    </row>
    <row r="81" spans="2:3" x14ac:dyDescent="0.2">
      <c r="B81" s="7" t="s">
        <v>31</v>
      </c>
      <c r="C81">
        <f>112/B2</f>
        <v>1.12E-4</v>
      </c>
    </row>
    <row r="82" spans="2:3" x14ac:dyDescent="0.2">
      <c r="B82" s="7" t="s">
        <v>32</v>
      </c>
      <c r="C82">
        <f>B13*B15*B6/B2</f>
        <v>0.64368000000000003</v>
      </c>
    </row>
    <row r="83" spans="2:3" x14ac:dyDescent="0.2">
      <c r="B83" s="7" t="s">
        <v>35</v>
      </c>
      <c r="C83">
        <f>SUM(C73:C82)</f>
        <v>1.303061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zoomScale="147" zoomScaleNormal="147" zoomScalePageLayoutView="147" workbookViewId="0">
      <pane ySplit="15" topLeftCell="A16" activePane="bottomLeft" state="frozen"/>
      <selection pane="bottomLeft" activeCell="A16" sqref="A16:XFD16"/>
    </sheetView>
  </sheetViews>
  <sheetFormatPr baseColWidth="10" defaultRowHeight="16" x14ac:dyDescent="0.2"/>
  <cols>
    <col min="1" max="1" width="29.33203125" customWidth="1"/>
    <col min="2" max="2" width="20.33203125" customWidth="1"/>
    <col min="3" max="3" width="9.1640625" customWidth="1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3" t="s">
        <v>3</v>
      </c>
      <c r="B2">
        <f>1000000</f>
        <v>1000000</v>
      </c>
      <c r="C2" s="4"/>
    </row>
    <row r="3" spans="1:3" x14ac:dyDescent="0.2">
      <c r="A3" s="3" t="s">
        <v>4</v>
      </c>
      <c r="B3">
        <v>8</v>
      </c>
      <c r="C3" s="4"/>
    </row>
    <row r="4" spans="1:3" x14ac:dyDescent="0.2">
      <c r="A4" s="3" t="s">
        <v>5</v>
      </c>
      <c r="B4">
        <v>4</v>
      </c>
      <c r="C4" s="4"/>
    </row>
    <row r="5" spans="1:3" x14ac:dyDescent="0.2">
      <c r="A5" s="3" t="s">
        <v>6</v>
      </c>
      <c r="B5">
        <v>8</v>
      </c>
      <c r="C5" s="4"/>
    </row>
    <row r="6" spans="1:3" x14ac:dyDescent="0.2">
      <c r="A6" s="3" t="s">
        <v>7</v>
      </c>
      <c r="B6">
        <v>8</v>
      </c>
      <c r="C6" s="4"/>
    </row>
    <row r="7" spans="1:3" x14ac:dyDescent="0.2">
      <c r="A7" s="3" t="s">
        <v>8</v>
      </c>
      <c r="B7">
        <v>4</v>
      </c>
      <c r="C7" s="4"/>
    </row>
    <row r="8" spans="1:3" x14ac:dyDescent="0.2">
      <c r="A8" s="3" t="s">
        <v>9</v>
      </c>
      <c r="B8">
        <v>24</v>
      </c>
      <c r="C8" s="4">
        <v>20</v>
      </c>
    </row>
    <row r="9" spans="1:3" x14ac:dyDescent="0.2">
      <c r="A9" s="3" t="s">
        <v>10</v>
      </c>
      <c r="B9">
        <v>491</v>
      </c>
      <c r="C9" s="4">
        <v>32</v>
      </c>
    </row>
    <row r="10" spans="1:3" x14ac:dyDescent="0.2">
      <c r="A10" s="3" t="s">
        <v>11</v>
      </c>
      <c r="B10">
        <v>18874</v>
      </c>
      <c r="C10" s="4">
        <f>15*B4</f>
        <v>60</v>
      </c>
    </row>
    <row r="11" spans="1:3" x14ac:dyDescent="0.2">
      <c r="A11" s="3" t="s">
        <v>12</v>
      </c>
      <c r="B11">
        <v>2961786</v>
      </c>
      <c r="C11" s="4">
        <f>15*B4</f>
        <v>60</v>
      </c>
    </row>
    <row r="12" spans="1:3" x14ac:dyDescent="0.2">
      <c r="A12" s="3" t="s">
        <v>13</v>
      </c>
      <c r="B12">
        <v>15589</v>
      </c>
      <c r="C12" s="4">
        <v>15</v>
      </c>
    </row>
    <row r="13" spans="1:3" x14ac:dyDescent="0.2">
      <c r="A13" s="3"/>
      <c r="C13" s="4"/>
    </row>
    <row r="14" spans="1:3" x14ac:dyDescent="0.2">
      <c r="A14" s="3" t="s">
        <v>14</v>
      </c>
      <c r="B14">
        <v>1</v>
      </c>
      <c r="C14" s="4"/>
    </row>
    <row r="15" spans="1:3" x14ac:dyDescent="0.2">
      <c r="A15" s="3" t="s">
        <v>15</v>
      </c>
      <c r="B15" s="5">
        <f>C23+C30+C39</f>
        <v>224.28491166666666</v>
      </c>
      <c r="C15" s="4"/>
    </row>
    <row r="16" spans="1:3" x14ac:dyDescent="0.2">
      <c r="A16" s="3"/>
      <c r="C16" s="4"/>
    </row>
    <row r="17" spans="1:3" x14ac:dyDescent="0.2">
      <c r="A17" s="2" t="s">
        <v>26</v>
      </c>
      <c r="B17" s="2" t="s">
        <v>16</v>
      </c>
      <c r="C17" s="2" t="s">
        <v>17</v>
      </c>
    </row>
    <row r="18" spans="1:3" x14ac:dyDescent="0.2">
      <c r="A18" s="4">
        <v>81</v>
      </c>
      <c r="B18" s="6" t="s">
        <v>20</v>
      </c>
      <c r="C18" s="4">
        <f>(B9*B8*B6+B9*B3+B8*B3)/B2</f>
        <v>9.8391999999999993E-2</v>
      </c>
    </row>
    <row r="19" spans="1:3" x14ac:dyDescent="0.2">
      <c r="A19" s="4">
        <v>82</v>
      </c>
      <c r="B19" s="8" t="s">
        <v>21</v>
      </c>
      <c r="C19" s="4">
        <f>(B10*B9*B6+B10*B3+B9*B3)/B2</f>
        <v>74.291991999999993</v>
      </c>
    </row>
    <row r="20" spans="1:3" x14ac:dyDescent="0.2">
      <c r="A20" s="4">
        <v>84</v>
      </c>
      <c r="B20" s="8" t="s">
        <v>22</v>
      </c>
      <c r="C20">
        <f>B10*B4/B2</f>
        <v>7.5495999999999994E-2</v>
      </c>
    </row>
    <row r="21" spans="1:3" x14ac:dyDescent="0.2">
      <c r="A21" s="4">
        <v>84</v>
      </c>
      <c r="B21" s="8" t="s">
        <v>23</v>
      </c>
      <c r="C21">
        <f>B8*B4/B2</f>
        <v>9.6000000000000002E-5</v>
      </c>
    </row>
    <row r="22" spans="1:3" x14ac:dyDescent="0.2">
      <c r="A22" s="4">
        <v>84</v>
      </c>
      <c r="B22" s="8" t="s">
        <v>24</v>
      </c>
      <c r="C22">
        <f>C18+C19</f>
        <v>74.390383999999997</v>
      </c>
    </row>
    <row r="23" spans="1:3" x14ac:dyDescent="0.2">
      <c r="A23" s="4"/>
      <c r="B23" s="10" t="s">
        <v>35</v>
      </c>
      <c r="C23" s="11">
        <f>SUM(C18:C22)</f>
        <v>148.85636</v>
      </c>
    </row>
    <row r="24" spans="1:3" x14ac:dyDescent="0.2">
      <c r="A24" s="4"/>
    </row>
    <row r="25" spans="1:3" x14ac:dyDescent="0.2">
      <c r="A25" s="9" t="s">
        <v>34</v>
      </c>
    </row>
    <row r="26" spans="1:3" x14ac:dyDescent="0.2">
      <c r="A26" s="2" t="s">
        <v>25</v>
      </c>
      <c r="B26" s="2" t="s">
        <v>16</v>
      </c>
      <c r="C26" s="2" t="s">
        <v>17</v>
      </c>
    </row>
    <row r="27" spans="1:3" x14ac:dyDescent="0.2">
      <c r="A27" s="4">
        <v>127</v>
      </c>
      <c r="B27" t="s">
        <v>18</v>
      </c>
      <c r="C27">
        <f>C18/24</f>
        <v>4.0996666666666664E-3</v>
      </c>
    </row>
    <row r="28" spans="1:3" x14ac:dyDescent="0.2">
      <c r="A28" s="4">
        <v>127</v>
      </c>
      <c r="B28" t="s">
        <v>19</v>
      </c>
      <c r="C28">
        <f>C19</f>
        <v>74.291991999999993</v>
      </c>
    </row>
    <row r="29" spans="1:3" x14ac:dyDescent="0.2">
      <c r="A29" s="4">
        <v>128</v>
      </c>
      <c r="B29" t="s">
        <v>27</v>
      </c>
      <c r="C29">
        <f>B10*B6/B2</f>
        <v>0.15099199999999999</v>
      </c>
    </row>
    <row r="30" spans="1:3" x14ac:dyDescent="0.2">
      <c r="A30" s="4"/>
      <c r="B30" s="11" t="s">
        <v>35</v>
      </c>
      <c r="C30" s="11">
        <f>SUM(C27:C29)</f>
        <v>74.447083666666657</v>
      </c>
    </row>
    <row r="32" spans="1:3" x14ac:dyDescent="0.2">
      <c r="A32" s="1" t="s">
        <v>28</v>
      </c>
    </row>
    <row r="33" spans="1:3" x14ac:dyDescent="0.2">
      <c r="A33" s="2" t="s">
        <v>25</v>
      </c>
      <c r="B33" s="2" t="s">
        <v>16</v>
      </c>
      <c r="C33" s="2" t="s">
        <v>17</v>
      </c>
    </row>
    <row r="34" spans="1:3" x14ac:dyDescent="0.2">
      <c r="A34" s="4">
        <v>148</v>
      </c>
      <c r="B34" s="8" t="s">
        <v>29</v>
      </c>
      <c r="C34">
        <f>B10*B4/B2</f>
        <v>7.5495999999999994E-2</v>
      </c>
    </row>
    <row r="35" spans="1:3" x14ac:dyDescent="0.2">
      <c r="A35" s="4">
        <v>149</v>
      </c>
      <c r="B35" s="8" t="s">
        <v>30</v>
      </c>
      <c r="C35">
        <f>(B3*2+B6*3) * B10/B2</f>
        <v>0.75495999999999996</v>
      </c>
    </row>
    <row r="36" spans="1:3" x14ac:dyDescent="0.2">
      <c r="A36" s="4">
        <v>152</v>
      </c>
      <c r="B36" s="8" t="s">
        <v>31</v>
      </c>
      <c r="C36">
        <f>B4*5/B2</f>
        <v>2.0000000000000002E-5</v>
      </c>
    </row>
    <row r="37" spans="1:3" x14ac:dyDescent="0.2">
      <c r="A37" s="4">
        <v>153</v>
      </c>
      <c r="B37" s="8" t="s">
        <v>32</v>
      </c>
      <c r="C37">
        <f>C34</f>
        <v>7.5495999999999994E-2</v>
      </c>
    </row>
    <row r="38" spans="1:3" x14ac:dyDescent="0.2">
      <c r="A38" s="4">
        <v>154</v>
      </c>
      <c r="B38" s="8" t="s">
        <v>33</v>
      </c>
      <c r="C38">
        <f>C20</f>
        <v>7.5495999999999994E-2</v>
      </c>
    </row>
    <row r="39" spans="1:3" x14ac:dyDescent="0.2">
      <c r="A39" s="4"/>
      <c r="B39" s="10" t="s">
        <v>35</v>
      </c>
      <c r="C39" s="11">
        <f>SUM(C34:C38)</f>
        <v>0.98146800000000001</v>
      </c>
    </row>
    <row r="40" spans="1:3" x14ac:dyDescent="0.2">
      <c r="A40" s="4"/>
      <c r="B40" s="8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2" zoomScale="135" zoomScaleNormal="135" zoomScalePageLayoutView="135" workbookViewId="0">
      <pane ySplit="18" topLeftCell="A20" activePane="bottomLeft" state="frozen"/>
      <selection activeCell="A2" sqref="A2"/>
      <selection pane="bottomLeft" activeCell="D23" sqref="D23"/>
    </sheetView>
  </sheetViews>
  <sheetFormatPr baseColWidth="10" defaultRowHeight="16" x14ac:dyDescent="0.2"/>
  <cols>
    <col min="1" max="1" width="46.83203125" customWidth="1"/>
    <col min="2" max="2" width="20" customWidth="1"/>
    <col min="3" max="3" width="10.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4" t="s">
        <v>3</v>
      </c>
      <c r="B2">
        <f>1000000</f>
        <v>1000000</v>
      </c>
      <c r="C2" s="4"/>
    </row>
    <row r="3" spans="1:3" x14ac:dyDescent="0.2">
      <c r="A3" s="4" t="s">
        <v>4</v>
      </c>
      <c r="B3">
        <v>8</v>
      </c>
      <c r="C3" s="4"/>
    </row>
    <row r="4" spans="1:3" x14ac:dyDescent="0.2">
      <c r="A4" s="4" t="s">
        <v>5</v>
      </c>
      <c r="B4">
        <v>4</v>
      </c>
      <c r="C4" s="4"/>
    </row>
    <row r="5" spans="1:3" x14ac:dyDescent="0.2">
      <c r="A5" s="4" t="s">
        <v>6</v>
      </c>
      <c r="B5">
        <v>8</v>
      </c>
      <c r="C5" s="4"/>
    </row>
    <row r="6" spans="1:3" x14ac:dyDescent="0.2">
      <c r="A6" s="4" t="s">
        <v>7</v>
      </c>
      <c r="B6">
        <v>8</v>
      </c>
      <c r="C6" s="4"/>
    </row>
    <row r="7" spans="1:3" x14ac:dyDescent="0.2">
      <c r="A7" s="4" t="s">
        <v>8</v>
      </c>
      <c r="B7">
        <v>4</v>
      </c>
      <c r="C7" s="4"/>
    </row>
    <row r="8" spans="1:3" x14ac:dyDescent="0.2">
      <c r="A8" s="4" t="s">
        <v>9</v>
      </c>
      <c r="B8">
        <v>24</v>
      </c>
      <c r="C8" s="4">
        <v>20</v>
      </c>
    </row>
    <row r="9" spans="1:3" x14ac:dyDescent="0.2">
      <c r="A9" s="4" t="s">
        <v>10</v>
      </c>
      <c r="B9">
        <v>491</v>
      </c>
      <c r="C9" s="4">
        <v>32</v>
      </c>
    </row>
    <row r="10" spans="1:3" x14ac:dyDescent="0.2">
      <c r="A10" s="4" t="s">
        <v>70</v>
      </c>
      <c r="B10">
        <v>442</v>
      </c>
      <c r="C10" s="4"/>
    </row>
    <row r="11" spans="1:3" x14ac:dyDescent="0.2">
      <c r="A11" s="4" t="s">
        <v>11</v>
      </c>
      <c r="B11">
        <v>18874</v>
      </c>
      <c r="C11" s="4">
        <f>15*B4</f>
        <v>60</v>
      </c>
    </row>
    <row r="12" spans="1:3" x14ac:dyDescent="0.2">
      <c r="A12" s="4" t="s">
        <v>12</v>
      </c>
      <c r="B12">
        <v>2961786</v>
      </c>
      <c r="C12" s="4">
        <f>15*B4</f>
        <v>60</v>
      </c>
    </row>
    <row r="13" spans="1:3" x14ac:dyDescent="0.2">
      <c r="A13" s="4" t="s">
        <v>13</v>
      </c>
      <c r="B13">
        <v>15589</v>
      </c>
      <c r="C13" s="4">
        <v>15</v>
      </c>
    </row>
    <row r="14" spans="1:3" x14ac:dyDescent="0.2">
      <c r="A14" s="4" t="s">
        <v>59</v>
      </c>
      <c r="B14">
        <v>13410</v>
      </c>
      <c r="C14" s="4"/>
    </row>
    <row r="15" spans="1:3" x14ac:dyDescent="0.2">
      <c r="A15" s="4" t="s">
        <v>58</v>
      </c>
      <c r="B15">
        <v>1</v>
      </c>
      <c r="C15" s="4"/>
    </row>
    <row r="16" spans="1:3" x14ac:dyDescent="0.2">
      <c r="A16" s="4" t="s">
        <v>73</v>
      </c>
      <c r="B16">
        <v>5</v>
      </c>
      <c r="C16" s="4"/>
    </row>
    <row r="17" spans="1:3" x14ac:dyDescent="0.2">
      <c r="A17" s="4" t="s">
        <v>60</v>
      </c>
      <c r="B17">
        <v>5</v>
      </c>
      <c r="C17" s="4"/>
    </row>
    <row r="18" spans="1:3" x14ac:dyDescent="0.2">
      <c r="A18" s="4" t="s">
        <v>14</v>
      </c>
      <c r="B18">
        <v>4</v>
      </c>
      <c r="C18" s="4"/>
    </row>
    <row r="19" spans="1:3" x14ac:dyDescent="0.2">
      <c r="A19" s="4" t="s">
        <v>15</v>
      </c>
      <c r="B19" s="5">
        <f>C31+B18*(C55+C44+C64)</f>
        <v>1939.1679840000002</v>
      </c>
      <c r="C19" s="4"/>
    </row>
    <row r="22" spans="1:3" x14ac:dyDescent="0.2">
      <c r="A22" s="13" t="s">
        <v>61</v>
      </c>
    </row>
    <row r="23" spans="1:3" x14ac:dyDescent="0.2">
      <c r="A23" s="2" t="s">
        <v>26</v>
      </c>
      <c r="B23" s="2" t="s">
        <v>16</v>
      </c>
      <c r="C23" s="2" t="s">
        <v>17</v>
      </c>
    </row>
    <row r="24" spans="1:3" x14ac:dyDescent="0.2">
      <c r="A24" s="4">
        <v>33</v>
      </c>
      <c r="B24" s="7" t="s">
        <v>18</v>
      </c>
      <c r="C24">
        <f>(B9*B8*B6+B9*B3+B8*B3)/B2</f>
        <v>9.8391999999999993E-2</v>
      </c>
    </row>
    <row r="25" spans="1:3" x14ac:dyDescent="0.2">
      <c r="A25" s="4">
        <v>34</v>
      </c>
      <c r="B25" s="7" t="s">
        <v>19</v>
      </c>
      <c r="C25">
        <f>(B11*B9*B6+B11*B3+B9*B3)/B2</f>
        <v>74.291991999999993</v>
      </c>
    </row>
    <row r="26" spans="1:3" x14ac:dyDescent="0.2">
      <c r="A26" s="4">
        <v>36</v>
      </c>
      <c r="B26" s="7" t="s">
        <v>22</v>
      </c>
      <c r="C26">
        <f>B11*B4/B2</f>
        <v>7.5495999999999994E-2</v>
      </c>
    </row>
    <row r="27" spans="1:3" x14ac:dyDescent="0.2">
      <c r="A27" s="4">
        <v>37</v>
      </c>
      <c r="B27" s="7" t="s">
        <v>23</v>
      </c>
      <c r="C27">
        <f>B8*B4/B2</f>
        <v>9.6000000000000002E-5</v>
      </c>
    </row>
    <row r="28" spans="1:3" x14ac:dyDescent="0.2">
      <c r="A28" s="4">
        <v>38</v>
      </c>
      <c r="B28" s="7" t="s">
        <v>45</v>
      </c>
      <c r="C28">
        <f>B11*B9*B6/B2</f>
        <v>74.137072000000003</v>
      </c>
    </row>
    <row r="29" spans="1:3" x14ac:dyDescent="0.2">
      <c r="A29" s="4">
        <v>39</v>
      </c>
      <c r="B29" s="7" t="s">
        <v>45</v>
      </c>
      <c r="C29">
        <f>C28+C24</f>
        <v>74.235464000000007</v>
      </c>
    </row>
    <row r="30" spans="1:3" x14ac:dyDescent="0.2">
      <c r="A30" s="4">
        <v>44</v>
      </c>
      <c r="B30" s="7" t="s">
        <v>62</v>
      </c>
      <c r="C30">
        <v>64</v>
      </c>
    </row>
    <row r="31" spans="1:3" x14ac:dyDescent="0.2">
      <c r="B31" s="7" t="s">
        <v>35</v>
      </c>
      <c r="C31">
        <f>SUM(C24:C30)</f>
        <v>286.83851200000004</v>
      </c>
    </row>
    <row r="33" spans="1:3" x14ac:dyDescent="0.2">
      <c r="A33" s="13" t="s">
        <v>65</v>
      </c>
    </row>
    <row r="34" spans="1:3" x14ac:dyDescent="0.2">
      <c r="A34" s="2" t="s">
        <v>26</v>
      </c>
      <c r="B34" s="2" t="s">
        <v>16</v>
      </c>
      <c r="C34" s="2" t="s">
        <v>17</v>
      </c>
    </row>
    <row r="35" spans="1:3" x14ac:dyDescent="0.2">
      <c r="A35" s="4">
        <v>253</v>
      </c>
      <c r="B35" s="7" t="s">
        <v>18</v>
      </c>
      <c r="C35">
        <f>(B9*B8*B6+B9*B3+B8*B3)/B2</f>
        <v>9.8391999999999993E-2</v>
      </c>
    </row>
    <row r="36" spans="1:3" x14ac:dyDescent="0.2">
      <c r="A36" s="4">
        <v>253</v>
      </c>
      <c r="B36" s="7" t="s">
        <v>19</v>
      </c>
      <c r="C36">
        <f>(B11*B9*B6+B11*B3+B9*B3)/B2</f>
        <v>74.291991999999993</v>
      </c>
    </row>
    <row r="37" spans="1:3" x14ac:dyDescent="0.2">
      <c r="A37" s="4">
        <v>254</v>
      </c>
      <c r="B37" s="7" t="s">
        <v>53</v>
      </c>
      <c r="C37">
        <f>B11*B6/B2</f>
        <v>0.15099199999999999</v>
      </c>
    </row>
    <row r="38" spans="1:3" x14ac:dyDescent="0.2">
      <c r="A38" s="4">
        <v>255</v>
      </c>
      <c r="B38" s="7" t="s">
        <v>63</v>
      </c>
      <c r="C38">
        <f>B11*B6/B2</f>
        <v>0.15099199999999999</v>
      </c>
    </row>
    <row r="39" spans="1:3" x14ac:dyDescent="0.2">
      <c r="A39" s="4">
        <v>256</v>
      </c>
      <c r="B39" s="7" t="s">
        <v>64</v>
      </c>
      <c r="C39">
        <f>B11*B6/B2</f>
        <v>0.15099199999999999</v>
      </c>
    </row>
    <row r="40" spans="1:3" x14ac:dyDescent="0.2">
      <c r="A40" s="4">
        <v>267</v>
      </c>
      <c r="B40" s="7" t="s">
        <v>64</v>
      </c>
      <c r="C40">
        <f>B11*B6/B2</f>
        <v>0.15099199999999999</v>
      </c>
    </row>
    <row r="41" spans="1:3" x14ac:dyDescent="0.2">
      <c r="A41" s="4">
        <v>268</v>
      </c>
      <c r="B41" s="7" t="s">
        <v>64</v>
      </c>
      <c r="C41">
        <f>B11*B6/B2</f>
        <v>0.15099199999999999</v>
      </c>
    </row>
    <row r="42" spans="1:3" x14ac:dyDescent="0.2">
      <c r="A42" s="4">
        <v>269</v>
      </c>
      <c r="B42" s="7" t="s">
        <v>71</v>
      </c>
      <c r="C42">
        <f>B11*B6/B2</f>
        <v>0.15099199999999999</v>
      </c>
    </row>
    <row r="43" spans="1:3" x14ac:dyDescent="0.2">
      <c r="A43" s="4">
        <v>270</v>
      </c>
      <c r="B43" s="7" t="s">
        <v>63</v>
      </c>
      <c r="C43">
        <f>B11*B6/B2</f>
        <v>0.15099199999999999</v>
      </c>
    </row>
    <row r="44" spans="1:3" x14ac:dyDescent="0.2">
      <c r="A44" s="4"/>
      <c r="B44" s="7" t="s">
        <v>35</v>
      </c>
      <c r="C44">
        <f>SUM(C35:C43)</f>
        <v>75.447328000000013</v>
      </c>
    </row>
    <row r="45" spans="1:3" x14ac:dyDescent="0.2">
      <c r="A45" s="4"/>
    </row>
    <row r="46" spans="1:3" x14ac:dyDescent="0.2">
      <c r="A46" s="13" t="s">
        <v>66</v>
      </c>
      <c r="B46" s="14"/>
    </row>
    <row r="47" spans="1:3" x14ac:dyDescent="0.2">
      <c r="A47" s="2" t="s">
        <v>26</v>
      </c>
      <c r="B47" s="2" t="s">
        <v>16</v>
      </c>
      <c r="C47" s="2" t="s">
        <v>17</v>
      </c>
    </row>
    <row r="48" spans="1:3" x14ac:dyDescent="0.2">
      <c r="A48" s="4">
        <v>258</v>
      </c>
      <c r="B48" s="7" t="s">
        <v>67</v>
      </c>
      <c r="C48">
        <f>B11*B10*B6/B2</f>
        <v>66.738463999999993</v>
      </c>
    </row>
    <row r="49" spans="1:3" x14ac:dyDescent="0.2">
      <c r="A49" s="4">
        <v>258</v>
      </c>
      <c r="B49" s="7" t="s">
        <v>68</v>
      </c>
      <c r="C49">
        <f>B10*B8/B2</f>
        <v>1.0607999999999999E-2</v>
      </c>
    </row>
    <row r="50" spans="1:3" x14ac:dyDescent="0.2">
      <c r="A50" s="4">
        <v>261</v>
      </c>
      <c r="B50" s="7" t="s">
        <v>69</v>
      </c>
      <c r="C50">
        <f>B9*B6/B2</f>
        <v>3.9280000000000001E-3</v>
      </c>
    </row>
    <row r="51" spans="1:3" x14ac:dyDescent="0.2">
      <c r="A51" s="4">
        <v>262</v>
      </c>
      <c r="B51" s="7" t="s">
        <v>69</v>
      </c>
      <c r="C51">
        <f>B9*B6/B2</f>
        <v>3.9280000000000001E-3</v>
      </c>
    </row>
    <row r="52" spans="1:3" x14ac:dyDescent="0.2">
      <c r="A52" s="4">
        <v>263</v>
      </c>
      <c r="B52" s="7" t="s">
        <v>27</v>
      </c>
      <c r="C52">
        <f>B11*B6/B2</f>
        <v>0.15099199999999999</v>
      </c>
    </row>
    <row r="53" spans="1:3" x14ac:dyDescent="0.2">
      <c r="A53" s="4">
        <v>264</v>
      </c>
      <c r="B53" s="7" t="s">
        <v>63</v>
      </c>
      <c r="C53">
        <f>B11*B6/B2</f>
        <v>0.15099199999999999</v>
      </c>
    </row>
    <row r="54" spans="1:3" x14ac:dyDescent="0.2">
      <c r="A54" s="4">
        <v>265</v>
      </c>
      <c r="B54" s="7" t="s">
        <v>64</v>
      </c>
      <c r="C54">
        <f>B11*B6/B2</f>
        <v>0.15099199999999999</v>
      </c>
    </row>
    <row r="55" spans="1:3" x14ac:dyDescent="0.2">
      <c r="B55" s="7" t="s">
        <v>35</v>
      </c>
      <c r="C55">
        <f xml:space="preserve"> SUM(C48:C54)*B16</f>
        <v>336.04952000000003</v>
      </c>
    </row>
    <row r="58" spans="1:3" x14ac:dyDescent="0.2">
      <c r="A58" s="13" t="s">
        <v>72</v>
      </c>
      <c r="B58" s="14"/>
    </row>
    <row r="59" spans="1:3" x14ac:dyDescent="0.2">
      <c r="A59" s="2" t="s">
        <v>26</v>
      </c>
      <c r="B59" s="2" t="s">
        <v>16</v>
      </c>
      <c r="C59" s="2" t="s">
        <v>17</v>
      </c>
    </row>
    <row r="60" spans="1:3" x14ac:dyDescent="0.2">
      <c r="A60" s="4">
        <v>287</v>
      </c>
      <c r="B60" s="7" t="s">
        <v>29</v>
      </c>
      <c r="C60">
        <f>B11*B4/B2</f>
        <v>7.5495999999999994E-2</v>
      </c>
    </row>
    <row r="61" spans="1:3" x14ac:dyDescent="0.2">
      <c r="A61" s="4">
        <v>288</v>
      </c>
      <c r="B61" s="7" t="s">
        <v>30</v>
      </c>
      <c r="C61">
        <f>B11*B17*B6/B2</f>
        <v>0.75495999999999996</v>
      </c>
    </row>
    <row r="62" spans="1:3" x14ac:dyDescent="0.2">
      <c r="A62" s="4">
        <v>290</v>
      </c>
      <c r="B62" s="15" t="s">
        <v>31</v>
      </c>
      <c r="C62">
        <f>104/B2</f>
        <v>1.0399999999999999E-4</v>
      </c>
    </row>
    <row r="63" spans="1:3" x14ac:dyDescent="0.2">
      <c r="A63" s="4">
        <v>291</v>
      </c>
      <c r="B63" s="7" t="s">
        <v>32</v>
      </c>
      <c r="C63">
        <f>B11*B17*B6/B2</f>
        <v>0.75495999999999996</v>
      </c>
    </row>
    <row r="64" spans="1:3" x14ac:dyDescent="0.2">
      <c r="B64" s="7" t="s">
        <v>50</v>
      </c>
      <c r="C64">
        <f xml:space="preserve"> SUM(C60:C63)</f>
        <v>1.5855199999999998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run_net_correlation</vt:lpstr>
      <vt:lpstr>run_correlation</vt:lpstr>
      <vt:lpstr>run_bootstrap_correlation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2016-12-07T16:29:52Z</dcterms:created>
  <dcterms:modified xsi:type="dcterms:W3CDTF">2016-12-09T23:02:35Z</dcterms:modified>
</cp:coreProperties>
</file>