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7a0ce551f5721cc/Documents/Coding TA/Uji Coba TA/"/>
    </mc:Choice>
  </mc:AlternateContent>
  <xr:revisionPtr revIDLastSave="8" documentId="11_149130ADD3E0D7BB74A80BD04B5ED87656CE6E90" xr6:coauthVersionLast="47" xr6:coauthVersionMax="47" xr10:uidLastSave="{46A16388-A7B3-478C-9E5B-04C7A7F5B00D}"/>
  <bookViews>
    <workbookView xWindow="10140" yWindow="0" windowWidth="10455" windowHeight="116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420" i="1" l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<sst xmlns="http://schemas.openxmlformats.org/spreadsheetml/2006/main" count="12" uniqueCount="10">
  <si>
    <t>Date</t>
  </si>
  <si>
    <t>Pressure</t>
  </si>
  <si>
    <t>O3</t>
  </si>
  <si>
    <t>TCO</t>
  </si>
  <si>
    <t>Month</t>
  </si>
  <si>
    <t>Climatology Mean</t>
  </si>
  <si>
    <t>Climatology Std</t>
  </si>
  <si>
    <t>Anomaly</t>
  </si>
  <si>
    <t>QBO</t>
  </si>
  <si>
    <t>QBO_scal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</si>
</sst>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1"/>
  <sheetViews>
    <sheetView tabSelected="1" topLeftCell="E1" workbookViewId="0">
      <selection activeCell="K4" sqref="K4"/>
    </sheetView>
  </sheetViews>
  <sheetFormatPr defaultRowHeight="15" x14ac:dyDescent="0.25"/>
  <cols>
    <col min="1" max="1" width="14" style="4" customWidth="1"/>
    <col min="11" max="11" width="12" customWidth="1"/>
  </cols>
  <sheetData>
    <row r="1" spans="1:12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</v>
      </c>
      <c r="L1" s="1" t="s">
        <v>8</v>
      </c>
    </row>
    <row r="2" spans="1:12" x14ac:dyDescent="0.25">
      <c r="A2" s="3">
        <f>DATE(1987,1,1)</f>
        <v>31778</v>
      </c>
      <c r="B2">
        <v>25</v>
      </c>
      <c r="C2">
        <v>6.1803339121979704E-6</v>
      </c>
      <c r="D2">
        <v>9.0751488363152344</v>
      </c>
      <c r="E2">
        <v>1</v>
      </c>
      <c r="F2">
        <v>9.6397912031521695</v>
      </c>
      <c r="G2">
        <v>0.58355710709482933</v>
      </c>
      <c r="H2">
        <v>-0.9675871649442177</v>
      </c>
      <c r="I2">
        <v>-289</v>
      </c>
      <c r="J2">
        <v>-1.088991883035717</v>
      </c>
      <c r="K2">
        <v>-0.98089954941811097</v>
      </c>
      <c r="L2">
        <v>-1.088991883035717</v>
      </c>
    </row>
    <row r="3" spans="1:12" x14ac:dyDescent="0.25">
      <c r="A3" s="3">
        <f>DATE(1987,2,1)</f>
        <v>31809</v>
      </c>
      <c r="B3">
        <v>25</v>
      </c>
      <c r="C3">
        <v>6.1136024669394828E-6</v>
      </c>
      <c r="D3">
        <v>8.9771609595456727</v>
      </c>
      <c r="E3">
        <v>2</v>
      </c>
      <c r="F3">
        <v>9.7375638364217298</v>
      </c>
      <c r="G3">
        <v>0.60243313708146806</v>
      </c>
      <c r="H3">
        <v>-1.262219539515846</v>
      </c>
      <c r="I3">
        <v>-280</v>
      </c>
      <c r="J3">
        <v>-1.042609145977452</v>
      </c>
      <c r="K3">
        <v>-1.2794842155813091</v>
      </c>
      <c r="L3">
        <v>-1.042609145977452</v>
      </c>
    </row>
    <row r="4" spans="1:12" x14ac:dyDescent="0.25">
      <c r="A4" s="3">
        <f>DATE(1987,3,1)</f>
        <v>31837</v>
      </c>
      <c r="B4">
        <v>25</v>
      </c>
      <c r="C4">
        <v>6.6491443249105942E-6</v>
      </c>
      <c r="D4">
        <v>9.7635459895797823</v>
      </c>
      <c r="E4">
        <v>3</v>
      </c>
      <c r="F4">
        <v>10.102290150544111</v>
      </c>
      <c r="G4">
        <v>0.58402337655596781</v>
      </c>
      <c r="H4">
        <v>-0.58001815434499837</v>
      </c>
      <c r="I4">
        <v>-309</v>
      </c>
      <c r="J4">
        <v>-1.192064632054086</v>
      </c>
      <c r="K4">
        <v>-0.58813156588195159</v>
      </c>
      <c r="L4">
        <v>-1.192064632054086</v>
      </c>
    </row>
    <row r="5" spans="1:12" x14ac:dyDescent="0.25">
      <c r="A5" s="3">
        <f>DATE(1987,4,1)</f>
        <v>31868</v>
      </c>
      <c r="B5">
        <v>25</v>
      </c>
      <c r="C5">
        <v>7.0283208515320439E-6</v>
      </c>
      <c r="D5">
        <v>10.32032552013801</v>
      </c>
      <c r="E5">
        <v>4</v>
      </c>
      <c r="F5">
        <v>10.4239539327638</v>
      </c>
      <c r="G5">
        <v>0.55440043159667007</v>
      </c>
      <c r="H5">
        <v>-0.18691979067790551</v>
      </c>
      <c r="I5">
        <v>-303</v>
      </c>
      <c r="J5">
        <v>-1.1611428073485759</v>
      </c>
      <c r="K5">
        <v>-0.1897600567920581</v>
      </c>
      <c r="L5">
        <v>-1.1611428073485759</v>
      </c>
    </row>
    <row r="6" spans="1:12" x14ac:dyDescent="0.25">
      <c r="A6" s="3">
        <f>DATE(1987,5,1)</f>
        <v>31898</v>
      </c>
      <c r="B6">
        <v>25</v>
      </c>
      <c r="C6">
        <v>7.1707422648614738E-6</v>
      </c>
      <c r="D6">
        <v>10.529455891054051</v>
      </c>
      <c r="E6">
        <v>5</v>
      </c>
      <c r="F6">
        <v>10.563854595443869</v>
      </c>
      <c r="G6">
        <v>0.54479993746219246</v>
      </c>
      <c r="H6">
        <v>-6.3140066700554262E-2</v>
      </c>
      <c r="I6">
        <v>-289</v>
      </c>
      <c r="J6">
        <v>-1.088991883035717</v>
      </c>
      <c r="K6">
        <v>-6.4319912560504344E-2</v>
      </c>
      <c r="L6">
        <v>-1.088991883035717</v>
      </c>
    </row>
    <row r="7" spans="1:12" x14ac:dyDescent="0.25">
      <c r="A7" s="3">
        <f>DATE(1987,6,1)</f>
        <v>31929</v>
      </c>
      <c r="B7">
        <v>25</v>
      </c>
      <c r="C7">
        <v>7.002958682278404E-6</v>
      </c>
      <c r="D7">
        <v>10.283083930272729</v>
      </c>
      <c r="E7">
        <v>6</v>
      </c>
      <c r="F7">
        <v>10.3971239506839</v>
      </c>
      <c r="G7">
        <v>0.5168192025484809</v>
      </c>
      <c r="H7">
        <v>-0.22065747528116431</v>
      </c>
      <c r="I7">
        <v>-152</v>
      </c>
      <c r="J7">
        <v>-0.38294355225989168</v>
      </c>
      <c r="K7">
        <v>-0.2239503093365364</v>
      </c>
      <c r="L7">
        <v>-0.38294355225989168</v>
      </c>
    </row>
    <row r="8" spans="1:12" x14ac:dyDescent="0.25">
      <c r="A8" s="3">
        <f>DATE(1987,7,1)</f>
        <v>31959</v>
      </c>
      <c r="B8">
        <v>25</v>
      </c>
      <c r="C8">
        <v>7.1377839958586256E-6</v>
      </c>
      <c r="D8">
        <v>10.481060254048449</v>
      </c>
      <c r="E8">
        <v>7</v>
      </c>
      <c r="F8">
        <v>10.22014270149756</v>
      </c>
      <c r="G8">
        <v>0.60227454144232395</v>
      </c>
      <c r="H8">
        <v>0.43322029173944532</v>
      </c>
      <c r="I8">
        <v>21</v>
      </c>
      <c r="J8">
        <v>0.50863572674899793</v>
      </c>
      <c r="K8">
        <v>0.43869878026621423</v>
      </c>
      <c r="L8">
        <v>0.50863572674899793</v>
      </c>
    </row>
    <row r="9" spans="1:12" x14ac:dyDescent="0.25">
      <c r="A9" s="3">
        <f>DATE(1987,8,1)</f>
        <v>31990</v>
      </c>
      <c r="B9">
        <v>25</v>
      </c>
      <c r="C9">
        <v>7.2105358412954956E-6</v>
      </c>
      <c r="D9">
        <v>10.587888434343551</v>
      </c>
      <c r="E9">
        <v>8</v>
      </c>
      <c r="F9">
        <v>10.11625720624791</v>
      </c>
      <c r="G9">
        <v>0.63641538718728341</v>
      </c>
      <c r="H9">
        <v>0.74107452080954761</v>
      </c>
      <c r="I9">
        <v>112</v>
      </c>
      <c r="J9">
        <v>0.97761673478257571</v>
      </c>
      <c r="K9">
        <v>0.75068266305394338</v>
      </c>
      <c r="L9">
        <v>0.97761673478257571</v>
      </c>
    </row>
    <row r="10" spans="1:12" x14ac:dyDescent="0.25">
      <c r="A10" s="3">
        <f>DATE(1987,9,1)</f>
        <v>32021</v>
      </c>
      <c r="B10">
        <v>25</v>
      </c>
      <c r="C10">
        <v>7.4538047556416132E-6</v>
      </c>
      <c r="D10">
        <v>10.945102403087621</v>
      </c>
      <c r="E10">
        <v>9</v>
      </c>
      <c r="F10">
        <v>10.16338429551746</v>
      </c>
      <c r="G10">
        <v>0.67320267224545405</v>
      </c>
      <c r="H10">
        <v>1.1611928172577739</v>
      </c>
      <c r="I10">
        <v>165</v>
      </c>
      <c r="J10">
        <v>1.2507595196812531</v>
      </c>
      <c r="K10">
        <v>1.176436558824651</v>
      </c>
      <c r="L10">
        <v>1.2507595196812531</v>
      </c>
    </row>
    <row r="11" spans="1:12" x14ac:dyDescent="0.25">
      <c r="A11" s="3">
        <f>DATE(1987,10,1)</f>
        <v>32051</v>
      </c>
      <c r="B11">
        <v>25</v>
      </c>
      <c r="C11">
        <v>7.5744083005702123E-6</v>
      </c>
      <c r="D11">
        <v>11.1221956048407</v>
      </c>
      <c r="E11">
        <v>10</v>
      </c>
      <c r="F11">
        <v>10.12630033211884</v>
      </c>
      <c r="G11">
        <v>0.70316297472204004</v>
      </c>
      <c r="H11">
        <v>1.4163078952152359</v>
      </c>
      <c r="I11">
        <v>128</v>
      </c>
      <c r="J11">
        <v>1.060074933997271</v>
      </c>
      <c r="K11">
        <v>1.4349738308942159</v>
      </c>
      <c r="L11">
        <v>1.060074933997271</v>
      </c>
    </row>
    <row r="12" spans="1:12" x14ac:dyDescent="0.25">
      <c r="A12" s="3">
        <f>DATE(1987,11,1)</f>
        <v>32082</v>
      </c>
      <c r="B12">
        <v>25</v>
      </c>
      <c r="C12">
        <v>7.3621927185740788E-6</v>
      </c>
      <c r="D12">
        <v>10.810580080605179</v>
      </c>
      <c r="E12">
        <v>11</v>
      </c>
      <c r="F12">
        <v>10.060733769865241</v>
      </c>
      <c r="G12">
        <v>0.67357937377392463</v>
      </c>
      <c r="H12">
        <v>1.113226354510694</v>
      </c>
      <c r="I12">
        <v>93</v>
      </c>
      <c r="J12">
        <v>0.87969762321512546</v>
      </c>
      <c r="K12">
        <v>1.1278266588189589</v>
      </c>
      <c r="L12">
        <v>0.87969762321512546</v>
      </c>
    </row>
    <row r="13" spans="1:12" x14ac:dyDescent="0.25">
      <c r="A13" s="3">
        <f>DATE(1987,12,1)</f>
        <v>32112</v>
      </c>
      <c r="B13">
        <v>25</v>
      </c>
      <c r="C13">
        <v>6.8765980358875822E-6</v>
      </c>
      <c r="D13">
        <v>10.09753705055051</v>
      </c>
      <c r="E13">
        <v>12</v>
      </c>
      <c r="F13">
        <v>9.8125461093946242</v>
      </c>
      <c r="G13">
        <v>0.57745665677750224</v>
      </c>
      <c r="H13">
        <v>0.49352784804019512</v>
      </c>
      <c r="I13">
        <v>58</v>
      </c>
      <c r="J13">
        <v>0.6993203124329801</v>
      </c>
      <c r="K13">
        <v>0.49981532114655108</v>
      </c>
      <c r="L13">
        <v>0.6993203124329801</v>
      </c>
    </row>
    <row r="14" spans="1:12" x14ac:dyDescent="0.25">
      <c r="A14" s="3">
        <f>DATE(1988,1,1)</f>
        <v>32143</v>
      </c>
      <c r="B14">
        <v>25</v>
      </c>
      <c r="C14">
        <v>7.1746571848052554E-6</v>
      </c>
      <c r="D14">
        <v>10.535204525622481</v>
      </c>
      <c r="E14">
        <v>1</v>
      </c>
      <c r="F14">
        <v>9.6397912031521695</v>
      </c>
      <c r="G14">
        <v>0.58355710709482933</v>
      </c>
      <c r="H14">
        <v>1.534405650422153</v>
      </c>
      <c r="I14">
        <v>60</v>
      </c>
      <c r="J14">
        <v>0.70962758733481701</v>
      </c>
      <c r="K14">
        <v>1.55465578663431</v>
      </c>
      <c r="L14">
        <v>0.70962758733481701</v>
      </c>
    </row>
    <row r="15" spans="1:12" x14ac:dyDescent="0.25">
      <c r="A15" s="3">
        <f>DATE(1988,2,1)</f>
        <v>32174</v>
      </c>
      <c r="B15">
        <v>25</v>
      </c>
      <c r="C15">
        <v>7.0696410148229924E-6</v>
      </c>
      <c r="D15">
        <v>10.380999690358189</v>
      </c>
      <c r="E15">
        <v>2</v>
      </c>
      <c r="F15">
        <v>9.7375638364217298</v>
      </c>
      <c r="G15">
        <v>0.60243313708146806</v>
      </c>
      <c r="H15">
        <v>1.068061855052715</v>
      </c>
      <c r="I15">
        <v>30</v>
      </c>
      <c r="J15">
        <v>0.55501846380726383</v>
      </c>
      <c r="K15">
        <v>1.082056308521592</v>
      </c>
      <c r="L15">
        <v>0.55501846380726383</v>
      </c>
    </row>
    <row r="16" spans="1:12" x14ac:dyDescent="0.25">
      <c r="A16" s="3">
        <f>DATE(1988,3,1)</f>
        <v>32203</v>
      </c>
      <c r="B16">
        <v>25</v>
      </c>
      <c r="C16">
        <v>6.8464614741969854E-6</v>
      </c>
      <c r="D16">
        <v>10.053284784145109</v>
      </c>
      <c r="E16">
        <v>3</v>
      </c>
      <c r="F16">
        <v>10.102290150544111</v>
      </c>
      <c r="G16">
        <v>0.58402337655596781</v>
      </c>
      <c r="H16">
        <v>-8.3909939852044729E-2</v>
      </c>
      <c r="I16">
        <v>39</v>
      </c>
      <c r="J16">
        <v>0.60140120086552973</v>
      </c>
      <c r="K16">
        <v>-8.536839934070399E-2</v>
      </c>
      <c r="L16">
        <v>0.60140120086552973</v>
      </c>
    </row>
    <row r="17" spans="1:12" x14ac:dyDescent="0.25">
      <c r="A17" s="3">
        <f>DATE(1988,4,1)</f>
        <v>32234</v>
      </c>
      <c r="B17">
        <v>25</v>
      </c>
      <c r="C17">
        <v>7.3598030212451704E-6</v>
      </c>
      <c r="D17">
        <v>10.8070710697262</v>
      </c>
      <c r="E17">
        <v>4</v>
      </c>
      <c r="F17">
        <v>10.4239539327638</v>
      </c>
      <c r="G17">
        <v>0.55440043159667007</v>
      </c>
      <c r="H17">
        <v>0.69104768886818102</v>
      </c>
      <c r="I17">
        <v>14</v>
      </c>
      <c r="J17">
        <v>0.47256026459256878</v>
      </c>
      <c r="K17">
        <v>0.69998475541180827</v>
      </c>
      <c r="L17">
        <v>0.47256026459256878</v>
      </c>
    </row>
    <row r="18" spans="1:12" x14ac:dyDescent="0.25">
      <c r="A18" s="3">
        <f>DATE(1988,5,1)</f>
        <v>32264</v>
      </c>
      <c r="B18">
        <v>25</v>
      </c>
      <c r="C18">
        <v>7.3432352110103238E-6</v>
      </c>
      <c r="D18">
        <v>10.78274304054378</v>
      </c>
      <c r="E18">
        <v>5</v>
      </c>
      <c r="F18">
        <v>10.563854595443869</v>
      </c>
      <c r="G18">
        <v>0.54479993746219246</v>
      </c>
      <c r="H18">
        <v>0.40177766194236919</v>
      </c>
      <c r="I18">
        <v>-63</v>
      </c>
      <c r="J18">
        <v>7.573018087184917E-2</v>
      </c>
      <c r="K18">
        <v>0.40683436911688681</v>
      </c>
      <c r="L18">
        <v>7.573018087184917E-2</v>
      </c>
    </row>
    <row r="19" spans="1:12" x14ac:dyDescent="0.25">
      <c r="A19" s="3">
        <f>DATE(1988,6,1)</f>
        <v>32295</v>
      </c>
      <c r="B19">
        <v>25</v>
      </c>
      <c r="C19">
        <v>7.1839690463093584E-6</v>
      </c>
      <c r="D19">
        <v>10.548877982476659</v>
      </c>
      <c r="E19">
        <v>6</v>
      </c>
      <c r="F19">
        <v>10.3971239506839</v>
      </c>
      <c r="G19">
        <v>0.5168192025484809</v>
      </c>
      <c r="H19">
        <v>0.29363079205347792</v>
      </c>
      <c r="I19">
        <v>-204</v>
      </c>
      <c r="J19">
        <v>-0.65093269970765044</v>
      </c>
      <c r="K19">
        <v>0.29723678300871409</v>
      </c>
      <c r="L19">
        <v>-0.65093269970765044</v>
      </c>
    </row>
    <row r="20" spans="1:12" x14ac:dyDescent="0.25">
      <c r="A20" s="3">
        <f>DATE(1988,7,1)</f>
        <v>32325</v>
      </c>
      <c r="B20">
        <v>25</v>
      </c>
      <c r="C20">
        <v>6.7712112468143459E-6</v>
      </c>
      <c r="D20">
        <v>9.9427880014201175</v>
      </c>
      <c r="E20">
        <v>7</v>
      </c>
      <c r="F20">
        <v>10.22014270149756</v>
      </c>
      <c r="G20">
        <v>0.60227454144232395</v>
      </c>
      <c r="H20">
        <v>-0.46051207712223707</v>
      </c>
      <c r="I20">
        <v>-251</v>
      </c>
      <c r="J20">
        <v>-0.89315365990081697</v>
      </c>
      <c r="K20">
        <v>-0.46702239645034621</v>
      </c>
      <c r="L20">
        <v>-0.89315365990081697</v>
      </c>
    </row>
    <row r="21" spans="1:12" x14ac:dyDescent="0.25">
      <c r="A21" s="3">
        <f>DATE(1988,8,1)</f>
        <v>32356</v>
      </c>
      <c r="B21">
        <v>25</v>
      </c>
      <c r="C21">
        <v>6.5722101680876222E-6</v>
      </c>
      <c r="D21">
        <v>9.6505765394361749</v>
      </c>
      <c r="E21">
        <v>8</v>
      </c>
      <c r="F21">
        <v>10.11625720624791</v>
      </c>
      <c r="G21">
        <v>0.63641538718728341</v>
      </c>
      <c r="H21">
        <v>-0.73172439916933907</v>
      </c>
      <c r="I21">
        <v>-224</v>
      </c>
      <c r="J21">
        <v>-0.75400544872601916</v>
      </c>
      <c r="K21">
        <v>-0.74187284611840409</v>
      </c>
      <c r="L21">
        <v>-0.75400544872601916</v>
      </c>
    </row>
    <row r="22" spans="1:12" x14ac:dyDescent="0.25">
      <c r="A22" s="3">
        <f>DATE(1988,9,1)</f>
        <v>32387</v>
      </c>
      <c r="B22">
        <v>25</v>
      </c>
      <c r="C22">
        <v>6.4909413595160004E-6</v>
      </c>
      <c r="D22">
        <v>9.5312421241739447</v>
      </c>
      <c r="E22">
        <v>9</v>
      </c>
      <c r="F22">
        <v>10.16338429551746</v>
      </c>
      <c r="G22">
        <v>0.67320267224545405</v>
      </c>
      <c r="H22">
        <v>-0.93900722234957534</v>
      </c>
      <c r="I22">
        <v>-217</v>
      </c>
      <c r="J22">
        <v>-0.71792998656959006</v>
      </c>
      <c r="K22">
        <v>-0.95193622646016474</v>
      </c>
      <c r="L22">
        <v>-0.71792998656959006</v>
      </c>
    </row>
    <row r="23" spans="1:12" x14ac:dyDescent="0.25">
      <c r="A23" s="3">
        <f>DATE(1988,10,1)</f>
        <v>32417</v>
      </c>
      <c r="B23">
        <v>25</v>
      </c>
      <c r="C23">
        <v>6.6360598793835379E-6</v>
      </c>
      <c r="D23">
        <v>9.7443329029916388</v>
      </c>
      <c r="E23">
        <v>10</v>
      </c>
      <c r="F23">
        <v>10.12630033211884</v>
      </c>
      <c r="G23">
        <v>0.70316297472204004</v>
      </c>
      <c r="H23">
        <v>-0.54321322774168523</v>
      </c>
      <c r="I23">
        <v>-231</v>
      </c>
      <c r="J23">
        <v>-0.79008091088244825</v>
      </c>
      <c r="K23">
        <v>-0.5508329263859052</v>
      </c>
      <c r="L23">
        <v>-0.79008091088244825</v>
      </c>
    </row>
    <row r="24" spans="1:12" x14ac:dyDescent="0.25">
      <c r="A24" s="3">
        <f>DATE(1988,11,1)</f>
        <v>32448</v>
      </c>
      <c r="B24">
        <v>25</v>
      </c>
      <c r="C24">
        <v>6.5590238591539674E-6</v>
      </c>
      <c r="D24">
        <v>9.6312138775032388</v>
      </c>
      <c r="E24">
        <v>11</v>
      </c>
      <c r="F24">
        <v>10.060733769865241</v>
      </c>
      <c r="G24">
        <v>0.67357937377392463</v>
      </c>
      <c r="H24">
        <v>-0.63766782221297569</v>
      </c>
      <c r="I24">
        <v>-232</v>
      </c>
      <c r="J24">
        <v>-0.7952345483333666</v>
      </c>
      <c r="K24">
        <v>-0.64655456457585281</v>
      </c>
      <c r="L24">
        <v>-0.7952345483333666</v>
      </c>
    </row>
    <row r="25" spans="1:12" x14ac:dyDescent="0.25">
      <c r="A25" s="3">
        <f>DATE(1988,12,1)</f>
        <v>32478</v>
      </c>
      <c r="B25">
        <v>25</v>
      </c>
      <c r="C25">
        <v>6.5475574047013652E-6</v>
      </c>
      <c r="D25">
        <v>9.6143766350078419</v>
      </c>
      <c r="E25">
        <v>12</v>
      </c>
      <c r="F25">
        <v>9.8125461093946242</v>
      </c>
      <c r="G25">
        <v>0.57745665677750224</v>
      </c>
      <c r="H25">
        <v>-0.34317636148255248</v>
      </c>
      <c r="I25">
        <v>-248</v>
      </c>
      <c r="J25">
        <v>-0.87769274754806159</v>
      </c>
      <c r="K25">
        <v>-0.34811270251656617</v>
      </c>
      <c r="L25">
        <v>-0.87769274754806159</v>
      </c>
    </row>
    <row r="26" spans="1:12" x14ac:dyDescent="0.25">
      <c r="A26" s="3">
        <f>DATE(1989,1,1)</f>
        <v>32509</v>
      </c>
      <c r="B26">
        <v>25</v>
      </c>
      <c r="C26">
        <v>6.6141146817244589E-6</v>
      </c>
      <c r="D26">
        <v>9.7121087646476845</v>
      </c>
      <c r="E26">
        <v>1</v>
      </c>
      <c r="F26">
        <v>9.6397912031521695</v>
      </c>
      <c r="G26">
        <v>0.58355710709482933</v>
      </c>
      <c r="H26">
        <v>0.1239254232641248</v>
      </c>
      <c r="I26">
        <v>-261</v>
      </c>
      <c r="J26">
        <v>-0.94469003441000132</v>
      </c>
      <c r="K26">
        <v>0.1252549328819467</v>
      </c>
      <c r="L26">
        <v>-0.94469003441000132</v>
      </c>
    </row>
    <row r="27" spans="1:12" x14ac:dyDescent="0.25">
      <c r="A27" s="3">
        <f>DATE(1989,2,1)</f>
        <v>32540</v>
      </c>
      <c r="B27">
        <v>25</v>
      </c>
      <c r="C27">
        <v>6.4738569562905468E-6</v>
      </c>
      <c r="D27">
        <v>9.506155534314356</v>
      </c>
      <c r="E27">
        <v>2</v>
      </c>
      <c r="F27">
        <v>9.7375638364217298</v>
      </c>
      <c r="G27">
        <v>0.60243313708146806</v>
      </c>
      <c r="H27">
        <v>-0.38412279780698733</v>
      </c>
      <c r="I27">
        <v>-205</v>
      </c>
      <c r="J27">
        <v>-0.6560863371585689</v>
      </c>
      <c r="K27">
        <v>-0.38960840725125329</v>
      </c>
      <c r="L27">
        <v>-0.6560863371585689</v>
      </c>
    </row>
    <row r="28" spans="1:12" x14ac:dyDescent="0.25">
      <c r="A28" s="3">
        <f>DATE(1989,3,1)</f>
        <v>32568</v>
      </c>
      <c r="B28">
        <v>25</v>
      </c>
      <c r="C28">
        <v>6.7503337959351484E-6</v>
      </c>
      <c r="D28">
        <v>9.9121317332081951</v>
      </c>
      <c r="E28">
        <v>3</v>
      </c>
      <c r="F28">
        <v>10.102290150544111</v>
      </c>
      <c r="G28">
        <v>0.58402337655596781</v>
      </c>
      <c r="H28">
        <v>-0.32560069505657963</v>
      </c>
      <c r="I28">
        <v>-184</v>
      </c>
      <c r="J28">
        <v>-0.54785995068928173</v>
      </c>
      <c r="K28">
        <v>-0.33030127055826652</v>
      </c>
      <c r="L28">
        <v>-0.54785995068928173</v>
      </c>
    </row>
    <row r="29" spans="1:12" x14ac:dyDescent="0.25">
      <c r="A29" s="3">
        <f>DATE(1989,4,1)</f>
        <v>32599</v>
      </c>
      <c r="B29">
        <v>25</v>
      </c>
      <c r="C29">
        <v>7.2128204919863492E-6</v>
      </c>
      <c r="D29">
        <v>10.5912431956482</v>
      </c>
      <c r="E29">
        <v>4</v>
      </c>
      <c r="F29">
        <v>10.4239539327638</v>
      </c>
      <c r="G29">
        <v>0.55440043159667007</v>
      </c>
      <c r="H29">
        <v>0.30174807476720139</v>
      </c>
      <c r="I29">
        <v>-286</v>
      </c>
      <c r="J29">
        <v>-1.0735309706829621</v>
      </c>
      <c r="K29">
        <v>0.30546295351273051</v>
      </c>
      <c r="L29">
        <v>-1.0735309706829621</v>
      </c>
    </row>
    <row r="30" spans="1:12" x14ac:dyDescent="0.25">
      <c r="A30" s="3">
        <f>DATE(1989,5,1)</f>
        <v>32629</v>
      </c>
      <c r="B30">
        <v>25</v>
      </c>
      <c r="C30">
        <v>7.172716323111672E-6</v>
      </c>
      <c r="D30">
        <v>10.5323545811065</v>
      </c>
      <c r="E30">
        <v>5</v>
      </c>
      <c r="F30">
        <v>10.563854595443869</v>
      </c>
      <c r="G30">
        <v>0.54479993746219246</v>
      </c>
      <c r="H30">
        <v>-5.7819416213786931E-2</v>
      </c>
      <c r="I30">
        <v>-309</v>
      </c>
      <c r="J30">
        <v>-1.192064632054086</v>
      </c>
      <c r="K30">
        <v>-5.892788919011855E-2</v>
      </c>
      <c r="L30">
        <v>-1.192064632054086</v>
      </c>
    </row>
    <row r="31" spans="1:12" x14ac:dyDescent="0.25">
      <c r="A31" s="3">
        <f>DATE(1989,6,1)</f>
        <v>32660</v>
      </c>
      <c r="B31">
        <v>25</v>
      </c>
      <c r="C31">
        <v>7.0598889578832313E-6</v>
      </c>
      <c r="D31">
        <v>10.36667985433543</v>
      </c>
      <c r="E31">
        <v>6</v>
      </c>
      <c r="F31">
        <v>10.3971239506839</v>
      </c>
      <c r="G31">
        <v>0.5168192025484809</v>
      </c>
      <c r="H31">
        <v>-5.8906666390004567E-2</v>
      </c>
      <c r="I31">
        <v>-325</v>
      </c>
      <c r="J31">
        <v>-1.2745228312687811</v>
      </c>
      <c r="K31">
        <v>-6.0029724083089202E-2</v>
      </c>
      <c r="L31">
        <v>-1.2745228312687811</v>
      </c>
    </row>
    <row r="32" spans="1:12" x14ac:dyDescent="0.25">
      <c r="A32" s="3">
        <f>DATE(1989,7,1)</f>
        <v>32690</v>
      </c>
      <c r="B32">
        <v>25</v>
      </c>
      <c r="C32">
        <v>6.8003278101969036E-6</v>
      </c>
      <c r="D32">
        <v>9.9855425111363623</v>
      </c>
      <c r="E32">
        <v>7</v>
      </c>
      <c r="F32">
        <v>10.22014270149756</v>
      </c>
      <c r="G32">
        <v>0.60227454144232395</v>
      </c>
      <c r="H32">
        <v>-0.38952367104773078</v>
      </c>
      <c r="I32">
        <v>-364</v>
      </c>
      <c r="J32">
        <v>-1.4755146918546</v>
      </c>
      <c r="K32">
        <v>-0.39508172950893711</v>
      </c>
      <c r="L32">
        <v>-1.4755146918546</v>
      </c>
    </row>
    <row r="33" spans="1:12" x14ac:dyDescent="0.25">
      <c r="A33" s="3">
        <f>DATE(1989,8,1)</f>
        <v>32721</v>
      </c>
      <c r="B33">
        <v>25</v>
      </c>
      <c r="C33">
        <v>6.7267424128658604E-6</v>
      </c>
      <c r="D33">
        <v>9.8774903504528453</v>
      </c>
      <c r="E33">
        <v>8</v>
      </c>
      <c r="F33">
        <v>10.11625720624791</v>
      </c>
      <c r="G33">
        <v>0.63641538718728341</v>
      </c>
      <c r="H33">
        <v>-0.37517454889066482</v>
      </c>
      <c r="I33">
        <v>-324</v>
      </c>
      <c r="J33">
        <v>-1.2693691938178631</v>
      </c>
      <c r="K33">
        <v>-0.38054012370193202</v>
      </c>
      <c r="L33">
        <v>-1.2693691938178631</v>
      </c>
    </row>
    <row r="34" spans="1:12" x14ac:dyDescent="0.25">
      <c r="A34" s="3">
        <f>DATE(1989,9,1)</f>
        <v>32752</v>
      </c>
      <c r="B34">
        <v>25</v>
      </c>
      <c r="C34">
        <v>6.7413693614071244E-6</v>
      </c>
      <c r="D34">
        <v>9.8989684351192935</v>
      </c>
      <c r="E34">
        <v>9</v>
      </c>
      <c r="F34">
        <v>10.16338429551746</v>
      </c>
      <c r="G34">
        <v>0.67320267224545405</v>
      </c>
      <c r="H34">
        <v>-0.39277304042215511</v>
      </c>
      <c r="I34">
        <v>-316</v>
      </c>
      <c r="J34">
        <v>-1.228140094210515</v>
      </c>
      <c r="K34">
        <v>-0.39837468694891298</v>
      </c>
      <c r="L34">
        <v>-1.228140094210515</v>
      </c>
    </row>
    <row r="35" spans="1:12" x14ac:dyDescent="0.25">
      <c r="A35" s="3">
        <f>DATE(1989,10,1)</f>
        <v>32782</v>
      </c>
      <c r="B35">
        <v>25</v>
      </c>
      <c r="C35">
        <v>6.5996277953672688E-6</v>
      </c>
      <c r="D35">
        <v>9.6908363460803315</v>
      </c>
      <c r="E35">
        <v>10</v>
      </c>
      <c r="F35">
        <v>10.12630033211884</v>
      </c>
      <c r="G35">
        <v>0.70316297472204004</v>
      </c>
      <c r="H35">
        <v>-0.61929311083344563</v>
      </c>
      <c r="I35">
        <v>-311</v>
      </c>
      <c r="J35">
        <v>-1.2023719069559231</v>
      </c>
      <c r="K35">
        <v>-0.62793336902299168</v>
      </c>
      <c r="L35">
        <v>-1.2023719069559231</v>
      </c>
    </row>
    <row r="36" spans="1:12" x14ac:dyDescent="0.25">
      <c r="A36" s="3">
        <f>DATE(1989,11,1)</f>
        <v>32813</v>
      </c>
      <c r="B36">
        <v>25</v>
      </c>
      <c r="C36">
        <v>6.5748617998906411E-6</v>
      </c>
      <c r="D36">
        <v>9.6544701726303312</v>
      </c>
      <c r="E36">
        <v>11</v>
      </c>
      <c r="F36">
        <v>10.060733769865241</v>
      </c>
      <c r="G36">
        <v>0.67357937377392463</v>
      </c>
      <c r="H36">
        <v>-0.60314138623143387</v>
      </c>
      <c r="I36">
        <v>-297</v>
      </c>
      <c r="J36">
        <v>-1.1302209826430649</v>
      </c>
      <c r="K36">
        <v>-0.61156498009335236</v>
      </c>
      <c r="L36">
        <v>-1.1302209826430649</v>
      </c>
    </row>
    <row r="37" spans="1:12" x14ac:dyDescent="0.25">
      <c r="A37" s="3">
        <f>DATE(1989,12,1)</f>
        <v>32843</v>
      </c>
      <c r="B37">
        <v>25</v>
      </c>
      <c r="C37">
        <v>6.8761428337893449E-6</v>
      </c>
      <c r="D37">
        <v>10.09686863572847</v>
      </c>
      <c r="E37">
        <v>12</v>
      </c>
      <c r="F37">
        <v>9.8125461093946242</v>
      </c>
      <c r="G37">
        <v>0.57745665677750224</v>
      </c>
      <c r="H37">
        <v>0.49237033290170668</v>
      </c>
      <c r="I37">
        <v>-147</v>
      </c>
      <c r="J37">
        <v>-0.35717536500529962</v>
      </c>
      <c r="K37">
        <v>0.49864227873494599</v>
      </c>
      <c r="L37">
        <v>-0.35717536500529962</v>
      </c>
    </row>
    <row r="38" spans="1:12" x14ac:dyDescent="0.25">
      <c r="A38" s="3">
        <f>DATE(1990,1,1)</f>
        <v>32874</v>
      </c>
      <c r="B38">
        <v>25</v>
      </c>
      <c r="C38">
        <v>7.017646112217335E-6</v>
      </c>
      <c r="D38">
        <v>10.30465082530014</v>
      </c>
      <c r="E38">
        <v>1</v>
      </c>
      <c r="F38">
        <v>9.6397912031521695</v>
      </c>
      <c r="G38">
        <v>0.58355710709482933</v>
      </c>
      <c r="H38">
        <v>1.1393222943644641</v>
      </c>
      <c r="I38">
        <v>64</v>
      </c>
      <c r="J38">
        <v>0.73024213713849073</v>
      </c>
      <c r="K38">
        <v>1.1542726578398801</v>
      </c>
      <c r="L38">
        <v>0.73024213713849073</v>
      </c>
    </row>
    <row r="39" spans="1:12" x14ac:dyDescent="0.25">
      <c r="A39" s="3">
        <f>DATE(1990,2,1)</f>
        <v>32905</v>
      </c>
      <c r="B39">
        <v>25</v>
      </c>
      <c r="C39">
        <v>7.1823365033196751E-6</v>
      </c>
      <c r="D39">
        <v>10.546480770477521</v>
      </c>
      <c r="E39">
        <v>2</v>
      </c>
      <c r="F39">
        <v>9.7375638364217298</v>
      </c>
      <c r="G39">
        <v>0.60243313708146806</v>
      </c>
      <c r="H39">
        <v>1.3427497331482281</v>
      </c>
      <c r="I39">
        <v>79</v>
      </c>
      <c r="J39">
        <v>0.80754669890226738</v>
      </c>
      <c r="K39">
        <v>1.36042893644299</v>
      </c>
      <c r="L39">
        <v>0.80754669890226738</v>
      </c>
    </row>
    <row r="40" spans="1:12" x14ac:dyDescent="0.25">
      <c r="A40" s="3">
        <f>DATE(1990,3,1)</f>
        <v>32933</v>
      </c>
      <c r="B40">
        <v>25</v>
      </c>
      <c r="C40">
        <v>7.5388607001514174E-6</v>
      </c>
      <c r="D40">
        <v>11.069997815990209</v>
      </c>
      <c r="E40">
        <v>3</v>
      </c>
      <c r="F40">
        <v>10.102290150544111</v>
      </c>
      <c r="G40">
        <v>0.58402337655596781</v>
      </c>
      <c r="H40">
        <v>1.6569673480413569</v>
      </c>
      <c r="I40">
        <v>177</v>
      </c>
      <c r="J40">
        <v>1.3126031690922739</v>
      </c>
      <c r="K40">
        <v>1.6788615655180159</v>
      </c>
      <c r="L40">
        <v>1.3126031690922739</v>
      </c>
    </row>
    <row r="41" spans="1:12" x14ac:dyDescent="0.25">
      <c r="A41" s="3">
        <f>DATE(1990,4,1)</f>
        <v>32964</v>
      </c>
      <c r="B41">
        <v>25</v>
      </c>
      <c r="C41">
        <v>7.8921111708041281E-6</v>
      </c>
      <c r="D41">
        <v>11.58870775031019</v>
      </c>
      <c r="E41">
        <v>4</v>
      </c>
      <c r="F41">
        <v>10.4239539327638</v>
      </c>
      <c r="G41">
        <v>0.55440043159667007</v>
      </c>
      <c r="H41">
        <v>2.1009251637699959</v>
      </c>
      <c r="I41">
        <v>152</v>
      </c>
      <c r="J41">
        <v>1.1837622328193129</v>
      </c>
      <c r="K41">
        <v>2.128774771399101</v>
      </c>
      <c r="L41">
        <v>1.1837622328193129</v>
      </c>
    </row>
    <row r="42" spans="1:12" x14ac:dyDescent="0.25">
      <c r="A42" s="3">
        <f>DATE(1990,5,1)</f>
        <v>32994</v>
      </c>
      <c r="B42">
        <v>25</v>
      </c>
      <c r="C42">
        <v>7.9430074038100429E-6</v>
      </c>
      <c r="D42">
        <v>11.6634433384351</v>
      </c>
      <c r="E42">
        <v>5</v>
      </c>
      <c r="F42">
        <v>10.563854595443869</v>
      </c>
      <c r="G42">
        <v>0.54479993746219246</v>
      </c>
      <c r="H42">
        <v>2.018334928805928</v>
      </c>
      <c r="I42">
        <v>160</v>
      </c>
      <c r="J42">
        <v>1.224991332426661</v>
      </c>
      <c r="K42">
        <v>2.0450766449765041</v>
      </c>
      <c r="L42">
        <v>1.224991332426661</v>
      </c>
    </row>
    <row r="43" spans="1:12" x14ac:dyDescent="0.25">
      <c r="A43" s="3">
        <f>DATE(1990,6,1)</f>
        <v>33025</v>
      </c>
      <c r="B43">
        <v>25</v>
      </c>
      <c r="C43">
        <v>7.5914135777566116E-6</v>
      </c>
      <c r="D43">
        <v>11.14716600670925</v>
      </c>
      <c r="E43">
        <v>6</v>
      </c>
      <c r="F43">
        <v>10.3971239506839</v>
      </c>
      <c r="G43">
        <v>0.5168192025484809</v>
      </c>
      <c r="H43">
        <v>1.451265843697032</v>
      </c>
      <c r="I43">
        <v>185</v>
      </c>
      <c r="J43">
        <v>1.353832268699622</v>
      </c>
      <c r="K43">
        <v>1.470400716321737</v>
      </c>
      <c r="L43">
        <v>1.353832268699622</v>
      </c>
    </row>
    <row r="44" spans="1:12" x14ac:dyDescent="0.25">
      <c r="A44" s="3">
        <f>DATE(1990,7,1)</f>
        <v>33055</v>
      </c>
      <c r="B44">
        <v>25</v>
      </c>
      <c r="C44">
        <v>7.4245999712729827E-6</v>
      </c>
      <c r="D44">
        <v>10.902218350438829</v>
      </c>
      <c r="E44">
        <v>7</v>
      </c>
      <c r="F44">
        <v>10.22014270149756</v>
      </c>
      <c r="G44">
        <v>0.60227454144232395</v>
      </c>
      <c r="H44">
        <v>1.132499552957748</v>
      </c>
      <c r="I44">
        <v>158</v>
      </c>
      <c r="J44">
        <v>1.2146840575248239</v>
      </c>
      <c r="K44">
        <v>1.147358394028227</v>
      </c>
      <c r="L44">
        <v>1.2146840575248239</v>
      </c>
    </row>
    <row r="45" spans="1:12" x14ac:dyDescent="0.25">
      <c r="A45" s="3">
        <f>DATE(1990,8,1)</f>
        <v>33086</v>
      </c>
      <c r="B45">
        <v>25</v>
      </c>
      <c r="C45">
        <v>7.1673675847705454E-6</v>
      </c>
      <c r="D45">
        <v>10.52450054001069</v>
      </c>
      <c r="E45">
        <v>8</v>
      </c>
      <c r="F45">
        <v>10.11625720624791</v>
      </c>
      <c r="G45">
        <v>0.63641538718728341</v>
      </c>
      <c r="H45">
        <v>0.64147307243317908</v>
      </c>
      <c r="I45">
        <v>154</v>
      </c>
      <c r="J45">
        <v>1.1940695077211501</v>
      </c>
      <c r="K45">
        <v>0.64974512943745677</v>
      </c>
      <c r="L45">
        <v>1.1940695077211501</v>
      </c>
    </row>
    <row r="46" spans="1:12" x14ac:dyDescent="0.25">
      <c r="A46" s="3">
        <f>DATE(1990,9,1)</f>
        <v>33117</v>
      </c>
      <c r="B46">
        <v>25</v>
      </c>
      <c r="C46">
        <v>7.2575553531351034E-6</v>
      </c>
      <c r="D46">
        <v>10.656931478654331</v>
      </c>
      <c r="E46">
        <v>9</v>
      </c>
      <c r="F46">
        <v>10.16338429551746</v>
      </c>
      <c r="G46">
        <v>0.67320267224545405</v>
      </c>
      <c r="H46">
        <v>0.73313313135055413</v>
      </c>
      <c r="I46">
        <v>134</v>
      </c>
      <c r="J46">
        <v>1.0909967587027809</v>
      </c>
      <c r="K46">
        <v>0.74263474529224793</v>
      </c>
      <c r="L46">
        <v>1.0909967587027809</v>
      </c>
    </row>
    <row r="47" spans="1:12" x14ac:dyDescent="0.25">
      <c r="A47" s="3">
        <f>DATE(1990,10,1)</f>
        <v>33147</v>
      </c>
      <c r="B47">
        <v>25</v>
      </c>
      <c r="C47">
        <v>7.2668976827117149E-6</v>
      </c>
      <c r="D47">
        <v>10.67064967456254</v>
      </c>
      <c r="E47">
        <v>10</v>
      </c>
      <c r="F47">
        <v>10.12630033211884</v>
      </c>
      <c r="G47">
        <v>0.70316297472204004</v>
      </c>
      <c r="H47">
        <v>0.77414392112849506</v>
      </c>
      <c r="I47">
        <v>119</v>
      </c>
      <c r="J47">
        <v>1.0136921969390049</v>
      </c>
      <c r="K47">
        <v>0.78419566673796182</v>
      </c>
      <c r="L47">
        <v>1.0136921969390049</v>
      </c>
    </row>
    <row r="48" spans="1:12" x14ac:dyDescent="0.25">
      <c r="A48" s="3">
        <f>DATE(1990,11,1)</f>
        <v>33178</v>
      </c>
      <c r="B48">
        <v>25</v>
      </c>
      <c r="C48">
        <v>7.2190891842183191E-6</v>
      </c>
      <c r="D48">
        <v>10.60044808907668</v>
      </c>
      <c r="E48">
        <v>11</v>
      </c>
      <c r="F48">
        <v>10.060733769865241</v>
      </c>
      <c r="G48">
        <v>0.67357937377392463</v>
      </c>
      <c r="H48">
        <v>0.80126313278795402</v>
      </c>
      <c r="I48">
        <v>110</v>
      </c>
      <c r="J48">
        <v>0.96730945988073891</v>
      </c>
      <c r="K48">
        <v>0.8116786640552851</v>
      </c>
      <c r="L48">
        <v>0.96730945988073891</v>
      </c>
    </row>
    <row r="49" spans="1:12" x14ac:dyDescent="0.25">
      <c r="A49" s="3">
        <f>DATE(1990,12,1)</f>
        <v>33208</v>
      </c>
      <c r="B49">
        <v>25</v>
      </c>
      <c r="C49">
        <v>7.1094418672146284E-6</v>
      </c>
      <c r="D49">
        <v>10.43944291760088</v>
      </c>
      <c r="E49">
        <v>12</v>
      </c>
      <c r="F49">
        <v>9.8125461093946242</v>
      </c>
      <c r="G49">
        <v>0.57745665677750224</v>
      </c>
      <c r="H49">
        <v>1.0856170776602601</v>
      </c>
      <c r="I49">
        <v>90</v>
      </c>
      <c r="J49">
        <v>0.86423671086237008</v>
      </c>
      <c r="K49">
        <v>1.0998470224216359</v>
      </c>
      <c r="L49">
        <v>0.86423671086237008</v>
      </c>
    </row>
    <row r="50" spans="1:12" x14ac:dyDescent="0.25">
      <c r="A50" s="3">
        <f>DATE(1991,1,1)</f>
        <v>33239</v>
      </c>
      <c r="B50">
        <v>25</v>
      </c>
      <c r="C50">
        <v>6.7360210778133478E-6</v>
      </c>
      <c r="D50">
        <v>9.8911150617705559</v>
      </c>
      <c r="E50">
        <v>1</v>
      </c>
      <c r="F50">
        <v>9.6397912031521695</v>
      </c>
      <c r="G50">
        <v>0.58355710709482933</v>
      </c>
      <c r="H50">
        <v>0.43067568805660289</v>
      </c>
      <c r="I50">
        <v>83</v>
      </c>
      <c r="J50">
        <v>0.8281612487059411</v>
      </c>
      <c r="K50">
        <v>0.43612004246707109</v>
      </c>
      <c r="L50">
        <v>0.8281612487059411</v>
      </c>
    </row>
    <row r="51" spans="1:12" x14ac:dyDescent="0.25">
      <c r="A51" s="3">
        <f>DATE(1991,2,1)</f>
        <v>33270</v>
      </c>
      <c r="B51">
        <v>25</v>
      </c>
      <c r="C51">
        <v>6.7730902628682088E-6</v>
      </c>
      <c r="D51">
        <v>9.945547132333898</v>
      </c>
      <c r="E51">
        <v>2</v>
      </c>
      <c r="F51">
        <v>9.7375638364217298</v>
      </c>
      <c r="G51">
        <v>0.60243313708146806</v>
      </c>
      <c r="H51">
        <v>0.34523880429247072</v>
      </c>
      <c r="I51">
        <v>113</v>
      </c>
      <c r="J51">
        <v>0.98277037223349417</v>
      </c>
      <c r="K51">
        <v>0.34953708139964917</v>
      </c>
      <c r="L51">
        <v>0.98277037223349417</v>
      </c>
    </row>
    <row r="52" spans="1:12" x14ac:dyDescent="0.25">
      <c r="A52" s="3">
        <f>DATE(1991,3,1)</f>
        <v>33298</v>
      </c>
      <c r="B52">
        <v>25</v>
      </c>
      <c r="C52">
        <v>7.2725451900623739E-6</v>
      </c>
      <c r="D52">
        <v>10.6789424254866</v>
      </c>
      <c r="E52">
        <v>3</v>
      </c>
      <c r="F52">
        <v>10.102290150544111</v>
      </c>
      <c r="G52">
        <v>0.58402337655596781</v>
      </c>
      <c r="H52">
        <v>0.98737875586942325</v>
      </c>
      <c r="I52">
        <v>103</v>
      </c>
      <c r="J52">
        <v>0.93123399772430981</v>
      </c>
      <c r="K52">
        <v>1.0002909008005929</v>
      </c>
      <c r="L52">
        <v>0.93123399772430981</v>
      </c>
    </row>
    <row r="53" spans="1:12" x14ac:dyDescent="0.25">
      <c r="A53" s="3">
        <f>DATE(1991,4,1)</f>
        <v>33329</v>
      </c>
      <c r="B53">
        <v>25</v>
      </c>
      <c r="C53">
        <v>7.1324111559079029E-6</v>
      </c>
      <c r="D53">
        <v>10.47317082235767</v>
      </c>
      <c r="E53">
        <v>4</v>
      </c>
      <c r="F53">
        <v>10.4239539327638</v>
      </c>
      <c r="G53">
        <v>0.55440043159667007</v>
      </c>
      <c r="H53">
        <v>8.8774984269268498E-2</v>
      </c>
      <c r="I53">
        <v>-26</v>
      </c>
      <c r="J53">
        <v>0.26641476655583141</v>
      </c>
      <c r="K53">
        <v>8.9632974812917543E-2</v>
      </c>
      <c r="L53">
        <v>0.26641476655583141</v>
      </c>
    </row>
    <row r="54" spans="1:12" x14ac:dyDescent="0.25">
      <c r="A54" s="3">
        <f>DATE(1991,5,1)</f>
        <v>33359</v>
      </c>
      <c r="B54">
        <v>25</v>
      </c>
      <c r="C54">
        <v>7.0633814175380394E-6</v>
      </c>
      <c r="D54">
        <v>10.37180815187121</v>
      </c>
      <c r="E54">
        <v>5</v>
      </c>
      <c r="F54">
        <v>10.563854595443869</v>
      </c>
      <c r="G54">
        <v>0.54479993746219246</v>
      </c>
      <c r="H54">
        <v>-0.35250819680203838</v>
      </c>
      <c r="I54">
        <v>-214</v>
      </c>
      <c r="J54">
        <v>-0.7024690742168348</v>
      </c>
      <c r="K54">
        <v>-0.35756971801803561</v>
      </c>
      <c r="L54">
        <v>-0.7024690742168348</v>
      </c>
    </row>
    <row r="55" spans="1:12" x14ac:dyDescent="0.25">
      <c r="A55" s="3">
        <f>DATE(1991,6,1)</f>
        <v>33390</v>
      </c>
      <c r="B55">
        <v>25</v>
      </c>
      <c r="C55">
        <v>7.0335618147510104E-6</v>
      </c>
      <c r="D55">
        <v>10.32802130517705</v>
      </c>
      <c r="E55">
        <v>6</v>
      </c>
      <c r="F55">
        <v>10.3971239506839</v>
      </c>
      <c r="G55">
        <v>0.5168192025484809</v>
      </c>
      <c r="H55">
        <v>-0.13370758123169799</v>
      </c>
      <c r="I55">
        <v>-276</v>
      </c>
      <c r="J55">
        <v>-1.021994596173778</v>
      </c>
      <c r="K55">
        <v>-0.13583404198665039</v>
      </c>
      <c r="L55">
        <v>-1.021994596173778</v>
      </c>
    </row>
    <row r="56" spans="1:12" x14ac:dyDescent="0.25">
      <c r="A56" s="3">
        <f>DATE(1991,7,1)</f>
        <v>33420</v>
      </c>
      <c r="B56">
        <v>25</v>
      </c>
      <c r="C56">
        <v>6.7767737164103892E-6</v>
      </c>
      <c r="D56">
        <v>9.9509558836411642</v>
      </c>
      <c r="E56">
        <v>7</v>
      </c>
      <c r="F56">
        <v>10.22014270149756</v>
      </c>
      <c r="G56">
        <v>0.60227454144232395</v>
      </c>
      <c r="H56">
        <v>-0.44695035126630722</v>
      </c>
      <c r="I56">
        <v>-270</v>
      </c>
      <c r="J56">
        <v>-0.99107277146826722</v>
      </c>
      <c r="K56">
        <v>-0.45327874932678408</v>
      </c>
      <c r="L56">
        <v>-0.99107277146826722</v>
      </c>
    </row>
    <row r="57" spans="1:12" x14ac:dyDescent="0.25">
      <c r="A57" s="3">
        <f>DATE(1991,8,1)</f>
        <v>33451</v>
      </c>
      <c r="B57">
        <v>25</v>
      </c>
      <c r="C57">
        <v>6.4077571551024448E-6</v>
      </c>
      <c r="D57">
        <v>9.4090951582319367</v>
      </c>
      <c r="E57">
        <v>8</v>
      </c>
      <c r="F57">
        <v>10.11625720624791</v>
      </c>
      <c r="G57">
        <v>0.63641538718728341</v>
      </c>
      <c r="H57">
        <v>-1.1111642839771141</v>
      </c>
      <c r="I57">
        <v>-298</v>
      </c>
      <c r="J57">
        <v>-1.135374620093984</v>
      </c>
      <c r="K57">
        <v>-1.126402657206047</v>
      </c>
      <c r="L57">
        <v>-1.135374620093984</v>
      </c>
    </row>
    <row r="58" spans="1:12" x14ac:dyDescent="0.25">
      <c r="A58" s="3">
        <f>DATE(1991,9,1)</f>
        <v>33482</v>
      </c>
      <c r="B58">
        <v>25</v>
      </c>
      <c r="C58">
        <v>6.4202181420114357E-6</v>
      </c>
      <c r="D58">
        <v>9.4273927635802934</v>
      </c>
      <c r="E58">
        <v>9</v>
      </c>
      <c r="F58">
        <v>10.16338429551746</v>
      </c>
      <c r="G58">
        <v>0.67320267224545405</v>
      </c>
      <c r="H58">
        <v>-1.0932688806511739</v>
      </c>
      <c r="I58">
        <v>-265</v>
      </c>
      <c r="J58">
        <v>-0.96530458421367504</v>
      </c>
      <c r="K58">
        <v>-1.108267199296167</v>
      </c>
      <c r="L58">
        <v>-0.96530458421367504</v>
      </c>
    </row>
    <row r="59" spans="1:12" x14ac:dyDescent="0.25">
      <c r="A59" s="3">
        <f>DATE(1991,10,1)</f>
        <v>33512</v>
      </c>
      <c r="B59">
        <v>25</v>
      </c>
      <c r="C59">
        <v>6.4921714511001483E-6</v>
      </c>
      <c r="D59">
        <v>9.5330483800117403</v>
      </c>
      <c r="E59">
        <v>10</v>
      </c>
      <c r="F59">
        <v>10.12630033211884</v>
      </c>
      <c r="G59">
        <v>0.70316297472204004</v>
      </c>
      <c r="H59">
        <v>-0.84369054320815895</v>
      </c>
      <c r="I59">
        <v>-250</v>
      </c>
      <c r="J59">
        <v>-0.88800002244989851</v>
      </c>
      <c r="K59">
        <v>-0.8553409393244481</v>
      </c>
      <c r="L59">
        <v>-0.88800002244989851</v>
      </c>
    </row>
    <row r="60" spans="1:12" x14ac:dyDescent="0.25">
      <c r="A60" s="3">
        <f>DATE(1991,11,1)</f>
        <v>33543</v>
      </c>
      <c r="B60">
        <v>25</v>
      </c>
      <c r="C60">
        <v>6.3873462750052568E-6</v>
      </c>
      <c r="D60">
        <v>9.3791239985189332</v>
      </c>
      <c r="E60">
        <v>11</v>
      </c>
      <c r="F60">
        <v>10.060733769865241</v>
      </c>
      <c r="G60">
        <v>0.67357937377392463</v>
      </c>
      <c r="H60">
        <v>-1.0119219766593901</v>
      </c>
      <c r="I60">
        <v>-242</v>
      </c>
      <c r="J60">
        <v>-0.84677092284255095</v>
      </c>
      <c r="K60">
        <v>-1.025829082279629</v>
      </c>
      <c r="L60">
        <v>-0.84677092284255095</v>
      </c>
    </row>
    <row r="61" spans="1:12" x14ac:dyDescent="0.25">
      <c r="A61" s="3">
        <f>DATE(1991,12,1)</f>
        <v>33573</v>
      </c>
      <c r="B61">
        <v>25</v>
      </c>
      <c r="C61">
        <v>6.5121739680762403E-6</v>
      </c>
      <c r="D61">
        <v>9.5624199028514187</v>
      </c>
      <c r="E61">
        <v>12</v>
      </c>
      <c r="F61">
        <v>9.8125461093946242</v>
      </c>
      <c r="G61">
        <v>0.57745665677750224</v>
      </c>
      <c r="H61">
        <v>-0.43315148177360208</v>
      </c>
      <c r="I61">
        <v>-298</v>
      </c>
      <c r="J61">
        <v>-1.135374620093984</v>
      </c>
      <c r="K61">
        <v>-0.43929477744691442</v>
      </c>
      <c r="L61">
        <v>-1.135374620093984</v>
      </c>
    </row>
    <row r="62" spans="1:12" x14ac:dyDescent="0.25">
      <c r="A62" s="3">
        <f>DATE(1992,1,1)</f>
        <v>33604</v>
      </c>
      <c r="B62">
        <v>25</v>
      </c>
      <c r="C62">
        <v>6.5592607825237792E-6</v>
      </c>
      <c r="D62">
        <v>9.6315617737292989</v>
      </c>
      <c r="E62">
        <v>1</v>
      </c>
      <c r="F62">
        <v>9.6397912031521695</v>
      </c>
      <c r="G62">
        <v>0.58355710709482933</v>
      </c>
      <c r="H62">
        <v>-1.4102183527229899E-2</v>
      </c>
      <c r="I62">
        <v>-278</v>
      </c>
      <c r="J62">
        <v>-1.0323018710756151</v>
      </c>
      <c r="K62">
        <v>-1.462421975707366E-2</v>
      </c>
      <c r="L62">
        <v>-1.0323018710756151</v>
      </c>
    </row>
    <row r="63" spans="1:12" x14ac:dyDescent="0.25">
      <c r="A63" s="3">
        <f>DATE(1992,2,1)</f>
        <v>33635</v>
      </c>
      <c r="B63">
        <v>25</v>
      </c>
      <c r="C63">
        <v>6.820163889642572E-6</v>
      </c>
      <c r="D63">
        <v>10.0146696385466</v>
      </c>
      <c r="E63">
        <v>2</v>
      </c>
      <c r="F63">
        <v>9.7375638364217298</v>
      </c>
      <c r="G63">
        <v>0.60243313708146806</v>
      </c>
      <c r="H63">
        <v>0.45997768892217622</v>
      </c>
      <c r="I63">
        <v>-283</v>
      </c>
      <c r="J63">
        <v>-1.058070058330207</v>
      </c>
      <c r="K63">
        <v>0.46581510961331218</v>
      </c>
      <c r="L63">
        <v>-1.058070058330207</v>
      </c>
    </row>
    <row r="64" spans="1:12" x14ac:dyDescent="0.25">
      <c r="A64" s="3">
        <f>DATE(1992,3,1)</f>
        <v>33664</v>
      </c>
      <c r="B64">
        <v>25</v>
      </c>
      <c r="C64">
        <v>7.0756918830738869E-6</v>
      </c>
      <c r="D64">
        <v>10.38988473293775</v>
      </c>
      <c r="E64">
        <v>3</v>
      </c>
      <c r="F64">
        <v>10.102290150544111</v>
      </c>
      <c r="G64">
        <v>0.58402337655596781</v>
      </c>
      <c r="H64">
        <v>0.49243676527061181</v>
      </c>
      <c r="I64">
        <v>-282</v>
      </c>
      <c r="J64">
        <v>-1.0529164208792881</v>
      </c>
      <c r="K64">
        <v>0.49870960224859873</v>
      </c>
      <c r="L64">
        <v>-1.0529164208792881</v>
      </c>
    </row>
    <row r="65" spans="1:12" x14ac:dyDescent="0.25">
      <c r="A65" s="3">
        <f>DATE(1992,4,1)</f>
        <v>33695</v>
      </c>
      <c r="B65">
        <v>25</v>
      </c>
      <c r="C65">
        <v>6.9332832026702818E-6</v>
      </c>
      <c r="D65">
        <v>10.18077305893981</v>
      </c>
      <c r="E65">
        <v>4</v>
      </c>
      <c r="F65">
        <v>10.4239539327638</v>
      </c>
      <c r="G65">
        <v>0.55440043159667007</v>
      </c>
      <c r="H65">
        <v>-0.4386375983215422</v>
      </c>
      <c r="I65">
        <v>-288</v>
      </c>
      <c r="J65">
        <v>-1.083838245584799</v>
      </c>
      <c r="K65">
        <v>-0.44485448649240111</v>
      </c>
      <c r="L65">
        <v>-1.083838245584799</v>
      </c>
    </row>
    <row r="66" spans="1:12" x14ac:dyDescent="0.25">
      <c r="A66" s="3">
        <f>DATE(1992,5,1)</f>
        <v>33725</v>
      </c>
      <c r="B66">
        <v>25</v>
      </c>
      <c r="C66">
        <v>6.7810397013090551E-6</v>
      </c>
      <c r="D66">
        <v>9.9572200189514657</v>
      </c>
      <c r="E66">
        <v>5</v>
      </c>
      <c r="F66">
        <v>10.563854595443869</v>
      </c>
      <c r="G66">
        <v>0.54479993746219246</v>
      </c>
      <c r="H66">
        <v>-1.1134997175628421</v>
      </c>
      <c r="I66">
        <v>-290</v>
      </c>
      <c r="J66">
        <v>-1.0941455204866359</v>
      </c>
      <c r="K66">
        <v>-1.128769419034426</v>
      </c>
      <c r="L66">
        <v>-1.0941455204866359</v>
      </c>
    </row>
    <row r="67" spans="1:12" x14ac:dyDescent="0.25">
      <c r="A67" s="3">
        <f>DATE(1992,6,1)</f>
        <v>33756</v>
      </c>
      <c r="B67">
        <v>25</v>
      </c>
      <c r="C67">
        <v>6.7371997829468464E-6</v>
      </c>
      <c r="D67">
        <v>9.8928458621888815</v>
      </c>
      <c r="E67">
        <v>6</v>
      </c>
      <c r="F67">
        <v>10.3971239506839</v>
      </c>
      <c r="G67">
        <v>0.5168192025484809</v>
      </c>
      <c r="H67">
        <v>-0.97573404008283915</v>
      </c>
      <c r="I67">
        <v>-29</v>
      </c>
      <c r="J67">
        <v>0.25095385420307598</v>
      </c>
      <c r="K67">
        <v>-0.98915570930914554</v>
      </c>
      <c r="L67">
        <v>0.25095385420307598</v>
      </c>
    </row>
    <row r="68" spans="1:12" x14ac:dyDescent="0.25">
      <c r="A68" s="3">
        <f>DATE(1992,7,1)</f>
        <v>33786</v>
      </c>
      <c r="B68">
        <v>25</v>
      </c>
      <c r="C68">
        <v>6.7480987127055414E-6</v>
      </c>
      <c r="D68">
        <v>9.9088497563347122</v>
      </c>
      <c r="E68">
        <v>7</v>
      </c>
      <c r="F68">
        <v>10.22014270149756</v>
      </c>
      <c r="G68">
        <v>0.60227454144232395</v>
      </c>
      <c r="H68">
        <v>-0.51686220111075931</v>
      </c>
      <c r="I68">
        <v>60</v>
      </c>
      <c r="J68">
        <v>0.70962758733481701</v>
      </c>
      <c r="K68">
        <v>-0.52412841877335237</v>
      </c>
      <c r="L68">
        <v>0.70962758733481701</v>
      </c>
    </row>
    <row r="69" spans="1:12" x14ac:dyDescent="0.25">
      <c r="A69" s="3">
        <f>DATE(1992,8,1)</f>
        <v>33817</v>
      </c>
      <c r="B69">
        <v>25</v>
      </c>
      <c r="C69">
        <v>6.7823089011653792E-6</v>
      </c>
      <c r="D69">
        <v>9.9590837010377111</v>
      </c>
      <c r="E69">
        <v>8</v>
      </c>
      <c r="F69">
        <v>10.11625720624791</v>
      </c>
      <c r="G69">
        <v>0.63641538718728341</v>
      </c>
      <c r="H69">
        <v>-0.2469668527419627</v>
      </c>
      <c r="I69">
        <v>106</v>
      </c>
      <c r="J69">
        <v>0.94669491007706508</v>
      </c>
      <c r="K69">
        <v>-0.25061260908385852</v>
      </c>
      <c r="L69">
        <v>0.94669491007706508</v>
      </c>
    </row>
    <row r="70" spans="1:12" x14ac:dyDescent="0.25">
      <c r="A70" s="3">
        <f>DATE(1992,9,1)</f>
        <v>33848</v>
      </c>
      <c r="B70">
        <v>25</v>
      </c>
      <c r="C70">
        <v>6.9748289206472691E-6</v>
      </c>
      <c r="D70">
        <v>10.241778431709159</v>
      </c>
      <c r="E70">
        <v>9</v>
      </c>
      <c r="F70">
        <v>10.16338429551746</v>
      </c>
      <c r="G70">
        <v>0.67320267224545405</v>
      </c>
      <c r="H70">
        <v>0.1164495321003659</v>
      </c>
      <c r="I70">
        <v>119</v>
      </c>
      <c r="J70">
        <v>1.0136921969390049</v>
      </c>
      <c r="K70">
        <v>0.1176787577564236</v>
      </c>
      <c r="L70">
        <v>1.0136921969390049</v>
      </c>
    </row>
    <row r="71" spans="1:12" x14ac:dyDescent="0.25">
      <c r="A71" s="3">
        <f>DATE(1992,10,1)</f>
        <v>33878</v>
      </c>
      <c r="B71">
        <v>25</v>
      </c>
      <c r="C71">
        <v>7.0041987783042714E-6</v>
      </c>
      <c r="D71">
        <v>10.28490487654617</v>
      </c>
      <c r="E71">
        <v>10</v>
      </c>
      <c r="F71">
        <v>10.12630033211884</v>
      </c>
      <c r="G71">
        <v>0.70316297472204004</v>
      </c>
      <c r="H71">
        <v>0.22555872554299811</v>
      </c>
      <c r="I71">
        <v>163</v>
      </c>
      <c r="J71">
        <v>1.240452244779416</v>
      </c>
      <c r="K71">
        <v>0.22825157632997789</v>
      </c>
      <c r="L71">
        <v>1.240452244779416</v>
      </c>
    </row>
    <row r="72" spans="1:12" x14ac:dyDescent="0.25">
      <c r="A72" s="3">
        <f>DATE(1992,11,1)</f>
        <v>33909</v>
      </c>
      <c r="B72">
        <v>25</v>
      </c>
      <c r="C72">
        <v>7.3615310611785389E-6</v>
      </c>
      <c r="D72">
        <v>10.80960850861109</v>
      </c>
      <c r="E72">
        <v>11</v>
      </c>
      <c r="F72">
        <v>10.060733769865241</v>
      </c>
      <c r="G72">
        <v>0.67357937377392463</v>
      </c>
      <c r="H72">
        <v>1.1117839528696729</v>
      </c>
      <c r="I72">
        <v>170</v>
      </c>
      <c r="J72">
        <v>1.2765277069358449</v>
      </c>
      <c r="K72">
        <v>1.126364908347431</v>
      </c>
      <c r="L72">
        <v>1.2765277069358449</v>
      </c>
    </row>
    <row r="73" spans="1:12" x14ac:dyDescent="0.25">
      <c r="A73" s="3">
        <f>DATE(1992,12,1)</f>
        <v>33939</v>
      </c>
      <c r="B73">
        <v>25</v>
      </c>
      <c r="C73">
        <v>7.3922415140259554E-6</v>
      </c>
      <c r="D73">
        <v>10.85470347182512</v>
      </c>
      <c r="E73">
        <v>12</v>
      </c>
      <c r="F73">
        <v>9.8125461093946242</v>
      </c>
      <c r="G73">
        <v>0.57745665677750224</v>
      </c>
      <c r="H73">
        <v>1.804736944667426</v>
      </c>
      <c r="I73">
        <v>196</v>
      </c>
      <c r="J73">
        <v>1.410522280659724</v>
      </c>
      <c r="K73">
        <v>1.8286133901157531</v>
      </c>
      <c r="L73">
        <v>1.410522280659724</v>
      </c>
    </row>
    <row r="74" spans="1:12" x14ac:dyDescent="0.25">
      <c r="A74" s="3">
        <f>DATE(1993,1,1)</f>
        <v>33970</v>
      </c>
      <c r="B74">
        <v>25</v>
      </c>
      <c r="C74">
        <v>7.4357062658236828E-6</v>
      </c>
      <c r="D74">
        <v>10.918526737250851</v>
      </c>
      <c r="E74">
        <v>1</v>
      </c>
      <c r="F74">
        <v>9.6397912031521695</v>
      </c>
      <c r="G74">
        <v>0.58355710709482933</v>
      </c>
      <c r="H74">
        <v>2.1912774577705272</v>
      </c>
      <c r="I74">
        <v>177</v>
      </c>
      <c r="J74">
        <v>1.3126031690922739</v>
      </c>
      <c r="K74">
        <v>2.2203390795660209</v>
      </c>
      <c r="L74">
        <v>1.3126031690922739</v>
      </c>
    </row>
    <row r="75" spans="1:12" x14ac:dyDescent="0.25">
      <c r="A75" s="3">
        <f>DATE(1993,2,1)</f>
        <v>34001</v>
      </c>
      <c r="B75">
        <v>25</v>
      </c>
      <c r="C75">
        <v>7.2071366048476193E-6</v>
      </c>
      <c r="D75">
        <v>10.58289702495814</v>
      </c>
      <c r="E75">
        <v>2</v>
      </c>
      <c r="F75">
        <v>9.7375638364217298</v>
      </c>
      <c r="G75">
        <v>0.60243313708146806</v>
      </c>
      <c r="H75">
        <v>1.4031983576329961</v>
      </c>
      <c r="I75">
        <v>190</v>
      </c>
      <c r="J75">
        <v>1.3796004559542141</v>
      </c>
      <c r="K75">
        <v>1.4216884378404551</v>
      </c>
      <c r="L75">
        <v>1.3796004559542141</v>
      </c>
    </row>
    <row r="76" spans="1:12" x14ac:dyDescent="0.25">
      <c r="A76" s="3">
        <f>DATE(1993,3,1)</f>
        <v>34029</v>
      </c>
      <c r="B76">
        <v>25</v>
      </c>
      <c r="C76">
        <v>7.1654471867077518E-6</v>
      </c>
      <c r="D76">
        <v>10.52168064411309</v>
      </c>
      <c r="E76">
        <v>3</v>
      </c>
      <c r="F76">
        <v>10.102290150544111</v>
      </c>
      <c r="G76">
        <v>0.58402337655596781</v>
      </c>
      <c r="H76">
        <v>0.71810566221194805</v>
      </c>
      <c r="I76">
        <v>192</v>
      </c>
      <c r="J76">
        <v>1.389907730856051</v>
      </c>
      <c r="K76">
        <v>0.7274056929433601</v>
      </c>
      <c r="L76">
        <v>1.389907730856051</v>
      </c>
    </row>
    <row r="77" spans="1:12" x14ac:dyDescent="0.25">
      <c r="A77" s="3">
        <f>DATE(1993,4,1)</f>
        <v>34060</v>
      </c>
      <c r="B77">
        <v>25</v>
      </c>
      <c r="C77">
        <v>7.3749183684412864E-6</v>
      </c>
      <c r="D77">
        <v>10.82926631475117</v>
      </c>
      <c r="E77">
        <v>4</v>
      </c>
      <c r="F77">
        <v>10.4239539327638</v>
      </c>
      <c r="G77">
        <v>0.55440043159667007</v>
      </c>
      <c r="H77">
        <v>0.73108237094995165</v>
      </c>
      <c r="I77">
        <v>80</v>
      </c>
      <c r="J77">
        <v>0.81270033635318573</v>
      </c>
      <c r="K77">
        <v>0.74055647534487745</v>
      </c>
      <c r="L77">
        <v>0.81270033635318573</v>
      </c>
    </row>
    <row r="78" spans="1:12" x14ac:dyDescent="0.25">
      <c r="A78" s="3">
        <f>DATE(1993,5,1)</f>
        <v>34090</v>
      </c>
      <c r="B78">
        <v>25</v>
      </c>
      <c r="C78">
        <v>7.504244422307238E-6</v>
      </c>
      <c r="D78">
        <v>11.019167573149261</v>
      </c>
      <c r="E78">
        <v>5</v>
      </c>
      <c r="F78">
        <v>10.563854595443869</v>
      </c>
      <c r="G78">
        <v>0.54479993746219246</v>
      </c>
      <c r="H78">
        <v>0.83574344708324622</v>
      </c>
      <c r="I78">
        <v>57</v>
      </c>
      <c r="J78">
        <v>0.69416667498206175</v>
      </c>
      <c r="K78">
        <v>0.84662150816069104</v>
      </c>
      <c r="L78">
        <v>0.69416667498206175</v>
      </c>
    </row>
    <row r="79" spans="1:12" x14ac:dyDescent="0.25">
      <c r="A79" s="3">
        <f>DATE(1993,6,1)</f>
        <v>34121</v>
      </c>
      <c r="B79">
        <v>25</v>
      </c>
      <c r="C79">
        <v>6.8347799242474139E-6</v>
      </c>
      <c r="D79">
        <v>10.036131697283251</v>
      </c>
      <c r="E79">
        <v>6</v>
      </c>
      <c r="F79">
        <v>10.3971239506839</v>
      </c>
      <c r="G79">
        <v>0.5168192025484809</v>
      </c>
      <c r="H79">
        <v>-0.69848846873445603</v>
      </c>
      <c r="I79">
        <v>-44</v>
      </c>
      <c r="J79">
        <v>0.1736492924392995</v>
      </c>
      <c r="K79">
        <v>-0.70819107843095586</v>
      </c>
      <c r="L79">
        <v>0.1736492924392995</v>
      </c>
    </row>
    <row r="80" spans="1:12" x14ac:dyDescent="0.25">
      <c r="A80" s="3">
        <f>DATE(1993,7,1)</f>
        <v>34151</v>
      </c>
      <c r="B80">
        <v>25</v>
      </c>
      <c r="C80">
        <v>6.3694019445392769E-6</v>
      </c>
      <c r="D80">
        <v>9.3527746989405749</v>
      </c>
      <c r="E80">
        <v>7</v>
      </c>
      <c r="F80">
        <v>10.22014270149756</v>
      </c>
      <c r="G80">
        <v>0.60227454144232395</v>
      </c>
      <c r="H80">
        <v>-1.4401538548845541</v>
      </c>
      <c r="I80">
        <v>-187</v>
      </c>
      <c r="J80">
        <v>-0.56332086304203699</v>
      </c>
      <c r="K80">
        <v>-1.459805397972034</v>
      </c>
      <c r="L80">
        <v>-0.56332086304203699</v>
      </c>
    </row>
    <row r="81" spans="1:12" x14ac:dyDescent="0.25">
      <c r="A81" s="3">
        <f>DATE(1993,8,1)</f>
        <v>34182</v>
      </c>
      <c r="B81">
        <v>25</v>
      </c>
      <c r="C81">
        <v>6.2334902395377867E-6</v>
      </c>
      <c r="D81">
        <v>9.1532031274027457</v>
      </c>
      <c r="E81">
        <v>8</v>
      </c>
      <c r="F81">
        <v>10.11625720624791</v>
      </c>
      <c r="G81">
        <v>0.63641538718728341</v>
      </c>
      <c r="H81">
        <v>-1.513247633910147</v>
      </c>
      <c r="I81">
        <v>-176</v>
      </c>
      <c r="J81">
        <v>-0.50663085108193417</v>
      </c>
      <c r="K81">
        <v>-1.5338796800012731</v>
      </c>
      <c r="L81">
        <v>-0.50663085108193417</v>
      </c>
    </row>
    <row r="82" spans="1:12" x14ac:dyDescent="0.25">
      <c r="A82" s="3">
        <f>DATE(1993,9,1)</f>
        <v>34213</v>
      </c>
      <c r="B82">
        <v>25</v>
      </c>
      <c r="C82">
        <v>6.3699999373056926E-6</v>
      </c>
      <c r="D82">
        <v>9.3536527863441616</v>
      </c>
      <c r="E82">
        <v>9</v>
      </c>
      <c r="F82">
        <v>10.16338429551746</v>
      </c>
      <c r="G82">
        <v>0.67320267224545405</v>
      </c>
      <c r="H82">
        <v>-1.2028049539263641</v>
      </c>
      <c r="I82">
        <v>-195</v>
      </c>
      <c r="J82">
        <v>-0.60454996264938454</v>
      </c>
      <c r="K82">
        <v>-1.2192726240029801</v>
      </c>
      <c r="L82">
        <v>-0.60454996264938454</v>
      </c>
    </row>
    <row r="83" spans="1:12" x14ac:dyDescent="0.25">
      <c r="A83" s="3">
        <f>DATE(1993,10,1)</f>
        <v>34243</v>
      </c>
      <c r="B83">
        <v>25</v>
      </c>
      <c r="C83">
        <v>6.3605029936297797E-6</v>
      </c>
      <c r="D83">
        <v>9.3397075564304668</v>
      </c>
      <c r="E83">
        <v>10</v>
      </c>
      <c r="F83">
        <v>10.12630033211884</v>
      </c>
      <c r="G83">
        <v>0.70316297472204004</v>
      </c>
      <c r="H83">
        <v>-1.118649308859466</v>
      </c>
      <c r="I83">
        <v>-253</v>
      </c>
      <c r="J83">
        <v>-0.90346093480265377</v>
      </c>
      <c r="K83">
        <v>-1.133988088572744</v>
      </c>
      <c r="L83">
        <v>-0.90346093480265377</v>
      </c>
    </row>
    <row r="84" spans="1:12" x14ac:dyDescent="0.25">
      <c r="A84" s="3">
        <f>DATE(1993,11,1)</f>
        <v>34274</v>
      </c>
      <c r="B84">
        <v>25</v>
      </c>
      <c r="C84">
        <v>6.2391936808126047E-6</v>
      </c>
      <c r="D84">
        <v>9.1615780112170313</v>
      </c>
      <c r="E84">
        <v>11</v>
      </c>
      <c r="F84">
        <v>10.060733769865241</v>
      </c>
      <c r="G84">
        <v>0.67357937377392463</v>
      </c>
      <c r="H84">
        <v>-1.334892061213846</v>
      </c>
      <c r="I84">
        <v>-260</v>
      </c>
      <c r="J84">
        <v>-0.93953639695908286</v>
      </c>
      <c r="K84">
        <v>-1.3531315894043101</v>
      </c>
      <c r="L84">
        <v>-0.93953639695908286</v>
      </c>
    </row>
    <row r="85" spans="1:12" x14ac:dyDescent="0.25">
      <c r="A85" s="3">
        <f>DATE(1993,12,1)</f>
        <v>34304</v>
      </c>
      <c r="B85">
        <v>25</v>
      </c>
      <c r="C85">
        <v>5.9574758779490367E-6</v>
      </c>
      <c r="D85">
        <v>8.7479060272841522</v>
      </c>
      <c r="E85">
        <v>12</v>
      </c>
      <c r="F85">
        <v>9.8125461093946242</v>
      </c>
      <c r="G85">
        <v>0.57745665677750224</v>
      </c>
      <c r="H85">
        <v>-1.84367098312053</v>
      </c>
      <c r="I85">
        <v>-297</v>
      </c>
      <c r="J85">
        <v>-1.1302209826430649</v>
      </c>
      <c r="K85">
        <v>-1.8687354322245331</v>
      </c>
      <c r="L85">
        <v>-1.1302209826430649</v>
      </c>
    </row>
    <row r="86" spans="1:12" x14ac:dyDescent="0.25">
      <c r="A86" s="3">
        <f>DATE(1994,1,1)</f>
        <v>34335</v>
      </c>
      <c r="B86">
        <v>25</v>
      </c>
      <c r="C86">
        <v>5.9750691434601322E-6</v>
      </c>
      <c r="D86">
        <v>8.7737398261206341</v>
      </c>
      <c r="E86">
        <v>1</v>
      </c>
      <c r="F86">
        <v>9.6397912031521695</v>
      </c>
      <c r="G86">
        <v>0.58355710709482933</v>
      </c>
      <c r="H86">
        <v>-1.4840901884360049</v>
      </c>
      <c r="I86">
        <v>-332</v>
      </c>
      <c r="J86">
        <v>-1.3105982934252101</v>
      </c>
      <c r="K86">
        <v>-1.504331107358073</v>
      </c>
      <c r="L86">
        <v>-1.3105982934252101</v>
      </c>
    </row>
    <row r="87" spans="1:12" x14ac:dyDescent="0.25">
      <c r="A87" s="3">
        <f>DATE(1994,2,1)</f>
        <v>34366</v>
      </c>
      <c r="B87">
        <v>25</v>
      </c>
      <c r="C87">
        <v>6.1258488130988553E-6</v>
      </c>
      <c r="D87">
        <v>8.9951433882746432</v>
      </c>
      <c r="E87">
        <v>2</v>
      </c>
      <c r="F87">
        <v>9.7375638364217298</v>
      </c>
      <c r="G87">
        <v>0.60243313708146806</v>
      </c>
      <c r="H87">
        <v>-1.2323698721883021</v>
      </c>
      <c r="I87">
        <v>-301</v>
      </c>
      <c r="J87">
        <v>-1.150835532446739</v>
      </c>
      <c r="K87">
        <v>-1.249234135402457</v>
      </c>
      <c r="L87">
        <v>-1.150835532446739</v>
      </c>
    </row>
    <row r="88" spans="1:12" x14ac:dyDescent="0.25">
      <c r="A88" s="3">
        <f>DATE(1994,3,1)</f>
        <v>34394</v>
      </c>
      <c r="B88">
        <v>25</v>
      </c>
      <c r="C88">
        <v>6.3593042796128429E-6</v>
      </c>
      <c r="D88">
        <v>9.3379473751408426</v>
      </c>
      <c r="E88">
        <v>3</v>
      </c>
      <c r="F88">
        <v>10.102290150544111</v>
      </c>
      <c r="G88">
        <v>0.58402337655596781</v>
      </c>
      <c r="H88">
        <v>-1.308753735014266</v>
      </c>
      <c r="I88">
        <v>-316</v>
      </c>
      <c r="J88">
        <v>-1.228140094210515</v>
      </c>
      <c r="K88">
        <v>-1.326642635453769</v>
      </c>
      <c r="L88">
        <v>-1.228140094210515</v>
      </c>
    </row>
    <row r="89" spans="1:12" x14ac:dyDescent="0.25">
      <c r="A89" s="3">
        <f>DATE(1994,4,1)</f>
        <v>34425</v>
      </c>
      <c r="B89">
        <v>25</v>
      </c>
      <c r="C89">
        <v>6.5305653151881424E-6</v>
      </c>
      <c r="D89">
        <v>9.5894255978044765</v>
      </c>
      <c r="E89">
        <v>4</v>
      </c>
      <c r="F89">
        <v>10.4239539327638</v>
      </c>
      <c r="G89">
        <v>0.55440043159667007</v>
      </c>
      <c r="H89">
        <v>-1.505280817613879</v>
      </c>
      <c r="I89">
        <v>-315</v>
      </c>
      <c r="J89">
        <v>-1.2229864567595969</v>
      </c>
      <c r="K89">
        <v>-1.525805994318689</v>
      </c>
      <c r="L89">
        <v>-1.2229864567595969</v>
      </c>
    </row>
    <row r="90" spans="1:12" x14ac:dyDescent="0.25">
      <c r="A90" s="3">
        <f>DATE(1994,5,1)</f>
        <v>34455</v>
      </c>
      <c r="B90">
        <v>25</v>
      </c>
      <c r="C90">
        <v>6.7791497713187709E-6</v>
      </c>
      <c r="D90">
        <v>9.954444862107886</v>
      </c>
      <c r="E90">
        <v>5</v>
      </c>
      <c r="F90">
        <v>10.563854595443869</v>
      </c>
      <c r="G90">
        <v>0.54479993746219246</v>
      </c>
      <c r="H90">
        <v>-1.1185936183744081</v>
      </c>
      <c r="I90">
        <v>-326</v>
      </c>
      <c r="J90">
        <v>-1.2796764687197</v>
      </c>
      <c r="K90">
        <v>-1.1339316510379569</v>
      </c>
      <c r="L90">
        <v>-1.2796764687197</v>
      </c>
    </row>
    <row r="91" spans="1:12" x14ac:dyDescent="0.25">
      <c r="A91" s="3">
        <f>DATE(1994,6,1)</f>
        <v>34486</v>
      </c>
      <c r="B91">
        <v>25</v>
      </c>
      <c r="C91">
        <v>6.5265053308394272E-6</v>
      </c>
      <c r="D91">
        <v>9.583463951919132</v>
      </c>
      <c r="E91">
        <v>6</v>
      </c>
      <c r="F91">
        <v>10.3971239506839</v>
      </c>
      <c r="G91">
        <v>0.5168192025484809</v>
      </c>
      <c r="H91">
        <v>-1.5743610042981011</v>
      </c>
      <c r="I91">
        <v>-341</v>
      </c>
      <c r="J91">
        <v>-1.356981030483476</v>
      </c>
      <c r="K91">
        <v>-1.5958128444131121</v>
      </c>
      <c r="L91">
        <v>-1.356981030483476</v>
      </c>
    </row>
    <row r="92" spans="1:12" x14ac:dyDescent="0.25">
      <c r="A92" s="3">
        <f>DATE(1994,7,1)</f>
        <v>34516</v>
      </c>
      <c r="B92">
        <v>25</v>
      </c>
      <c r="C92">
        <v>6.3733114075148478E-6</v>
      </c>
      <c r="D92">
        <v>9.3585153205441021</v>
      </c>
      <c r="E92">
        <v>7</v>
      </c>
      <c r="F92">
        <v>10.22014270149756</v>
      </c>
      <c r="G92">
        <v>0.60227454144232395</v>
      </c>
      <c r="H92">
        <v>-1.4306222854614481</v>
      </c>
      <c r="I92">
        <v>-349</v>
      </c>
      <c r="J92">
        <v>-1.3982101300908241</v>
      </c>
      <c r="K92">
        <v>-1.450145969070687</v>
      </c>
      <c r="L92">
        <v>-1.3982101300908241</v>
      </c>
    </row>
    <row r="93" spans="1:12" x14ac:dyDescent="0.25">
      <c r="A93" s="3">
        <f>DATE(1994,8,1)</f>
        <v>34547</v>
      </c>
      <c r="B93">
        <v>25</v>
      </c>
      <c r="C93">
        <v>6.4530049712629989E-6</v>
      </c>
      <c r="D93">
        <v>9.4755366599386335</v>
      </c>
      <c r="E93">
        <v>8</v>
      </c>
      <c r="F93">
        <v>10.11625720624791</v>
      </c>
      <c r="G93">
        <v>0.63641538718728341</v>
      </c>
      <c r="H93">
        <v>-1.0067646999250319</v>
      </c>
      <c r="I93">
        <v>-263</v>
      </c>
      <c r="J93">
        <v>-0.95499730931183824</v>
      </c>
      <c r="K93">
        <v>-1.020602624208691</v>
      </c>
      <c r="L93">
        <v>-0.95499730931183824</v>
      </c>
    </row>
    <row r="94" spans="1:12" x14ac:dyDescent="0.25">
      <c r="A94" s="3">
        <f>DATE(1994,9,1)</f>
        <v>34578</v>
      </c>
      <c r="B94">
        <v>25</v>
      </c>
      <c r="C94">
        <v>6.8884091888321564E-6</v>
      </c>
      <c r="D94">
        <v>10.11488044532874</v>
      </c>
      <c r="E94">
        <v>9</v>
      </c>
      <c r="F94">
        <v>10.16338429551746</v>
      </c>
      <c r="G94">
        <v>0.67320267224545405</v>
      </c>
      <c r="H94">
        <v>-7.2049402339619345E-2</v>
      </c>
      <c r="I94">
        <v>-57</v>
      </c>
      <c r="J94">
        <v>0.10665200557735981</v>
      </c>
      <c r="K94">
        <v>-7.334876083759484E-2</v>
      </c>
      <c r="L94">
        <v>0.10665200557735981</v>
      </c>
    </row>
    <row r="95" spans="1:12" x14ac:dyDescent="0.25">
      <c r="A95" s="3">
        <f>DATE(1994,10,1)</f>
        <v>34608</v>
      </c>
      <c r="B95">
        <v>25</v>
      </c>
      <c r="C95">
        <v>7.256831850099843E-6</v>
      </c>
      <c r="D95">
        <v>10.655869093058049</v>
      </c>
      <c r="E95">
        <v>10</v>
      </c>
      <c r="F95">
        <v>10.12630033211884</v>
      </c>
      <c r="G95">
        <v>0.70316297472204004</v>
      </c>
      <c r="H95">
        <v>0.75312378492133258</v>
      </c>
      <c r="I95">
        <v>87</v>
      </c>
      <c r="J95">
        <v>0.84877579850961482</v>
      </c>
      <c r="K95">
        <v>0.7628935597945351</v>
      </c>
      <c r="L95">
        <v>0.84877579850961482</v>
      </c>
    </row>
    <row r="96" spans="1:12" x14ac:dyDescent="0.25">
      <c r="A96" s="3">
        <f>DATE(1994,11,1)</f>
        <v>34639</v>
      </c>
      <c r="B96">
        <v>25</v>
      </c>
      <c r="C96">
        <v>7.0043670348240994E-6</v>
      </c>
      <c r="D96">
        <v>10.28515194296391</v>
      </c>
      <c r="E96">
        <v>11</v>
      </c>
      <c r="F96">
        <v>10.060733769865241</v>
      </c>
      <c r="G96">
        <v>0.67357937377392463</v>
      </c>
      <c r="H96">
        <v>0.33317257302774128</v>
      </c>
      <c r="I96">
        <v>143</v>
      </c>
      <c r="J96">
        <v>1.137379495761047</v>
      </c>
      <c r="K96">
        <v>0.33730898990337238</v>
      </c>
      <c r="L96">
        <v>1.137379495761047</v>
      </c>
    </row>
    <row r="97" spans="1:12" x14ac:dyDescent="0.25">
      <c r="A97" s="3">
        <f>DATE(1994,12,1)</f>
        <v>34669</v>
      </c>
      <c r="B97">
        <v>25</v>
      </c>
      <c r="C97">
        <v>6.9473030634981106E-6</v>
      </c>
      <c r="D97">
        <v>10.201359701261159</v>
      </c>
      <c r="E97">
        <v>12</v>
      </c>
      <c r="F97">
        <v>9.8125461093946242</v>
      </c>
      <c r="G97">
        <v>0.57745665677750224</v>
      </c>
      <c r="H97">
        <v>0.67332082382825065</v>
      </c>
      <c r="I97">
        <v>181</v>
      </c>
      <c r="J97">
        <v>1.333217718895948</v>
      </c>
      <c r="K97">
        <v>0.68202009661365948</v>
      </c>
      <c r="L97">
        <v>1.333217718895948</v>
      </c>
    </row>
    <row r="98" spans="1:12" x14ac:dyDescent="0.25">
      <c r="A98" s="3">
        <f>DATE(1995,1,1)</f>
        <v>34700</v>
      </c>
      <c r="B98">
        <v>25</v>
      </c>
      <c r="C98">
        <v>6.6384782257955521E-6</v>
      </c>
      <c r="D98">
        <v>9.7478839819363348</v>
      </c>
      <c r="E98">
        <v>1</v>
      </c>
      <c r="F98">
        <v>9.6397912031521695</v>
      </c>
      <c r="G98">
        <v>0.58355710709482933</v>
      </c>
      <c r="H98">
        <v>0.18523084968032091</v>
      </c>
      <c r="I98">
        <v>186</v>
      </c>
      <c r="J98">
        <v>1.35898590615054</v>
      </c>
      <c r="K98">
        <v>0.1873827296221596</v>
      </c>
      <c r="L98">
        <v>1.35898590615054</v>
      </c>
    </row>
    <row r="99" spans="1:12" x14ac:dyDescent="0.25">
      <c r="A99" s="3">
        <f>DATE(1995,2,1)</f>
        <v>34731</v>
      </c>
      <c r="B99">
        <v>25</v>
      </c>
      <c r="C99">
        <v>6.5688218455761671E-6</v>
      </c>
      <c r="D99">
        <v>9.6456011559805663</v>
      </c>
      <c r="E99">
        <v>2</v>
      </c>
      <c r="F99">
        <v>9.7375638364217298</v>
      </c>
      <c r="G99">
        <v>0.60243313708146806</v>
      </c>
      <c r="H99">
        <v>-0.15265209494730569</v>
      </c>
      <c r="I99">
        <v>117</v>
      </c>
      <c r="J99">
        <v>1.003384922037168</v>
      </c>
      <c r="K99">
        <v>-0.1550326833838255</v>
      </c>
      <c r="L99">
        <v>1.003384922037168</v>
      </c>
    </row>
    <row r="100" spans="1:12" x14ac:dyDescent="0.25">
      <c r="A100" s="3">
        <f>DATE(1995,3,1)</f>
        <v>34759</v>
      </c>
      <c r="B100">
        <v>25</v>
      </c>
      <c r="C100">
        <v>6.893533281981945E-6</v>
      </c>
      <c r="D100">
        <v>10.12240461936951</v>
      </c>
      <c r="E100">
        <v>3</v>
      </c>
      <c r="F100">
        <v>10.102290150544111</v>
      </c>
      <c r="G100">
        <v>0.58402337655596781</v>
      </c>
      <c r="H100">
        <v>3.4441204980557028E-2</v>
      </c>
      <c r="I100">
        <v>114</v>
      </c>
      <c r="J100">
        <v>0.98792400968441263</v>
      </c>
      <c r="K100">
        <v>3.4570345073425837E-2</v>
      </c>
      <c r="L100">
        <v>0.98792400968441263</v>
      </c>
    </row>
    <row r="101" spans="1:12" x14ac:dyDescent="0.25">
      <c r="A101" s="3">
        <f>DATE(1995,4,1)</f>
        <v>34790</v>
      </c>
      <c r="B101">
        <v>25</v>
      </c>
      <c r="C101">
        <v>7.0788983066449873E-6</v>
      </c>
      <c r="D101">
        <v>10.39459301756337</v>
      </c>
      <c r="E101">
        <v>4</v>
      </c>
      <c r="F101">
        <v>10.4239539327638</v>
      </c>
      <c r="G101">
        <v>0.55440043159667007</v>
      </c>
      <c r="H101">
        <v>-5.2959762523760043E-2</v>
      </c>
      <c r="I101">
        <v>147</v>
      </c>
      <c r="J101">
        <v>1.1579940455647211</v>
      </c>
      <c r="K101">
        <v>-5.4003046572890567E-2</v>
      </c>
      <c r="L101">
        <v>1.1579940455647211</v>
      </c>
    </row>
    <row r="102" spans="1:12" x14ac:dyDescent="0.25">
      <c r="A102" s="3">
        <f>DATE(1995,5,1)</f>
        <v>34820</v>
      </c>
      <c r="B102">
        <v>25</v>
      </c>
      <c r="C102">
        <v>7.2833445301512256E-6</v>
      </c>
      <c r="D102">
        <v>10.69480008302301</v>
      </c>
      <c r="E102">
        <v>5</v>
      </c>
      <c r="F102">
        <v>10.563854595443869</v>
      </c>
      <c r="G102">
        <v>0.54479993746219246</v>
      </c>
      <c r="H102">
        <v>0.24035518100298189</v>
      </c>
      <c r="I102">
        <v>163</v>
      </c>
      <c r="J102">
        <v>1.240452244779416</v>
      </c>
      <c r="K102">
        <v>0.24324651610990289</v>
      </c>
      <c r="L102">
        <v>1.240452244779416</v>
      </c>
    </row>
    <row r="103" spans="1:12" x14ac:dyDescent="0.25">
      <c r="A103" s="3">
        <f>DATE(1995,6,1)</f>
        <v>34851</v>
      </c>
      <c r="B103">
        <v>25</v>
      </c>
      <c r="C103">
        <v>7.142496087908512E-6</v>
      </c>
      <c r="D103">
        <v>10.487979449239299</v>
      </c>
      <c r="E103">
        <v>6</v>
      </c>
      <c r="F103">
        <v>10.3971239506839</v>
      </c>
      <c r="G103">
        <v>0.5168192025484809</v>
      </c>
      <c r="H103">
        <v>0.175797451231264</v>
      </c>
      <c r="I103">
        <v>156</v>
      </c>
      <c r="J103">
        <v>1.204376782622987</v>
      </c>
      <c r="K103">
        <v>0.1778227885912689</v>
      </c>
      <c r="L103">
        <v>1.204376782622987</v>
      </c>
    </row>
    <row r="104" spans="1:12" x14ac:dyDescent="0.25">
      <c r="A104" s="3">
        <f>DATE(1995,7,1)</f>
        <v>34881</v>
      </c>
      <c r="B104">
        <v>25</v>
      </c>
      <c r="C104">
        <v>6.8832969191134907E-6</v>
      </c>
      <c r="D104">
        <v>10.10737363271191</v>
      </c>
      <c r="E104">
        <v>7</v>
      </c>
      <c r="F104">
        <v>10.22014270149756</v>
      </c>
      <c r="G104">
        <v>0.60227454144232395</v>
      </c>
      <c r="H104">
        <v>-0.18723864454837461</v>
      </c>
      <c r="I104">
        <v>106</v>
      </c>
      <c r="J104">
        <v>0.94669491007706508</v>
      </c>
      <c r="K104">
        <v>-0.19008318786890349</v>
      </c>
      <c r="L104">
        <v>0.94669491007706508</v>
      </c>
    </row>
    <row r="105" spans="1:12" x14ac:dyDescent="0.25">
      <c r="A105" s="3">
        <f>DATE(1995,8,1)</f>
        <v>34912</v>
      </c>
      <c r="B105">
        <v>25</v>
      </c>
      <c r="C105">
        <v>6.6274164964852389E-6</v>
      </c>
      <c r="D105">
        <v>9.7316410343376631</v>
      </c>
      <c r="E105">
        <v>8</v>
      </c>
      <c r="F105">
        <v>10.11625720624791</v>
      </c>
      <c r="G105">
        <v>0.63641538718728341</v>
      </c>
      <c r="H105">
        <v>-0.60434769437317937</v>
      </c>
      <c r="I105">
        <v>57</v>
      </c>
      <c r="J105">
        <v>0.69416667498206175</v>
      </c>
      <c r="K105">
        <v>-0.61278747003294809</v>
      </c>
      <c r="L105">
        <v>0.69416667498206175</v>
      </c>
    </row>
    <row r="106" spans="1:12" x14ac:dyDescent="0.25">
      <c r="A106" s="3">
        <f>DATE(1995,9,1)</f>
        <v>34943</v>
      </c>
      <c r="B106">
        <v>25</v>
      </c>
      <c r="C106">
        <v>6.6126917772635352E-6</v>
      </c>
      <c r="D106">
        <v>9.7100193840500992</v>
      </c>
      <c r="E106">
        <v>9</v>
      </c>
      <c r="F106">
        <v>10.16338429551746</v>
      </c>
      <c r="G106">
        <v>0.67320267224545405</v>
      </c>
      <c r="H106">
        <v>-0.67344490769053422</v>
      </c>
      <c r="I106">
        <v>-10</v>
      </c>
      <c r="J106">
        <v>0.34887296577052629</v>
      </c>
      <c r="K106">
        <v>-0.68281157516113045</v>
      </c>
      <c r="L106">
        <v>0.34887296577052629</v>
      </c>
    </row>
    <row r="107" spans="1:12" x14ac:dyDescent="0.25">
      <c r="A107" s="3">
        <f>DATE(1995,10,1)</f>
        <v>34973</v>
      </c>
      <c r="B107">
        <v>25</v>
      </c>
      <c r="C107">
        <v>6.51822711006389E-6</v>
      </c>
      <c r="D107">
        <v>9.5713082841663599</v>
      </c>
      <c r="E107">
        <v>10</v>
      </c>
      <c r="F107">
        <v>10.12630033211884</v>
      </c>
      <c r="G107">
        <v>0.70316297472204004</v>
      </c>
      <c r="H107">
        <v>-0.78927939596346253</v>
      </c>
      <c r="I107">
        <v>-111</v>
      </c>
      <c r="J107">
        <v>-0.1716444167722358</v>
      </c>
      <c r="K107">
        <v>-0.80019990379081007</v>
      </c>
      <c r="L107">
        <v>-0.1716444167722358</v>
      </c>
    </row>
    <row r="108" spans="1:12" x14ac:dyDescent="0.25">
      <c r="A108" s="3">
        <f>DATE(1995,11,1)</f>
        <v>35004</v>
      </c>
      <c r="B108">
        <v>25</v>
      </c>
      <c r="C108">
        <v>6.3595375650038477E-6</v>
      </c>
      <c r="D108">
        <v>9.338289929390303</v>
      </c>
      <c r="E108">
        <v>11</v>
      </c>
      <c r="F108">
        <v>10.060733769865241</v>
      </c>
      <c r="G108">
        <v>0.67357937377392463</v>
      </c>
      <c r="H108">
        <v>-1.0725444819178951</v>
      </c>
      <c r="I108">
        <v>-183</v>
      </c>
      <c r="J108">
        <v>-0.54270631323836327</v>
      </c>
      <c r="K108">
        <v>-1.0872647969423661</v>
      </c>
      <c r="L108">
        <v>-0.54270631323836327</v>
      </c>
    </row>
    <row r="109" spans="1:12" x14ac:dyDescent="0.25">
      <c r="A109" s="3">
        <f>DATE(1995,12,1)</f>
        <v>35034</v>
      </c>
      <c r="B109">
        <v>25</v>
      </c>
      <c r="C109">
        <v>6.2893454924051184E-6</v>
      </c>
      <c r="D109">
        <v>9.235220497380217</v>
      </c>
      <c r="E109">
        <v>12</v>
      </c>
      <c r="F109">
        <v>9.8125461093946242</v>
      </c>
      <c r="G109">
        <v>0.57745665677750224</v>
      </c>
      <c r="H109">
        <v>-0.9997730656291568</v>
      </c>
      <c r="I109">
        <v>-226</v>
      </c>
      <c r="J109">
        <v>-0.76431272362785596</v>
      </c>
      <c r="K109">
        <v>-1.0135172019253991</v>
      </c>
      <c r="L109">
        <v>-0.76431272362785596</v>
      </c>
    </row>
    <row r="110" spans="1:12" x14ac:dyDescent="0.25">
      <c r="A110" s="3">
        <f>DATE(1996,1,1)</f>
        <v>35065</v>
      </c>
      <c r="B110">
        <v>25</v>
      </c>
      <c r="C110">
        <v>5.9760491240012934E-6</v>
      </c>
      <c r="D110">
        <v>8.7751788210671986</v>
      </c>
      <c r="E110">
        <v>1</v>
      </c>
      <c r="F110">
        <v>9.6397912031521695</v>
      </c>
      <c r="G110">
        <v>0.58355710709482933</v>
      </c>
      <c r="H110">
        <v>-1.4816242859063831</v>
      </c>
      <c r="I110">
        <v>-257</v>
      </c>
      <c r="J110">
        <v>-0.9240754846063276</v>
      </c>
      <c r="K110">
        <v>-1.5018321264342389</v>
      </c>
      <c r="L110">
        <v>-0.9240754846063276</v>
      </c>
    </row>
    <row r="111" spans="1:12" x14ac:dyDescent="0.25">
      <c r="A111" s="3">
        <f>DATE(1996,2,1)</f>
        <v>35096</v>
      </c>
      <c r="B111">
        <v>25</v>
      </c>
      <c r="C111">
        <v>5.9950493778160308E-6</v>
      </c>
      <c r="D111">
        <v>8.8030786293536387</v>
      </c>
      <c r="E111">
        <v>2</v>
      </c>
      <c r="F111">
        <v>9.7375638364217298</v>
      </c>
      <c r="G111">
        <v>0.60243313708146806</v>
      </c>
      <c r="H111">
        <v>-1.5511849358009651</v>
      </c>
      <c r="I111">
        <v>-291</v>
      </c>
      <c r="J111">
        <v>-1.099299157937554</v>
      </c>
      <c r="K111">
        <v>-1.5723258848240509</v>
      </c>
      <c r="L111">
        <v>-1.099299157937554</v>
      </c>
    </row>
    <row r="112" spans="1:12" x14ac:dyDescent="0.25">
      <c r="A112" s="3">
        <f>DATE(1996,3,1)</f>
        <v>35125</v>
      </c>
      <c r="B112">
        <v>25</v>
      </c>
      <c r="C112">
        <v>6.1942587308294614E-6</v>
      </c>
      <c r="D112">
        <v>9.0955959194979172</v>
      </c>
      <c r="E112">
        <v>3</v>
      </c>
      <c r="F112">
        <v>10.102290150544111</v>
      </c>
      <c r="G112">
        <v>0.58402337655596781</v>
      </c>
      <c r="H112">
        <v>-1.7237224937514439</v>
      </c>
      <c r="I112">
        <v>-293</v>
      </c>
      <c r="J112">
        <v>-1.1096064328393911</v>
      </c>
      <c r="K112">
        <v>-1.7471779159905469</v>
      </c>
      <c r="L112">
        <v>-1.1096064328393911</v>
      </c>
    </row>
    <row r="113" spans="1:12" x14ac:dyDescent="0.25">
      <c r="A113" s="3">
        <f>DATE(1996,4,1)</f>
        <v>35156</v>
      </c>
      <c r="B113">
        <v>25</v>
      </c>
      <c r="C113">
        <v>6.4414889493491501E-6</v>
      </c>
      <c r="D113">
        <v>9.4586266330120647</v>
      </c>
      <c r="E113">
        <v>4</v>
      </c>
      <c r="F113">
        <v>10.4239539327638</v>
      </c>
      <c r="G113">
        <v>0.55440043159667007</v>
      </c>
      <c r="H113">
        <v>-1.7412095026181671</v>
      </c>
      <c r="I113">
        <v>-304</v>
      </c>
      <c r="J113">
        <v>-1.1662964447994939</v>
      </c>
      <c r="K113">
        <v>-1.764899501109138</v>
      </c>
      <c r="L113">
        <v>-1.1662964447994939</v>
      </c>
    </row>
    <row r="114" spans="1:12" x14ac:dyDescent="0.25">
      <c r="A114" s="3">
        <f>DATE(1996,5,1)</f>
        <v>35186</v>
      </c>
      <c r="B114">
        <v>25</v>
      </c>
      <c r="C114">
        <v>6.7659634623851161E-6</v>
      </c>
      <c r="D114">
        <v>9.9350822001749499</v>
      </c>
      <c r="E114">
        <v>5</v>
      </c>
      <c r="F114">
        <v>10.563854595443869</v>
      </c>
      <c r="G114">
        <v>0.54479993746219246</v>
      </c>
      <c r="H114">
        <v>-1.1541344850329689</v>
      </c>
      <c r="I114">
        <v>-315</v>
      </c>
      <c r="J114">
        <v>-1.2229864567595969</v>
      </c>
      <c r="K114">
        <v>-1.169949274090502</v>
      </c>
      <c r="L114">
        <v>-1.2229864567595969</v>
      </c>
    </row>
    <row r="115" spans="1:12" x14ac:dyDescent="0.25">
      <c r="A115" s="3">
        <f>DATE(1996,6,1)</f>
        <v>35217</v>
      </c>
      <c r="B115">
        <v>25</v>
      </c>
      <c r="C115">
        <v>6.6342072386760256E-6</v>
      </c>
      <c r="D115">
        <v>9.7416125014082056</v>
      </c>
      <c r="E115">
        <v>6</v>
      </c>
      <c r="F115">
        <v>10.3971239506839</v>
      </c>
      <c r="G115">
        <v>0.5168192025484809</v>
      </c>
      <c r="H115">
        <v>-1.268357379221422</v>
      </c>
      <c r="I115">
        <v>-336</v>
      </c>
      <c r="J115">
        <v>-1.3312128432288839</v>
      </c>
      <c r="K115">
        <v>-1.2857043902044041</v>
      </c>
      <c r="L115">
        <v>-1.3312128432288839</v>
      </c>
    </row>
    <row r="116" spans="1:12" x14ac:dyDescent="0.25">
      <c r="A116" s="3">
        <f>DATE(1996,7,1)</f>
        <v>35247</v>
      </c>
      <c r="B116">
        <v>25</v>
      </c>
      <c r="C116">
        <v>6.5454246396257076E-6</v>
      </c>
      <c r="D116">
        <v>9.6112449012262289</v>
      </c>
      <c r="E116">
        <v>7</v>
      </c>
      <c r="F116">
        <v>10.22014270149756</v>
      </c>
      <c r="G116">
        <v>0.60227454144232395</v>
      </c>
      <c r="H116">
        <v>-1.0109970758736551</v>
      </c>
      <c r="I116">
        <v>-338</v>
      </c>
      <c r="J116">
        <v>-1.341520118130721</v>
      </c>
      <c r="K116">
        <v>-1.024891774583065</v>
      </c>
      <c r="L116">
        <v>-1.341520118130721</v>
      </c>
    </row>
    <row r="117" spans="1:12" x14ac:dyDescent="0.25">
      <c r="A117" s="3">
        <f>DATE(1996,8,1)</f>
        <v>35278</v>
      </c>
      <c r="B117">
        <v>25</v>
      </c>
      <c r="C117">
        <v>6.4568266679998487E-6</v>
      </c>
      <c r="D117">
        <v>9.4811484063566898</v>
      </c>
      <c r="E117">
        <v>8</v>
      </c>
      <c r="F117">
        <v>10.11625720624791</v>
      </c>
      <c r="G117">
        <v>0.63641538718728341</v>
      </c>
      <c r="H117">
        <v>-0.99794695835084113</v>
      </c>
      <c r="I117">
        <v>-350</v>
      </c>
      <c r="J117">
        <v>-1.4033637675417421</v>
      </c>
      <c r="K117">
        <v>-1.011666598668147</v>
      </c>
      <c r="L117">
        <v>-1.4033637675417421</v>
      </c>
    </row>
    <row r="118" spans="1:12" x14ac:dyDescent="0.25">
      <c r="A118" s="3">
        <f>DATE(1996,9,1)</f>
        <v>35309</v>
      </c>
      <c r="B118">
        <v>25</v>
      </c>
      <c r="C118">
        <v>6.5158551478816662E-6</v>
      </c>
      <c r="D118">
        <v>9.5678253154233097</v>
      </c>
      <c r="E118">
        <v>9</v>
      </c>
      <c r="F118">
        <v>10.16338429551746</v>
      </c>
      <c r="G118">
        <v>0.67320267224545405</v>
      </c>
      <c r="H118">
        <v>-0.88466520506770308</v>
      </c>
      <c r="I118">
        <v>-351</v>
      </c>
      <c r="J118">
        <v>-1.408517404992661</v>
      </c>
      <c r="K118">
        <v>-0.89686524822047398</v>
      </c>
      <c r="L118">
        <v>-1.408517404992661</v>
      </c>
    </row>
    <row r="119" spans="1:12" x14ac:dyDescent="0.25">
      <c r="A119" s="3">
        <f>DATE(1996,10,1)</f>
        <v>35339</v>
      </c>
      <c r="B119">
        <v>25</v>
      </c>
      <c r="C119">
        <v>6.6811853685067044E-6</v>
      </c>
      <c r="D119">
        <v>9.810594780735169</v>
      </c>
      <c r="E119">
        <v>10</v>
      </c>
      <c r="F119">
        <v>10.12630033211884</v>
      </c>
      <c r="G119">
        <v>0.70316297472204004</v>
      </c>
      <c r="H119">
        <v>-0.44897920216642873</v>
      </c>
      <c r="I119">
        <v>-291</v>
      </c>
      <c r="J119">
        <v>-1.099299157937554</v>
      </c>
      <c r="K119">
        <v>-0.45533481587272451</v>
      </c>
      <c r="L119">
        <v>-1.099299157937554</v>
      </c>
    </row>
    <row r="120" spans="1:12" x14ac:dyDescent="0.25">
      <c r="A120" s="3">
        <f>DATE(1996,11,1)</f>
        <v>35370</v>
      </c>
      <c r="B120">
        <v>25</v>
      </c>
      <c r="C120">
        <v>6.9499760684266221E-6</v>
      </c>
      <c r="D120">
        <v>10.205284718567849</v>
      </c>
      <c r="E120">
        <v>11</v>
      </c>
      <c r="F120">
        <v>10.060733769865241</v>
      </c>
      <c r="G120">
        <v>0.67357937377392463</v>
      </c>
      <c r="H120">
        <v>0.2146012100886098</v>
      </c>
      <c r="I120">
        <v>-47</v>
      </c>
      <c r="J120">
        <v>0.15818838008654421</v>
      </c>
      <c r="K120">
        <v>0.21714707330758101</v>
      </c>
      <c r="L120">
        <v>0.15818838008654421</v>
      </c>
    </row>
    <row r="121" spans="1:12" x14ac:dyDescent="0.25">
      <c r="A121" s="3">
        <f>DATE(1996,12,1)</f>
        <v>35400</v>
      </c>
      <c r="B121">
        <v>25</v>
      </c>
      <c r="C121">
        <v>6.760809355910169E-6</v>
      </c>
      <c r="D121">
        <v>9.9275139548272282</v>
      </c>
      <c r="E121">
        <v>12</v>
      </c>
      <c r="F121">
        <v>9.8125461093946242</v>
      </c>
      <c r="G121">
        <v>0.57745665677750224</v>
      </c>
      <c r="H121">
        <v>0.19909346283092871</v>
      </c>
      <c r="I121">
        <v>82</v>
      </c>
      <c r="J121">
        <v>0.82300761125502264</v>
      </c>
      <c r="K121">
        <v>0.2014313002374622</v>
      </c>
      <c r="L121">
        <v>0.82300761125502264</v>
      </c>
    </row>
    <row r="122" spans="1:12" x14ac:dyDescent="0.25">
      <c r="A122" s="3">
        <f>DATE(1997,1,1)</f>
        <v>35431</v>
      </c>
      <c r="B122">
        <v>25</v>
      </c>
      <c r="C122">
        <v>6.5200674725929284E-6</v>
      </c>
      <c r="D122">
        <v>9.5740106565787695</v>
      </c>
      <c r="E122">
        <v>1</v>
      </c>
      <c r="F122">
        <v>9.6397912031521695</v>
      </c>
      <c r="G122">
        <v>0.58355710709482933</v>
      </c>
      <c r="H122">
        <v>-0.1127234091979117</v>
      </c>
      <c r="I122">
        <v>101</v>
      </c>
      <c r="J122">
        <v>0.9209267228224729</v>
      </c>
      <c r="K122">
        <v>-0.11456838165136379</v>
      </c>
      <c r="L122">
        <v>0.9209267228224729</v>
      </c>
    </row>
    <row r="123" spans="1:12" x14ac:dyDescent="0.25">
      <c r="A123" s="3">
        <f>DATE(1997,2,1)</f>
        <v>35462</v>
      </c>
      <c r="B123">
        <v>25</v>
      </c>
      <c r="C123">
        <v>6.6406755649950364E-6</v>
      </c>
      <c r="D123">
        <v>9.7511105358025976</v>
      </c>
      <c r="E123">
        <v>2</v>
      </c>
      <c r="F123">
        <v>9.7375638364217298</v>
      </c>
      <c r="G123">
        <v>0.60243313708146806</v>
      </c>
      <c r="H123">
        <v>2.248664382323939E-2</v>
      </c>
      <c r="I123">
        <v>118</v>
      </c>
      <c r="J123">
        <v>1.008538559488086</v>
      </c>
      <c r="K123">
        <v>2.245542166259935E-2</v>
      </c>
      <c r="L123">
        <v>1.008538559488086</v>
      </c>
    </row>
    <row r="124" spans="1:12" x14ac:dyDescent="0.25">
      <c r="A124" s="3">
        <f>DATE(1997,3,1)</f>
        <v>35490</v>
      </c>
      <c r="B124">
        <v>25</v>
      </c>
      <c r="C124">
        <v>7.0265555223159026E-6</v>
      </c>
      <c r="D124">
        <v>10.317733325992981</v>
      </c>
      <c r="E124">
        <v>3</v>
      </c>
      <c r="F124">
        <v>10.102290150544111</v>
      </c>
      <c r="G124">
        <v>0.58402337655596781</v>
      </c>
      <c r="H124">
        <v>0.36889478075236892</v>
      </c>
      <c r="I124">
        <v>133</v>
      </c>
      <c r="J124">
        <v>1.0858431212518631</v>
      </c>
      <c r="K124">
        <v>0.37351038658823438</v>
      </c>
      <c r="L124">
        <v>1.0858431212518631</v>
      </c>
    </row>
    <row r="125" spans="1:12" x14ac:dyDescent="0.25">
      <c r="A125" s="3">
        <f>DATE(1997,4,1)</f>
        <v>35521</v>
      </c>
      <c r="B125">
        <v>25</v>
      </c>
      <c r="C125">
        <v>7.388394351437455E-6</v>
      </c>
      <c r="D125">
        <v>10.84905433157086</v>
      </c>
      <c r="E125">
        <v>4</v>
      </c>
      <c r="F125">
        <v>10.4239539327638</v>
      </c>
      <c r="G125">
        <v>0.55440043159667007</v>
      </c>
      <c r="H125">
        <v>0.7667750141946571</v>
      </c>
      <c r="I125">
        <v>171</v>
      </c>
      <c r="J125">
        <v>1.2816813443867641</v>
      </c>
      <c r="K125">
        <v>0.77672791096255978</v>
      </c>
      <c r="L125">
        <v>1.2816813443867641</v>
      </c>
    </row>
    <row r="126" spans="1:12" x14ac:dyDescent="0.25">
      <c r="A126" s="3">
        <f>DATE(1997,5,1)</f>
        <v>35551</v>
      </c>
      <c r="B126">
        <v>25</v>
      </c>
      <c r="C126">
        <v>7.3328637881786563E-6</v>
      </c>
      <c r="D126">
        <v>10.76751373300492</v>
      </c>
      <c r="E126">
        <v>5</v>
      </c>
      <c r="F126">
        <v>10.563854595443869</v>
      </c>
      <c r="G126">
        <v>0.54479993746219246</v>
      </c>
      <c r="H126">
        <v>0.37382371684868659</v>
      </c>
      <c r="I126">
        <v>161</v>
      </c>
      <c r="J126">
        <v>1.230144969877579</v>
      </c>
      <c r="K126">
        <v>0.37850544098780092</v>
      </c>
      <c r="L126">
        <v>1.230144969877579</v>
      </c>
    </row>
    <row r="127" spans="1:12" x14ac:dyDescent="0.25">
      <c r="A127" s="3">
        <f>DATE(1997,6,1)</f>
        <v>35582</v>
      </c>
      <c r="B127">
        <v>25</v>
      </c>
      <c r="C127">
        <v>7.3505757427483331E-6</v>
      </c>
      <c r="D127">
        <v>10.79352181382797</v>
      </c>
      <c r="E127">
        <v>6</v>
      </c>
      <c r="F127">
        <v>10.3971239506839</v>
      </c>
      <c r="G127">
        <v>0.5168192025484809</v>
      </c>
      <c r="H127">
        <v>0.76699523003285452</v>
      </c>
      <c r="I127">
        <v>174</v>
      </c>
      <c r="J127">
        <v>1.297142256739519</v>
      </c>
      <c r="K127">
        <v>0.77695108084546083</v>
      </c>
      <c r="L127">
        <v>1.297142256739519</v>
      </c>
    </row>
    <row r="128" spans="1:12" x14ac:dyDescent="0.25">
      <c r="A128" s="3">
        <f>DATE(1997,7,1)</f>
        <v>35612</v>
      </c>
      <c r="B128">
        <v>25</v>
      </c>
      <c r="C128">
        <v>7.0573382799921092E-6</v>
      </c>
      <c r="D128">
        <v>10.362934460991919</v>
      </c>
      <c r="E128">
        <v>7</v>
      </c>
      <c r="F128">
        <v>10.22014270149756</v>
      </c>
      <c r="G128">
        <v>0.60227454144232395</v>
      </c>
      <c r="H128">
        <v>0.23708749028706649</v>
      </c>
      <c r="I128">
        <v>149</v>
      </c>
      <c r="J128">
        <v>1.168301320466558</v>
      </c>
      <c r="K128">
        <v>0.23993499156018311</v>
      </c>
      <c r="L128">
        <v>1.168301320466558</v>
      </c>
    </row>
    <row r="129" spans="1:12" x14ac:dyDescent="0.25">
      <c r="A129" s="3">
        <f>DATE(1997,8,1)</f>
        <v>35643</v>
      </c>
      <c r="B129">
        <v>25</v>
      </c>
      <c r="C129">
        <v>6.8112176450085826E-6</v>
      </c>
      <c r="D129">
        <v>10.001533050340701</v>
      </c>
      <c r="E129">
        <v>8</v>
      </c>
      <c r="F129">
        <v>10.11625720624791</v>
      </c>
      <c r="G129">
        <v>0.63641538718728341</v>
      </c>
      <c r="H129">
        <v>-0.18026615669091381</v>
      </c>
      <c r="I129">
        <v>127</v>
      </c>
      <c r="J129">
        <v>1.0549212965463519</v>
      </c>
      <c r="K129">
        <v>-0.18301716886038899</v>
      </c>
      <c r="L129">
        <v>1.0549212965463519</v>
      </c>
    </row>
    <row r="130" spans="1:12" x14ac:dyDescent="0.25">
      <c r="A130" s="3">
        <f>DATE(1997,9,1)</f>
        <v>35674</v>
      </c>
      <c r="B130">
        <v>25</v>
      </c>
      <c r="C130">
        <v>7.0560354288318186E-6</v>
      </c>
      <c r="D130">
        <v>10.36102136562212</v>
      </c>
      <c r="E130">
        <v>9</v>
      </c>
      <c r="F130">
        <v>10.16338429551746</v>
      </c>
      <c r="G130">
        <v>0.67320267224545405</v>
      </c>
      <c r="H130">
        <v>0.29357737016320162</v>
      </c>
      <c r="I130">
        <v>93</v>
      </c>
      <c r="J130">
        <v>0.87969762321512546</v>
      </c>
      <c r="K130">
        <v>0.29718264450035392</v>
      </c>
      <c r="L130">
        <v>0.87969762321512546</v>
      </c>
    </row>
    <row r="131" spans="1:12" x14ac:dyDescent="0.25">
      <c r="A131" s="3">
        <f>DATE(1997,10,1)</f>
        <v>35704</v>
      </c>
      <c r="B131">
        <v>25</v>
      </c>
      <c r="C131">
        <v>7.0767418947070837E-6</v>
      </c>
      <c r="D131">
        <v>10.39142656093386</v>
      </c>
      <c r="E131">
        <v>10</v>
      </c>
      <c r="F131">
        <v>10.12630033211884</v>
      </c>
      <c r="G131">
        <v>0.70316297472204004</v>
      </c>
      <c r="H131">
        <v>0.3770480505174798</v>
      </c>
      <c r="I131">
        <v>19</v>
      </c>
      <c r="J131">
        <v>0.49832845184716101</v>
      </c>
      <c r="K131">
        <v>0.38177302688529469</v>
      </c>
      <c r="L131">
        <v>0.49832845184716101</v>
      </c>
    </row>
    <row r="132" spans="1:12" x14ac:dyDescent="0.25">
      <c r="A132" s="3">
        <f>DATE(1997,11,1)</f>
        <v>35735</v>
      </c>
      <c r="B132">
        <v>25</v>
      </c>
      <c r="C132">
        <v>6.749906788172666E-6</v>
      </c>
      <c r="D132">
        <v>9.9115047187047978</v>
      </c>
      <c r="E132">
        <v>11</v>
      </c>
      <c r="F132">
        <v>10.060733769865241</v>
      </c>
      <c r="G132">
        <v>0.67357937377392463</v>
      </c>
      <c r="H132">
        <v>-0.2215463492065386</v>
      </c>
      <c r="I132">
        <v>-94</v>
      </c>
      <c r="J132">
        <v>-8.4032580106622373E-2</v>
      </c>
      <c r="K132">
        <v>-0.22485110689707241</v>
      </c>
      <c r="L132">
        <v>-8.4032580106622373E-2</v>
      </c>
    </row>
    <row r="133" spans="1:12" x14ac:dyDescent="0.25">
      <c r="A133" s="3">
        <f>DATE(1997,12,1)</f>
        <v>35765</v>
      </c>
      <c r="B133">
        <v>25</v>
      </c>
      <c r="C133">
        <v>6.1540731621789746E-6</v>
      </c>
      <c r="D133">
        <v>9.0365877782297979</v>
      </c>
      <c r="E133">
        <v>12</v>
      </c>
      <c r="F133">
        <v>9.8125461093946242</v>
      </c>
      <c r="G133">
        <v>0.57745665677750224</v>
      </c>
      <c r="H133">
        <v>-1.343751642755429</v>
      </c>
      <c r="I133">
        <v>-153</v>
      </c>
      <c r="J133">
        <v>-0.3880971897108102</v>
      </c>
      <c r="K133">
        <v>-1.362110016166763</v>
      </c>
      <c r="L133">
        <v>-0.3880971897108102</v>
      </c>
    </row>
    <row r="134" spans="1:12" x14ac:dyDescent="0.25">
      <c r="A134" s="3">
        <f>DATE(1998,1,1)</f>
        <v>35796</v>
      </c>
      <c r="B134">
        <v>25</v>
      </c>
      <c r="C134">
        <v>5.9481039897946184E-6</v>
      </c>
      <c r="D134">
        <v>8.7341444278160765</v>
      </c>
      <c r="E134">
        <v>1</v>
      </c>
      <c r="F134">
        <v>9.6397912031521695</v>
      </c>
      <c r="G134">
        <v>0.58355710709482933</v>
      </c>
      <c r="H134">
        <v>-1.551941985326422</v>
      </c>
      <c r="I134">
        <v>-215</v>
      </c>
      <c r="J134">
        <v>-0.70762271166775326</v>
      </c>
      <c r="K134">
        <v>-1.573093089650595</v>
      </c>
      <c r="L134">
        <v>-0.70762271166775326</v>
      </c>
    </row>
    <row r="135" spans="1:12" x14ac:dyDescent="0.25">
      <c r="A135" s="3">
        <f>DATE(1998,2,1)</f>
        <v>35827</v>
      </c>
      <c r="B135">
        <v>25</v>
      </c>
      <c r="C135">
        <v>5.9554645304160658E-6</v>
      </c>
      <c r="D135">
        <v>8.744952581971555</v>
      </c>
      <c r="E135">
        <v>2</v>
      </c>
      <c r="F135">
        <v>9.7375638364217298</v>
      </c>
      <c r="G135">
        <v>0.60243313708146806</v>
      </c>
      <c r="H135">
        <v>-1.6476704107927289</v>
      </c>
      <c r="I135">
        <v>-238</v>
      </c>
      <c r="J135">
        <v>-0.82615637303887723</v>
      </c>
      <c r="K135">
        <v>-1.670105646406258</v>
      </c>
      <c r="L135">
        <v>-0.82615637303887723</v>
      </c>
    </row>
    <row r="136" spans="1:12" x14ac:dyDescent="0.25">
      <c r="A136" s="3">
        <f>DATE(1998,3,1)</f>
        <v>35855</v>
      </c>
      <c r="B136">
        <v>25</v>
      </c>
      <c r="C136">
        <v>6.0690895224979613E-6</v>
      </c>
      <c r="D136">
        <v>8.9117985371121282</v>
      </c>
      <c r="E136">
        <v>3</v>
      </c>
      <c r="F136">
        <v>10.102290150544111</v>
      </c>
      <c r="G136">
        <v>0.58402337655596781</v>
      </c>
      <c r="H136">
        <v>-2.0384314416529081</v>
      </c>
      <c r="I136">
        <v>-263</v>
      </c>
      <c r="J136">
        <v>-0.95499730931183824</v>
      </c>
      <c r="K136">
        <v>-2.0661084689698348</v>
      </c>
      <c r="L136">
        <v>-0.95499730931183824</v>
      </c>
    </row>
    <row r="137" spans="1:12" x14ac:dyDescent="0.25">
      <c r="A137" s="3">
        <f>DATE(1998,4,1)</f>
        <v>35886</v>
      </c>
      <c r="B137">
        <v>25</v>
      </c>
      <c r="C137">
        <v>6.5603735492913984E-6</v>
      </c>
      <c r="D137">
        <v>9.6331957508217521</v>
      </c>
      <c r="E137">
        <v>4</v>
      </c>
      <c r="F137">
        <v>10.4239539327638</v>
      </c>
      <c r="G137">
        <v>0.55440043159667007</v>
      </c>
      <c r="H137">
        <v>-1.426330386620855</v>
      </c>
      <c r="I137">
        <v>-289</v>
      </c>
      <c r="J137">
        <v>-1.088991883035717</v>
      </c>
      <c r="K137">
        <v>-1.445796497345498</v>
      </c>
      <c r="L137">
        <v>-1.088991883035717</v>
      </c>
    </row>
    <row r="138" spans="1:12" x14ac:dyDescent="0.25">
      <c r="A138" s="3">
        <f>DATE(1998,5,1)</f>
        <v>35916</v>
      </c>
      <c r="B138">
        <v>25</v>
      </c>
      <c r="C138">
        <v>6.8833069235552102E-6</v>
      </c>
      <c r="D138">
        <v>10.107388323147561</v>
      </c>
      <c r="E138">
        <v>5</v>
      </c>
      <c r="F138">
        <v>10.563854595443869</v>
      </c>
      <c r="G138">
        <v>0.54479993746219246</v>
      </c>
      <c r="H138">
        <v>-0.83786036103939177</v>
      </c>
      <c r="I138">
        <v>-294</v>
      </c>
      <c r="J138">
        <v>-1.11476007029031</v>
      </c>
      <c r="K138">
        <v>-0.84943254925338763</v>
      </c>
      <c r="L138">
        <v>-1.11476007029031</v>
      </c>
    </row>
    <row r="139" spans="1:12" x14ac:dyDescent="0.25">
      <c r="A139" s="3">
        <f>DATE(1998,6,1)</f>
        <v>35947</v>
      </c>
      <c r="B139">
        <v>25</v>
      </c>
      <c r="C139">
        <v>6.9503753366007004E-6</v>
      </c>
      <c r="D139">
        <v>10.20587100049967</v>
      </c>
      <c r="E139">
        <v>6</v>
      </c>
      <c r="F139">
        <v>10.3971239506839</v>
      </c>
      <c r="G139">
        <v>0.5168192025484809</v>
      </c>
      <c r="H139">
        <v>-0.37005774793418478</v>
      </c>
      <c r="I139">
        <v>-307</v>
      </c>
      <c r="J139">
        <v>-1.1817573571522491</v>
      </c>
      <c r="K139">
        <v>-0.37535468436372138</v>
      </c>
      <c r="L139">
        <v>-1.1817573571522491</v>
      </c>
    </row>
    <row r="140" spans="1:12" x14ac:dyDescent="0.25">
      <c r="A140" s="3">
        <f>DATE(1998,7,1)</f>
        <v>35977</v>
      </c>
      <c r="B140">
        <v>25</v>
      </c>
      <c r="C140">
        <v>6.9104817157494844E-6</v>
      </c>
      <c r="D140">
        <v>10.14729155285368</v>
      </c>
      <c r="E140">
        <v>7</v>
      </c>
      <c r="F140">
        <v>10.22014270149756</v>
      </c>
      <c r="G140">
        <v>0.60227454144232395</v>
      </c>
      <c r="H140">
        <v>-0.12096003339178379</v>
      </c>
      <c r="I140">
        <v>-307</v>
      </c>
      <c r="J140">
        <v>-1.1817573571522491</v>
      </c>
      <c r="K140">
        <v>-0.1229154945197805</v>
      </c>
      <c r="L140">
        <v>-1.1817573571522491</v>
      </c>
    </row>
    <row r="141" spans="1:12" x14ac:dyDescent="0.25">
      <c r="A141" s="3">
        <f>DATE(1998,8,1)</f>
        <v>36008</v>
      </c>
      <c r="B141">
        <v>25</v>
      </c>
      <c r="C141">
        <v>7.0150131250557024E-6</v>
      </c>
      <c r="D141">
        <v>10.300784569736059</v>
      </c>
      <c r="E141">
        <v>8</v>
      </c>
      <c r="F141">
        <v>10.11625720624791</v>
      </c>
      <c r="G141">
        <v>0.63641538718728341</v>
      </c>
      <c r="H141">
        <v>0.28994799183547199</v>
      </c>
      <c r="I141">
        <v>-317</v>
      </c>
      <c r="J141">
        <v>-1.2332937316614341</v>
      </c>
      <c r="K141">
        <v>0.29350458054712852</v>
      </c>
      <c r="L141">
        <v>-1.2332937316614341</v>
      </c>
    </row>
    <row r="142" spans="1:12" x14ac:dyDescent="0.25">
      <c r="A142" s="3">
        <f>DATE(1998,9,1)</f>
        <v>36039</v>
      </c>
      <c r="B142">
        <v>25</v>
      </c>
      <c r="C142">
        <v>7.1255753937293784E-6</v>
      </c>
      <c r="D142">
        <v>10.463133248326701</v>
      </c>
      <c r="E142">
        <v>9</v>
      </c>
      <c r="F142">
        <v>10.16338429551746</v>
      </c>
      <c r="G142">
        <v>0.67320267224545405</v>
      </c>
      <c r="H142">
        <v>0.44525811492909539</v>
      </c>
      <c r="I142">
        <v>-259</v>
      </c>
      <c r="J142">
        <v>-0.93438275950816441</v>
      </c>
      <c r="K142">
        <v>0.45089808261253339</v>
      </c>
      <c r="L142">
        <v>-0.93438275950816441</v>
      </c>
    </row>
    <row r="143" spans="1:12" x14ac:dyDescent="0.25">
      <c r="A143" s="3">
        <f>DATE(1998,10,1)</f>
        <v>36069</v>
      </c>
      <c r="B143">
        <v>25</v>
      </c>
      <c r="C143">
        <v>7.2885454756033141E-6</v>
      </c>
      <c r="D143">
        <v>10.70243710631946</v>
      </c>
      <c r="E143">
        <v>10</v>
      </c>
      <c r="F143">
        <v>10.12630033211884</v>
      </c>
      <c r="G143">
        <v>0.70316297472204004</v>
      </c>
      <c r="H143">
        <v>0.81935027143367878</v>
      </c>
      <c r="I143">
        <v>-90</v>
      </c>
      <c r="J143">
        <v>-6.3418030302948625E-2</v>
      </c>
      <c r="K143">
        <v>0.8300084292829969</v>
      </c>
      <c r="L143">
        <v>-6.3418030302948625E-2</v>
      </c>
    </row>
    <row r="144" spans="1:12" x14ac:dyDescent="0.25">
      <c r="A144" s="3">
        <f>DATE(1998,11,1)</f>
        <v>36100</v>
      </c>
      <c r="B144">
        <v>25</v>
      </c>
      <c r="C144">
        <v>7.3508963396307081E-6</v>
      </c>
      <c r="D144">
        <v>10.793992575515819</v>
      </c>
      <c r="E144">
        <v>11</v>
      </c>
      <c r="F144">
        <v>10.060733769865241</v>
      </c>
      <c r="G144">
        <v>0.67357937377392463</v>
      </c>
      <c r="H144">
        <v>1.088600444432088</v>
      </c>
      <c r="I144">
        <v>78</v>
      </c>
      <c r="J144">
        <v>0.80239306145134892</v>
      </c>
      <c r="K144">
        <v>1.102870409016214</v>
      </c>
      <c r="L144">
        <v>0.80239306145134892</v>
      </c>
    </row>
    <row r="145" spans="1:12" x14ac:dyDescent="0.25">
      <c r="A145" s="3">
        <f>DATE(1998,12,1)</f>
        <v>36130</v>
      </c>
      <c r="B145">
        <v>25</v>
      </c>
      <c r="C145">
        <v>6.7891232902184129E-6</v>
      </c>
      <c r="D145">
        <v>9.9690898909561518</v>
      </c>
      <c r="E145">
        <v>12</v>
      </c>
      <c r="F145">
        <v>9.8125461093946242</v>
      </c>
      <c r="G145">
        <v>0.57745665677750224</v>
      </c>
      <c r="H145">
        <v>0.27109182953248889</v>
      </c>
      <c r="I145">
        <v>162</v>
      </c>
      <c r="J145">
        <v>1.2352986073284979</v>
      </c>
      <c r="K145">
        <v>0.27439547573629058</v>
      </c>
      <c r="L145">
        <v>1.2352986073284979</v>
      </c>
    </row>
    <row r="146" spans="1:12" x14ac:dyDescent="0.25">
      <c r="A146" s="3">
        <f>DATE(1999,1,1)</f>
        <v>36161</v>
      </c>
      <c r="B146">
        <v>25</v>
      </c>
      <c r="C146">
        <v>6.6957168201042796E-6</v>
      </c>
      <c r="D146">
        <v>9.8319326385158679</v>
      </c>
      <c r="E146">
        <v>1</v>
      </c>
      <c r="F146">
        <v>9.6397912031521695</v>
      </c>
      <c r="G146">
        <v>0.58355710709482933</v>
      </c>
      <c r="H146">
        <v>0.32925901000546792</v>
      </c>
      <c r="I146">
        <v>130</v>
      </c>
      <c r="J146">
        <v>1.070382208899108</v>
      </c>
      <c r="K146">
        <v>0.33334292911248647</v>
      </c>
      <c r="L146">
        <v>1.070382208899108</v>
      </c>
    </row>
    <row r="147" spans="1:12" x14ac:dyDescent="0.25">
      <c r="A147" s="3">
        <f>DATE(1999,2,1)</f>
        <v>36192</v>
      </c>
      <c r="B147">
        <v>25</v>
      </c>
      <c r="C147">
        <v>6.7061505433230204E-6</v>
      </c>
      <c r="D147">
        <v>9.8472534274040076</v>
      </c>
      <c r="E147">
        <v>2</v>
      </c>
      <c r="F147">
        <v>9.7375638364217298</v>
      </c>
      <c r="G147">
        <v>0.60243313708146806</v>
      </c>
      <c r="H147">
        <v>0.18207761862781499</v>
      </c>
      <c r="I147">
        <v>169</v>
      </c>
      <c r="J147">
        <v>1.2713740694849269</v>
      </c>
      <c r="K147">
        <v>0.1841872001338718</v>
      </c>
      <c r="L147">
        <v>1.2713740694849269</v>
      </c>
    </row>
    <row r="148" spans="1:12" x14ac:dyDescent="0.25">
      <c r="A148" s="3">
        <f>DATE(1999,3,1)</f>
        <v>36220</v>
      </c>
      <c r="B148">
        <v>25</v>
      </c>
      <c r="C148">
        <v>6.791598025301937E-6</v>
      </c>
      <c r="D148">
        <v>9.9727237705381455</v>
      </c>
      <c r="E148">
        <v>3</v>
      </c>
      <c r="F148">
        <v>10.102290150544111</v>
      </c>
      <c r="G148">
        <v>0.58402337655596781</v>
      </c>
      <c r="H148">
        <v>-0.2218513593925408</v>
      </c>
      <c r="I148">
        <v>90</v>
      </c>
      <c r="J148">
        <v>0.86423671086237008</v>
      </c>
      <c r="K148">
        <v>-0.22516020858590161</v>
      </c>
      <c r="L148">
        <v>0.86423671086237008</v>
      </c>
    </row>
    <row r="149" spans="1:12" x14ac:dyDescent="0.25">
      <c r="A149" s="3">
        <f>DATE(1999,4,1)</f>
        <v>36251</v>
      </c>
      <c r="B149">
        <v>25</v>
      </c>
      <c r="C149">
        <v>7.0092819441924803E-6</v>
      </c>
      <c r="D149">
        <v>10.2923689533502</v>
      </c>
      <c r="E149">
        <v>4</v>
      </c>
      <c r="F149">
        <v>10.4239539327638</v>
      </c>
      <c r="G149">
        <v>0.55440043159667007</v>
      </c>
      <c r="H149">
        <v>-0.23734645919130201</v>
      </c>
      <c r="I149">
        <v>153</v>
      </c>
      <c r="J149">
        <v>1.188915870270232</v>
      </c>
      <c r="K149">
        <v>-0.2408631645400979</v>
      </c>
      <c r="L149">
        <v>1.188915870270232</v>
      </c>
    </row>
    <row r="150" spans="1:12" x14ac:dyDescent="0.25">
      <c r="A150" s="3">
        <f>DATE(1999,5,1)</f>
        <v>36281</v>
      </c>
      <c r="B150">
        <v>25</v>
      </c>
      <c r="C150">
        <v>7.7133627200964838E-6</v>
      </c>
      <c r="D150">
        <v>11.326235072057161</v>
      </c>
      <c r="E150">
        <v>5</v>
      </c>
      <c r="F150">
        <v>10.563854595443869</v>
      </c>
      <c r="G150">
        <v>0.54479993746219246</v>
      </c>
      <c r="H150">
        <v>1.399376953243862</v>
      </c>
      <c r="I150">
        <v>126</v>
      </c>
      <c r="J150">
        <v>1.0497676590954339</v>
      </c>
      <c r="K150">
        <v>1.417815771927678</v>
      </c>
      <c r="L150">
        <v>1.0497676590954339</v>
      </c>
    </row>
    <row r="151" spans="1:12" x14ac:dyDescent="0.25">
      <c r="A151" s="3">
        <f>DATE(1999,6,1)</f>
        <v>36312</v>
      </c>
      <c r="B151">
        <v>25</v>
      </c>
      <c r="C151">
        <v>7.6435826485976577E-6</v>
      </c>
      <c r="D151">
        <v>11.223770618896999</v>
      </c>
      <c r="E151">
        <v>6</v>
      </c>
      <c r="F151">
        <v>10.3971239506839</v>
      </c>
      <c r="G151">
        <v>0.5168192025484809</v>
      </c>
      <c r="H151">
        <v>1.5994890749740529</v>
      </c>
      <c r="I151">
        <v>135</v>
      </c>
      <c r="J151">
        <v>1.0961503961537</v>
      </c>
      <c r="K151">
        <v>1.620612260768697</v>
      </c>
      <c r="L151">
        <v>1.0961503961537</v>
      </c>
    </row>
    <row r="152" spans="1:12" x14ac:dyDescent="0.25">
      <c r="A152" s="3">
        <f>DATE(1999,7,1)</f>
        <v>36342</v>
      </c>
      <c r="B152">
        <v>25</v>
      </c>
      <c r="C152">
        <v>7.3761739258770831E-6</v>
      </c>
      <c r="D152">
        <v>10.83110996442516</v>
      </c>
      <c r="E152">
        <v>7</v>
      </c>
      <c r="F152">
        <v>10.22014270149756</v>
      </c>
      <c r="G152">
        <v>0.60227454144232395</v>
      </c>
      <c r="H152">
        <v>1.0144331544621721</v>
      </c>
      <c r="I152">
        <v>92</v>
      </c>
      <c r="J152">
        <v>0.874543985764207</v>
      </c>
      <c r="K152">
        <v>1.0277082156282891</v>
      </c>
      <c r="L152">
        <v>0.874543985764207</v>
      </c>
    </row>
    <row r="153" spans="1:12" x14ac:dyDescent="0.25">
      <c r="A153" s="3">
        <f>DATE(1999,8,1)</f>
        <v>36373</v>
      </c>
      <c r="B153">
        <v>25</v>
      </c>
      <c r="C153">
        <v>7.2543252827017568E-6</v>
      </c>
      <c r="D153">
        <v>10.652188471180811</v>
      </c>
      <c r="E153">
        <v>8</v>
      </c>
      <c r="F153">
        <v>10.11625720624791</v>
      </c>
      <c r="G153">
        <v>0.63641538718728341</v>
      </c>
      <c r="H153">
        <v>0.84210921942273109</v>
      </c>
      <c r="I153">
        <v>99</v>
      </c>
      <c r="J153">
        <v>0.91061944792063609</v>
      </c>
      <c r="K153">
        <v>0.85307267297792977</v>
      </c>
      <c r="L153">
        <v>0.91061944792063609</v>
      </c>
    </row>
    <row r="154" spans="1:12" x14ac:dyDescent="0.25">
      <c r="A154" s="3">
        <f>DATE(1999,9,1)</f>
        <v>36404</v>
      </c>
      <c r="B154">
        <v>25</v>
      </c>
      <c r="C154">
        <v>7.2398506745230407E-6</v>
      </c>
      <c r="D154">
        <v>10.63093408178448</v>
      </c>
      <c r="E154">
        <v>9</v>
      </c>
      <c r="F154">
        <v>10.16338429551746</v>
      </c>
      <c r="G154">
        <v>0.67320267224545405</v>
      </c>
      <c r="H154">
        <v>0.6945156422322516</v>
      </c>
      <c r="I154">
        <v>92</v>
      </c>
      <c r="J154">
        <v>0.874543985764207</v>
      </c>
      <c r="K154">
        <v>0.70349922899600303</v>
      </c>
      <c r="L154">
        <v>0.874543985764207</v>
      </c>
    </row>
    <row r="155" spans="1:12" x14ac:dyDescent="0.25">
      <c r="A155" s="3">
        <f>DATE(1999,10,1)</f>
        <v>36434</v>
      </c>
      <c r="B155">
        <v>25</v>
      </c>
      <c r="C155">
        <v>7.2093930612027179E-6</v>
      </c>
      <c r="D155">
        <v>10.58621038594414</v>
      </c>
      <c r="E155">
        <v>10</v>
      </c>
      <c r="F155">
        <v>10.12630033211884</v>
      </c>
      <c r="G155">
        <v>0.70316297472204004</v>
      </c>
      <c r="H155">
        <v>0.65405897403386337</v>
      </c>
      <c r="I155">
        <v>77</v>
      </c>
      <c r="J155">
        <v>0.79723942400043046</v>
      </c>
      <c r="K155">
        <v>0.66249986229146485</v>
      </c>
      <c r="L155">
        <v>0.79723942400043046</v>
      </c>
    </row>
    <row r="156" spans="1:12" x14ac:dyDescent="0.25">
      <c r="A156" s="3">
        <f>DATE(1999,11,1)</f>
        <v>36465</v>
      </c>
      <c r="B156">
        <v>25</v>
      </c>
      <c r="C156">
        <v>7.1448716880695429E-6</v>
      </c>
      <c r="D156">
        <v>10.491467759958949</v>
      </c>
      <c r="E156">
        <v>11</v>
      </c>
      <c r="F156">
        <v>10.060733769865241</v>
      </c>
      <c r="G156">
        <v>0.67357937377392463</v>
      </c>
      <c r="H156">
        <v>0.63947027902650777</v>
      </c>
      <c r="I156">
        <v>-4</v>
      </c>
      <c r="J156">
        <v>0.37979479047603698</v>
      </c>
      <c r="K156">
        <v>0.64771546992840157</v>
      </c>
      <c r="L156">
        <v>0.37979479047603698</v>
      </c>
    </row>
    <row r="157" spans="1:12" x14ac:dyDescent="0.25">
      <c r="A157" s="3">
        <f>DATE(1999,12,1)</f>
        <v>36495</v>
      </c>
      <c r="B157">
        <v>25</v>
      </c>
      <c r="C157">
        <v>6.8772592385357711E-6</v>
      </c>
      <c r="D157">
        <v>10.098507954797521</v>
      </c>
      <c r="E157">
        <v>12</v>
      </c>
      <c r="F157">
        <v>9.8125461093946242</v>
      </c>
      <c r="G157">
        <v>0.57745665677750224</v>
      </c>
      <c r="H157">
        <v>0.4952091937059086</v>
      </c>
      <c r="I157">
        <v>-54</v>
      </c>
      <c r="J157">
        <v>0.1221129179301151</v>
      </c>
      <c r="K157">
        <v>0.50151922091327528</v>
      </c>
      <c r="L157">
        <v>0.1221129179301151</v>
      </c>
    </row>
    <row r="158" spans="1:12" x14ac:dyDescent="0.25">
      <c r="A158" s="3">
        <f>DATE(2000,1,1)</f>
        <v>36526</v>
      </c>
      <c r="B158">
        <v>25</v>
      </c>
      <c r="C158">
        <v>6.7128476075595236E-6</v>
      </c>
      <c r="D158">
        <v>9.8570873385771023</v>
      </c>
      <c r="E158">
        <v>1</v>
      </c>
      <c r="F158">
        <v>9.6397912031521695</v>
      </c>
      <c r="G158">
        <v>0.58355710709482933</v>
      </c>
      <c r="H158">
        <v>0.37236481705572239</v>
      </c>
      <c r="I158">
        <v>-47</v>
      </c>
      <c r="J158">
        <v>0.15818838008654421</v>
      </c>
      <c r="K158">
        <v>0.37702697105291638</v>
      </c>
      <c r="L158">
        <v>0.15818838008654421</v>
      </c>
    </row>
    <row r="159" spans="1:12" x14ac:dyDescent="0.25">
      <c r="A159" s="3">
        <f>DATE(2000,2,1)</f>
        <v>36557</v>
      </c>
      <c r="B159">
        <v>25</v>
      </c>
      <c r="C159">
        <v>6.7124442466592882E-6</v>
      </c>
      <c r="D159">
        <v>9.8564950469216033</v>
      </c>
      <c r="E159">
        <v>2</v>
      </c>
      <c r="F159">
        <v>9.7375638364217298</v>
      </c>
      <c r="G159">
        <v>0.60243313708146806</v>
      </c>
      <c r="H159">
        <v>0.19741810863201259</v>
      </c>
      <c r="I159">
        <v>-32</v>
      </c>
      <c r="J159">
        <v>0.23549294185032069</v>
      </c>
      <c r="K159">
        <v>0.19973347230896049</v>
      </c>
      <c r="L159">
        <v>0.23549294185032069</v>
      </c>
    </row>
    <row r="160" spans="1:12" x14ac:dyDescent="0.25">
      <c r="A160" s="3">
        <f>DATE(2000,3,1)</f>
        <v>36586</v>
      </c>
      <c r="B160">
        <v>25</v>
      </c>
      <c r="C160">
        <v>6.8218419073673431E-6</v>
      </c>
      <c r="D160">
        <v>10.017133625253249</v>
      </c>
      <c r="E160">
        <v>3</v>
      </c>
      <c r="F160">
        <v>10.102290150544111</v>
      </c>
      <c r="G160">
        <v>0.58402337655596781</v>
      </c>
      <c r="H160">
        <v>-0.14581013142493379</v>
      </c>
      <c r="I160">
        <v>13</v>
      </c>
      <c r="J160">
        <v>0.46740662714165038</v>
      </c>
      <c r="K160">
        <v>-0.14809893960499459</v>
      </c>
      <c r="L160">
        <v>0.46740662714165038</v>
      </c>
    </row>
    <row r="161" spans="1:12" x14ac:dyDescent="0.25">
      <c r="A161" s="3">
        <f>DATE(2000,4,1)</f>
        <v>36617</v>
      </c>
      <c r="B161">
        <v>25</v>
      </c>
      <c r="C161">
        <v>7.0444061748275999E-6</v>
      </c>
      <c r="D161">
        <v>10.343945069673889</v>
      </c>
      <c r="E161">
        <v>4</v>
      </c>
      <c r="F161">
        <v>10.4239539327638</v>
      </c>
      <c r="G161">
        <v>0.55440043159667007</v>
      </c>
      <c r="H161">
        <v>-0.1443160187655067</v>
      </c>
      <c r="I161">
        <v>-95</v>
      </c>
      <c r="J161">
        <v>-8.9186217557540817E-2</v>
      </c>
      <c r="K161">
        <v>-0.14658478444715131</v>
      </c>
      <c r="L161">
        <v>-8.9186217557540817E-2</v>
      </c>
    </row>
    <row r="162" spans="1:12" x14ac:dyDescent="0.25">
      <c r="A162" s="3">
        <f>DATE(2000,5,1)</f>
        <v>36647</v>
      </c>
      <c r="B162">
        <v>25</v>
      </c>
      <c r="C162">
        <v>7.1437020778830629E-6</v>
      </c>
      <c r="D162">
        <v>10.489750314482119</v>
      </c>
      <c r="E162">
        <v>5</v>
      </c>
      <c r="F162">
        <v>10.563854595443869</v>
      </c>
      <c r="G162">
        <v>0.54479993746219246</v>
      </c>
      <c r="H162">
        <v>-0.13602108933225501</v>
      </c>
      <c r="I162">
        <v>-257</v>
      </c>
      <c r="J162">
        <v>-0.9240754846063276</v>
      </c>
      <c r="K162">
        <v>-0.13817858421448609</v>
      </c>
      <c r="L162">
        <v>-0.9240754846063276</v>
      </c>
    </row>
    <row r="163" spans="1:12" x14ac:dyDescent="0.25">
      <c r="A163" s="3">
        <f>DATE(2000,6,1)</f>
        <v>36678</v>
      </c>
      <c r="B163">
        <v>25</v>
      </c>
      <c r="C163">
        <v>7.0830601544003002E-6</v>
      </c>
      <c r="D163">
        <v>10.40070423879351</v>
      </c>
      <c r="E163">
        <v>6</v>
      </c>
      <c r="F163">
        <v>10.3971239506839</v>
      </c>
      <c r="G163">
        <v>0.5168192025484809</v>
      </c>
      <c r="H163">
        <v>6.9275446654339006E-3</v>
      </c>
      <c r="I163">
        <v>-304</v>
      </c>
      <c r="J163">
        <v>-1.1662964447994939</v>
      </c>
      <c r="K163">
        <v>6.6876078417728631E-3</v>
      </c>
      <c r="L163">
        <v>-1.1662964447994939</v>
      </c>
    </row>
    <row r="164" spans="1:12" x14ac:dyDescent="0.25">
      <c r="A164" s="3">
        <f>DATE(2000,7,1)</f>
        <v>36708</v>
      </c>
      <c r="B164">
        <v>25</v>
      </c>
      <c r="C164">
        <v>6.9542675191769376E-6</v>
      </c>
      <c r="D164">
        <v>10.211586247714351</v>
      </c>
      <c r="E164">
        <v>7</v>
      </c>
      <c r="F164">
        <v>10.22014270149756</v>
      </c>
      <c r="G164">
        <v>0.60227454144232395</v>
      </c>
      <c r="H164">
        <v>-1.4206899336510511E-2</v>
      </c>
      <c r="I164">
        <v>-323</v>
      </c>
      <c r="J164">
        <v>-1.2642155563669439</v>
      </c>
      <c r="K164">
        <v>-1.4730340257244489E-2</v>
      </c>
      <c r="L164">
        <v>-1.2642155563669439</v>
      </c>
    </row>
    <row r="165" spans="1:12" x14ac:dyDescent="0.25">
      <c r="A165" s="3">
        <f>DATE(2000,8,1)</f>
        <v>36739</v>
      </c>
      <c r="B165">
        <v>25</v>
      </c>
      <c r="C165">
        <v>6.7950873017252889E-6</v>
      </c>
      <c r="D165">
        <v>9.9778473938443977</v>
      </c>
      <c r="E165">
        <v>8</v>
      </c>
      <c r="F165">
        <v>10.11625720624791</v>
      </c>
      <c r="G165">
        <v>0.63641538718728341</v>
      </c>
      <c r="H165">
        <v>-0.2174834474308262</v>
      </c>
      <c r="I165">
        <v>-334</v>
      </c>
      <c r="J165">
        <v>-1.320905568327047</v>
      </c>
      <c r="K165">
        <v>-0.22073370407561149</v>
      </c>
      <c r="L165">
        <v>-1.320905568327047</v>
      </c>
    </row>
    <row r="166" spans="1:12" x14ac:dyDescent="0.25">
      <c r="A166" s="3">
        <f>DATE(2000,9,1)</f>
        <v>36770</v>
      </c>
      <c r="B166">
        <v>25</v>
      </c>
      <c r="C166">
        <v>6.9107668423384894E-6</v>
      </c>
      <c r="D166">
        <v>10.14771023026969</v>
      </c>
      <c r="E166">
        <v>9</v>
      </c>
      <c r="F166">
        <v>10.16338429551746</v>
      </c>
      <c r="G166">
        <v>0.67320267224545405</v>
      </c>
      <c r="H166">
        <v>-2.328283278420443E-2</v>
      </c>
      <c r="I166">
        <v>-345</v>
      </c>
      <c r="J166">
        <v>-1.37759558028715</v>
      </c>
      <c r="K166">
        <v>-2.3928021138509208E-2</v>
      </c>
      <c r="L166">
        <v>-1.37759558028715</v>
      </c>
    </row>
    <row r="167" spans="1:12" x14ac:dyDescent="0.25">
      <c r="A167" s="3">
        <f>DATE(2000,10,1)</f>
        <v>36800</v>
      </c>
      <c r="B167">
        <v>25</v>
      </c>
      <c r="C167">
        <v>6.4814266806934029E-6</v>
      </c>
      <c r="D167">
        <v>9.5172708521243248</v>
      </c>
      <c r="E167">
        <v>10</v>
      </c>
      <c r="F167">
        <v>10.12630033211884</v>
      </c>
      <c r="G167">
        <v>0.70316297472204004</v>
      </c>
      <c r="H167">
        <v>-0.86612848214209148</v>
      </c>
      <c r="I167">
        <v>-339</v>
      </c>
      <c r="J167">
        <v>-1.346673755581639</v>
      </c>
      <c r="K167">
        <v>-0.8780798678475582</v>
      </c>
      <c r="L167">
        <v>-1.346673755581639</v>
      </c>
    </row>
    <row r="168" spans="1:12" x14ac:dyDescent="0.25">
      <c r="A168" s="3">
        <f>DATE(2000,11,1)</f>
        <v>36831</v>
      </c>
      <c r="B168">
        <v>25</v>
      </c>
      <c r="C168">
        <v>6.4046789702842943E-6</v>
      </c>
      <c r="D168">
        <v>9.4045751782814566</v>
      </c>
      <c r="E168">
        <v>11</v>
      </c>
      <c r="F168">
        <v>10.060733769865241</v>
      </c>
      <c r="G168">
        <v>0.67357937377392463</v>
      </c>
      <c r="H168">
        <v>-0.97413700171289541</v>
      </c>
      <c r="I168">
        <v>-311</v>
      </c>
      <c r="J168">
        <v>-1.2023719069559231</v>
      </c>
      <c r="K168">
        <v>-0.98753724776284479</v>
      </c>
      <c r="L168">
        <v>-1.2023719069559231</v>
      </c>
    </row>
    <row r="169" spans="1:12" x14ac:dyDescent="0.25">
      <c r="A169" s="3">
        <f>DATE(2000,12,1)</f>
        <v>36861</v>
      </c>
      <c r="B169">
        <v>25</v>
      </c>
      <c r="C169">
        <v>6.1907380768388984E-6</v>
      </c>
      <c r="D169">
        <v>9.0904262216434919</v>
      </c>
      <c r="E169">
        <v>12</v>
      </c>
      <c r="F169">
        <v>9.8125461093946242</v>
      </c>
      <c r="G169">
        <v>0.57745665677750224</v>
      </c>
      <c r="H169">
        <v>-1.25051790342313</v>
      </c>
      <c r="I169">
        <v>-282</v>
      </c>
      <c r="J169">
        <v>-1.0529164208792881</v>
      </c>
      <c r="K169">
        <v>-1.2676256100516661</v>
      </c>
      <c r="L169">
        <v>-1.0529164208792881</v>
      </c>
    </row>
    <row r="170" spans="1:12" x14ac:dyDescent="0.25">
      <c r="A170" s="3">
        <f>DATE(2001,1,1)</f>
        <v>36892</v>
      </c>
      <c r="B170">
        <v>25</v>
      </c>
      <c r="C170">
        <v>6.1506616475526243E-6</v>
      </c>
      <c r="D170">
        <v>9.0315783396733647</v>
      </c>
      <c r="E170">
        <v>1</v>
      </c>
      <c r="F170">
        <v>9.6397912031521695</v>
      </c>
      <c r="G170">
        <v>0.58355710709482933</v>
      </c>
      <c r="H170">
        <v>-1.042250803022041</v>
      </c>
      <c r="I170">
        <v>-298</v>
      </c>
      <c r="J170">
        <v>-1.135374620093984</v>
      </c>
      <c r="K170">
        <v>-1.056564749083998</v>
      </c>
      <c r="L170">
        <v>-1.135374620093984</v>
      </c>
    </row>
    <row r="171" spans="1:12" x14ac:dyDescent="0.25">
      <c r="A171" s="3">
        <f>DATE(2001,2,1)</f>
        <v>36923</v>
      </c>
      <c r="B171">
        <v>25</v>
      </c>
      <c r="C171">
        <v>6.1136693148000631E-6</v>
      </c>
      <c r="D171">
        <v>8.9772591183656925</v>
      </c>
      <c r="E171">
        <v>2</v>
      </c>
      <c r="F171">
        <v>9.7375638364217298</v>
      </c>
      <c r="G171">
        <v>0.60243313708146806</v>
      </c>
      <c r="H171">
        <v>-1.2620566022303981</v>
      </c>
      <c r="I171">
        <v>-304</v>
      </c>
      <c r="J171">
        <v>-1.1662964447994939</v>
      </c>
      <c r="K171">
        <v>-1.2793190926037279</v>
      </c>
      <c r="L171">
        <v>-1.1662964447994939</v>
      </c>
    </row>
    <row r="172" spans="1:12" x14ac:dyDescent="0.25">
      <c r="A172" s="3">
        <f>DATE(2001,3,1)</f>
        <v>36951</v>
      </c>
      <c r="B172">
        <v>25</v>
      </c>
      <c r="C172">
        <v>6.4931386987154838E-6</v>
      </c>
      <c r="D172">
        <v>9.5344686780402039</v>
      </c>
      <c r="E172">
        <v>3</v>
      </c>
      <c r="F172">
        <v>10.102290150544111</v>
      </c>
      <c r="G172">
        <v>0.58402337655596781</v>
      </c>
      <c r="H172">
        <v>-0.97225812407098</v>
      </c>
      <c r="I172">
        <v>-309</v>
      </c>
      <c r="J172">
        <v>-1.192064632054086</v>
      </c>
      <c r="K172">
        <v>-0.98563316626369357</v>
      </c>
      <c r="L172">
        <v>-1.192064632054086</v>
      </c>
    </row>
    <row r="173" spans="1:12" x14ac:dyDescent="0.25">
      <c r="A173" s="3">
        <f>DATE(2001,4,1)</f>
        <v>36982</v>
      </c>
      <c r="B173">
        <v>25</v>
      </c>
      <c r="C173">
        <v>6.7767387008643709E-6</v>
      </c>
      <c r="D173">
        <v>9.9509044671163895</v>
      </c>
      <c r="E173">
        <v>4</v>
      </c>
      <c r="F173">
        <v>10.4239539327638</v>
      </c>
      <c r="G173">
        <v>0.55440043159667007</v>
      </c>
      <c r="H173">
        <v>-0.85326316266571123</v>
      </c>
      <c r="I173">
        <v>-317</v>
      </c>
      <c r="J173">
        <v>-1.2332937316614341</v>
      </c>
      <c r="K173">
        <v>-0.86504196891834872</v>
      </c>
      <c r="L173">
        <v>-1.2332937316614341</v>
      </c>
    </row>
    <row r="174" spans="1:12" x14ac:dyDescent="0.25">
      <c r="A174" s="3">
        <f>DATE(2001,5,1)</f>
        <v>37012</v>
      </c>
      <c r="B174">
        <v>25</v>
      </c>
      <c r="C174">
        <v>6.875485269119963E-6</v>
      </c>
      <c r="D174">
        <v>10.095903073458061</v>
      </c>
      <c r="E174">
        <v>5</v>
      </c>
      <c r="F174">
        <v>10.563854595443869</v>
      </c>
      <c r="G174">
        <v>0.54479993746219246</v>
      </c>
      <c r="H174">
        <v>-0.85894195246357719</v>
      </c>
      <c r="I174">
        <v>-328</v>
      </c>
      <c r="J174">
        <v>-1.2899837436215369</v>
      </c>
      <c r="K174">
        <v>-0.87079693579349959</v>
      </c>
      <c r="L174">
        <v>-1.2899837436215369</v>
      </c>
    </row>
    <row r="175" spans="1:12" x14ac:dyDescent="0.25">
      <c r="A175" s="3">
        <f>DATE(2001,6,1)</f>
        <v>37043</v>
      </c>
      <c r="B175">
        <v>25</v>
      </c>
      <c r="C175">
        <v>6.8345116233103909E-6</v>
      </c>
      <c r="D175">
        <v>10.035737726509019</v>
      </c>
      <c r="E175">
        <v>6</v>
      </c>
      <c r="F175">
        <v>10.3971239506839</v>
      </c>
      <c r="G175">
        <v>0.5168192025484809</v>
      </c>
      <c r="H175">
        <v>-0.69925076775950934</v>
      </c>
      <c r="I175">
        <v>-363</v>
      </c>
      <c r="J175">
        <v>-1.470361054403682</v>
      </c>
      <c r="K175">
        <v>-0.70896360317553964</v>
      </c>
      <c r="L175">
        <v>-1.470361054403682</v>
      </c>
    </row>
    <row r="176" spans="1:12" x14ac:dyDescent="0.25">
      <c r="A176" s="3">
        <f>DATE(2001,7,1)</f>
        <v>37073</v>
      </c>
      <c r="B176">
        <v>25</v>
      </c>
      <c r="C176">
        <v>6.7750847847491968E-6</v>
      </c>
      <c r="D176">
        <v>9.948475871004721</v>
      </c>
      <c r="E176">
        <v>7</v>
      </c>
      <c r="F176">
        <v>10.22014270149756</v>
      </c>
      <c r="G176">
        <v>0.60227454144232395</v>
      </c>
      <c r="H176">
        <v>-0.45106809569313311</v>
      </c>
      <c r="I176">
        <v>-344</v>
      </c>
      <c r="J176">
        <v>-1.372441942836232</v>
      </c>
      <c r="K176">
        <v>-0.45745173047597648</v>
      </c>
      <c r="L176">
        <v>-1.372441942836232</v>
      </c>
    </row>
    <row r="177" spans="1:12" x14ac:dyDescent="0.25">
      <c r="A177" s="3">
        <f>DATE(2001,8,1)</f>
        <v>37104</v>
      </c>
      <c r="B177">
        <v>25</v>
      </c>
      <c r="C177">
        <v>6.8152553467371044E-6</v>
      </c>
      <c r="D177">
        <v>10.00746197661937</v>
      </c>
      <c r="E177">
        <v>8</v>
      </c>
      <c r="F177">
        <v>10.11625720624791</v>
      </c>
      <c r="G177">
        <v>0.63641538718728341</v>
      </c>
      <c r="H177">
        <v>-0.17095003015149679</v>
      </c>
      <c r="I177">
        <v>-173</v>
      </c>
      <c r="J177">
        <v>-0.49116993872917891</v>
      </c>
      <c r="K177">
        <v>-0.17357607286151841</v>
      </c>
      <c r="L177">
        <v>-0.49116993872917891</v>
      </c>
    </row>
    <row r="178" spans="1:12" x14ac:dyDescent="0.25">
      <c r="A178" s="3">
        <f>DATE(2001,9,1)</f>
        <v>37135</v>
      </c>
      <c r="B178">
        <v>25</v>
      </c>
      <c r="C178">
        <v>7.0712376327719539E-6</v>
      </c>
      <c r="D178">
        <v>10.383344150338409</v>
      </c>
      <c r="E178">
        <v>9</v>
      </c>
      <c r="F178">
        <v>10.16338429551746</v>
      </c>
      <c r="G178">
        <v>0.67320267224545405</v>
      </c>
      <c r="H178">
        <v>0.32673645528957518</v>
      </c>
      <c r="I178">
        <v>-48</v>
      </c>
      <c r="J178">
        <v>0.15303474263562569</v>
      </c>
      <c r="K178">
        <v>0.33078653605208941</v>
      </c>
      <c r="L178">
        <v>0.15303474263562569</v>
      </c>
    </row>
    <row r="179" spans="1:12" x14ac:dyDescent="0.25">
      <c r="A179" s="3">
        <f>DATE(2001,10,1)</f>
        <v>37165</v>
      </c>
      <c r="B179">
        <v>25</v>
      </c>
      <c r="C179">
        <v>7.3188912210753188E-6</v>
      </c>
      <c r="D179">
        <v>10.746996536379349</v>
      </c>
      <c r="E179">
        <v>10</v>
      </c>
      <c r="F179">
        <v>10.12630033211884</v>
      </c>
      <c r="G179">
        <v>0.70316297472204004</v>
      </c>
      <c r="H179">
        <v>0.88272026055676045</v>
      </c>
      <c r="I179">
        <v>52</v>
      </c>
      <c r="J179">
        <v>0.66839848772746957</v>
      </c>
      <c r="K179">
        <v>0.89422848342535277</v>
      </c>
      <c r="L179">
        <v>0.66839848772746957</v>
      </c>
    </row>
    <row r="180" spans="1:12" x14ac:dyDescent="0.25">
      <c r="A180" s="3">
        <f>DATE(2001,11,1)</f>
        <v>37196</v>
      </c>
      <c r="B180">
        <v>25</v>
      </c>
      <c r="C180">
        <v>7.3392793638049616E-6</v>
      </c>
      <c r="D180">
        <v>10.77693430873861</v>
      </c>
      <c r="E180">
        <v>11</v>
      </c>
      <c r="F180">
        <v>10.060733769865241</v>
      </c>
      <c r="G180">
        <v>0.67357937377392463</v>
      </c>
      <c r="H180">
        <v>1.0632756387130009</v>
      </c>
      <c r="I180">
        <v>120</v>
      </c>
      <c r="J180">
        <v>1.0188458343899229</v>
      </c>
      <c r="K180">
        <v>1.0772058883664539</v>
      </c>
      <c r="L180">
        <v>1.0188458343899229</v>
      </c>
    </row>
    <row r="181" spans="1:12" x14ac:dyDescent="0.25">
      <c r="A181" s="3">
        <f>DATE(2001,12,1)</f>
        <v>37226</v>
      </c>
      <c r="B181">
        <v>25</v>
      </c>
      <c r="C181">
        <v>6.9253546826075763E-6</v>
      </c>
      <c r="D181">
        <v>10.16913088868769</v>
      </c>
      <c r="E181">
        <v>12</v>
      </c>
      <c r="F181">
        <v>9.8125461093946242</v>
      </c>
      <c r="G181">
        <v>0.57745665677750224</v>
      </c>
      <c r="H181">
        <v>0.61750916732519345</v>
      </c>
      <c r="I181">
        <v>206</v>
      </c>
      <c r="J181">
        <v>1.462058655168909</v>
      </c>
      <c r="K181">
        <v>0.62545976494878641</v>
      </c>
      <c r="L181">
        <v>1.462058655168909</v>
      </c>
    </row>
    <row r="182" spans="1:12" x14ac:dyDescent="0.25">
      <c r="A182" s="3">
        <f>DATE(2002,1,1)</f>
        <v>37257</v>
      </c>
      <c r="B182">
        <v>25</v>
      </c>
      <c r="C182">
        <v>6.8943959377065767E-6</v>
      </c>
      <c r="D182">
        <v>10.12367133557073</v>
      </c>
      <c r="E182">
        <v>1</v>
      </c>
      <c r="F182">
        <v>9.6397912031521695</v>
      </c>
      <c r="G182">
        <v>0.58355710709482933</v>
      </c>
      <c r="H182">
        <v>0.82919071079007367</v>
      </c>
      <c r="I182">
        <v>166</v>
      </c>
      <c r="J182">
        <v>1.2559131571321711</v>
      </c>
      <c r="K182">
        <v>0.83998087139632638</v>
      </c>
      <c r="L182">
        <v>1.2559131571321711</v>
      </c>
    </row>
    <row r="183" spans="1:12" x14ac:dyDescent="0.25">
      <c r="A183" s="3">
        <f>DATE(2002,2,1)</f>
        <v>37288</v>
      </c>
      <c r="B183">
        <v>25</v>
      </c>
      <c r="C183">
        <v>6.9800062192371124E-6</v>
      </c>
      <c r="D183">
        <v>10.249380732157711</v>
      </c>
      <c r="E183">
        <v>2</v>
      </c>
      <c r="F183">
        <v>9.7375638364217298</v>
      </c>
      <c r="G183">
        <v>0.60243313708146806</v>
      </c>
      <c r="H183">
        <v>0.84958290676956427</v>
      </c>
      <c r="I183">
        <v>180</v>
      </c>
      <c r="J183">
        <v>1.32806408144503</v>
      </c>
      <c r="K183">
        <v>0.86064661472383186</v>
      </c>
      <c r="L183">
        <v>1.32806408144503</v>
      </c>
    </row>
    <row r="184" spans="1:12" x14ac:dyDescent="0.25">
      <c r="A184" s="3">
        <f>DATE(2002,3,1)</f>
        <v>37316</v>
      </c>
      <c r="B184">
        <v>25</v>
      </c>
      <c r="C184">
        <v>7.0577170845353976E-6</v>
      </c>
      <c r="D184">
        <v>10.363490694305369</v>
      </c>
      <c r="E184">
        <v>3</v>
      </c>
      <c r="F184">
        <v>10.102290150544111</v>
      </c>
      <c r="G184">
        <v>0.58402337655596781</v>
      </c>
      <c r="H184">
        <v>0.44724330265952861</v>
      </c>
      <c r="I184">
        <v>184</v>
      </c>
      <c r="J184">
        <v>1.3486786312487029</v>
      </c>
      <c r="K184">
        <v>0.45290990027725708</v>
      </c>
      <c r="L184">
        <v>1.3486786312487029</v>
      </c>
    </row>
    <row r="185" spans="1:12" x14ac:dyDescent="0.25">
      <c r="A185" s="3">
        <f>DATE(2002,4,1)</f>
        <v>37347</v>
      </c>
      <c r="B185">
        <v>25</v>
      </c>
      <c r="C185">
        <v>7.0575056270172354E-6</v>
      </c>
      <c r="D185">
        <v>10.363180191915511</v>
      </c>
      <c r="E185">
        <v>4</v>
      </c>
      <c r="F185">
        <v>10.4239539327638</v>
      </c>
      <c r="G185">
        <v>0.55440043159667007</v>
      </c>
      <c r="H185">
        <v>-0.1096206593368996</v>
      </c>
      <c r="I185">
        <v>137</v>
      </c>
      <c r="J185">
        <v>1.1064576710555369</v>
      </c>
      <c r="K185">
        <v>-0.1114240105251928</v>
      </c>
      <c r="L185">
        <v>1.1064576710555369</v>
      </c>
    </row>
    <row r="186" spans="1:12" x14ac:dyDescent="0.25">
      <c r="A186" s="3">
        <f>DATE(2002,5,1)</f>
        <v>37377</v>
      </c>
      <c r="B186">
        <v>25</v>
      </c>
      <c r="C186">
        <v>7.1754875534679741E-6</v>
      </c>
      <c r="D186">
        <v>10.536423831781381</v>
      </c>
      <c r="E186">
        <v>5</v>
      </c>
      <c r="F186">
        <v>10.563854595443869</v>
      </c>
      <c r="G186">
        <v>0.54479993746219246</v>
      </c>
      <c r="H186">
        <v>-5.0350159345225763E-2</v>
      </c>
      <c r="I186">
        <v>146</v>
      </c>
      <c r="J186">
        <v>1.1528404081138031</v>
      </c>
      <c r="K186">
        <v>-5.1358437354321308E-2</v>
      </c>
      <c r="L186">
        <v>1.1528404081138031</v>
      </c>
    </row>
    <row r="187" spans="1:12" x14ac:dyDescent="0.25">
      <c r="A187" s="3">
        <f>DATE(2002,6,1)</f>
        <v>37408</v>
      </c>
      <c r="B187">
        <v>25</v>
      </c>
      <c r="C187">
        <v>6.9409520619956311E-6</v>
      </c>
      <c r="D187">
        <v>10.192033945612121</v>
      </c>
      <c r="E187">
        <v>6</v>
      </c>
      <c r="F187">
        <v>10.3971239506839</v>
      </c>
      <c r="G187">
        <v>0.5168192025484809</v>
      </c>
      <c r="H187">
        <v>-0.39683124013284449</v>
      </c>
      <c r="I187">
        <v>68</v>
      </c>
      <c r="J187">
        <v>0.75085668694216456</v>
      </c>
      <c r="K187">
        <v>-0.40248732463036779</v>
      </c>
      <c r="L187">
        <v>0.75085668694216456</v>
      </c>
    </row>
    <row r="188" spans="1:12" x14ac:dyDescent="0.25">
      <c r="A188" s="3">
        <f>DATE(2002,7,1)</f>
        <v>37438</v>
      </c>
      <c r="B188">
        <v>25</v>
      </c>
      <c r="C188">
        <v>6.6981874624616466E-6</v>
      </c>
      <c r="D188">
        <v>9.8355605083741864</v>
      </c>
      <c r="E188">
        <v>7</v>
      </c>
      <c r="F188">
        <v>10.22014270149756</v>
      </c>
      <c r="G188">
        <v>0.60227454144232395</v>
      </c>
      <c r="H188">
        <v>-0.6385496424975613</v>
      </c>
      <c r="I188">
        <v>101</v>
      </c>
      <c r="J188">
        <v>0.9209267228224729</v>
      </c>
      <c r="K188">
        <v>-0.64744821387583806</v>
      </c>
      <c r="L188">
        <v>0.9209267228224729</v>
      </c>
    </row>
    <row r="189" spans="1:12" x14ac:dyDescent="0.25">
      <c r="A189" s="3">
        <f>DATE(2002,8,1)</f>
        <v>37469</v>
      </c>
      <c r="B189">
        <v>25</v>
      </c>
      <c r="C189">
        <v>6.7310966187505983E-6</v>
      </c>
      <c r="D189">
        <v>9.883884028695693</v>
      </c>
      <c r="E189">
        <v>8</v>
      </c>
      <c r="F189">
        <v>10.11625720624791</v>
      </c>
      <c r="G189">
        <v>0.63641538718728341</v>
      </c>
      <c r="H189">
        <v>-0.36512815722325809</v>
      </c>
      <c r="I189">
        <v>83</v>
      </c>
      <c r="J189">
        <v>0.8281612487059411</v>
      </c>
      <c r="K189">
        <v>-0.37035896656833911</v>
      </c>
      <c r="L189">
        <v>0.8281612487059411</v>
      </c>
    </row>
    <row r="190" spans="1:12" x14ac:dyDescent="0.25">
      <c r="A190" s="3">
        <f>DATE(2002,9,1)</f>
        <v>37500</v>
      </c>
      <c r="B190">
        <v>25</v>
      </c>
      <c r="C190">
        <v>6.6878092184197158E-6</v>
      </c>
      <c r="D190">
        <v>9.8203211846291971</v>
      </c>
      <c r="E190">
        <v>9</v>
      </c>
      <c r="F190">
        <v>10.16338429551746</v>
      </c>
      <c r="G190">
        <v>0.67320267224545405</v>
      </c>
      <c r="H190">
        <v>-0.50959855780723917</v>
      </c>
      <c r="I190">
        <v>72</v>
      </c>
      <c r="J190">
        <v>0.77147123674583828</v>
      </c>
      <c r="K190">
        <v>-0.51676733866780267</v>
      </c>
      <c r="L190">
        <v>0.77147123674583828</v>
      </c>
    </row>
    <row r="191" spans="1:12" x14ac:dyDescent="0.25">
      <c r="A191" s="3">
        <f>DATE(2002,10,1)</f>
        <v>37530</v>
      </c>
      <c r="B191">
        <v>25</v>
      </c>
      <c r="C191">
        <v>6.8947165345889516E-6</v>
      </c>
      <c r="D191">
        <v>10.12414209725859</v>
      </c>
      <c r="E191">
        <v>10</v>
      </c>
      <c r="F191">
        <v>10.12630033211884</v>
      </c>
      <c r="G191">
        <v>0.70316297472204004</v>
      </c>
      <c r="H191">
        <v>-3.0693238094720802E-3</v>
      </c>
      <c r="I191">
        <v>-26</v>
      </c>
      <c r="J191">
        <v>0.26641476655583141</v>
      </c>
      <c r="K191">
        <v>-3.4433617795968912E-3</v>
      </c>
      <c r="L191">
        <v>0.26641476655583141</v>
      </c>
    </row>
    <row r="192" spans="1:12" x14ac:dyDescent="0.25">
      <c r="A192" s="3">
        <f>DATE(2002,11,1)</f>
        <v>37561</v>
      </c>
      <c r="B192">
        <v>25</v>
      </c>
      <c r="C192">
        <v>6.8366143750608899E-6</v>
      </c>
      <c r="D192">
        <v>10.03882538898368</v>
      </c>
      <c r="E192">
        <v>11</v>
      </c>
      <c r="F192">
        <v>10.060733769865241</v>
      </c>
      <c r="G192">
        <v>0.67357937377392463</v>
      </c>
      <c r="H192">
        <v>-3.252531436467411E-2</v>
      </c>
      <c r="I192">
        <v>-123</v>
      </c>
      <c r="J192">
        <v>-0.2334880661832571</v>
      </c>
      <c r="K192">
        <v>-3.3294484281727522E-2</v>
      </c>
      <c r="L192">
        <v>-0.2334880661832571</v>
      </c>
    </row>
    <row r="193" spans="1:12" x14ac:dyDescent="0.25">
      <c r="A193" s="3">
        <f>DATE(2002,12,1)</f>
        <v>37591</v>
      </c>
      <c r="B193">
        <v>25</v>
      </c>
      <c r="C193">
        <v>6.3946013142412994E-6</v>
      </c>
      <c r="D193">
        <v>9.3897772353530229</v>
      </c>
      <c r="E193">
        <v>12</v>
      </c>
      <c r="F193">
        <v>9.8125461093946242</v>
      </c>
      <c r="G193">
        <v>0.57745665677750224</v>
      </c>
      <c r="H193">
        <v>-0.73212226247570455</v>
      </c>
      <c r="I193">
        <v>-191</v>
      </c>
      <c r="J193">
        <v>-0.58393541284571082</v>
      </c>
      <c r="K193">
        <v>-0.74227604648863643</v>
      </c>
      <c r="L193">
        <v>-0.58393541284571082</v>
      </c>
    </row>
    <row r="194" spans="1:12" x14ac:dyDescent="0.25">
      <c r="A194" s="3">
        <f>DATE(2003,1,1)</f>
        <v>37622</v>
      </c>
      <c r="B194">
        <v>25</v>
      </c>
      <c r="C194">
        <v>6.0787265283579472E-6</v>
      </c>
      <c r="D194">
        <v>8.9259494331249147</v>
      </c>
      <c r="E194">
        <v>1</v>
      </c>
      <c r="F194">
        <v>9.6397912031521695</v>
      </c>
      <c r="G194">
        <v>0.58355710709482933</v>
      </c>
      <c r="H194">
        <v>-1.223259491399278</v>
      </c>
      <c r="I194">
        <v>-182</v>
      </c>
      <c r="J194">
        <v>-0.53755267578744481</v>
      </c>
      <c r="K194">
        <v>-1.240001545092362</v>
      </c>
      <c r="L194">
        <v>-0.53755267578744481</v>
      </c>
    </row>
    <row r="195" spans="1:12" x14ac:dyDescent="0.25">
      <c r="A195" s="3">
        <f>DATE(2003,2,1)</f>
        <v>37653</v>
      </c>
      <c r="B195">
        <v>25</v>
      </c>
      <c r="C195">
        <v>6.079728791519301E-6</v>
      </c>
      <c r="D195">
        <v>8.9274211476781513</v>
      </c>
      <c r="E195">
        <v>2</v>
      </c>
      <c r="F195">
        <v>9.7375638364217298</v>
      </c>
      <c r="G195">
        <v>0.60243313708146806</v>
      </c>
      <c r="H195">
        <v>-1.34478440656232</v>
      </c>
      <c r="I195">
        <v>-172</v>
      </c>
      <c r="J195">
        <v>-0.48601630127826051</v>
      </c>
      <c r="K195">
        <v>-1.3631566337930661</v>
      </c>
      <c r="L195">
        <v>-0.48601630127826051</v>
      </c>
    </row>
    <row r="196" spans="1:12" x14ac:dyDescent="0.25">
      <c r="A196" s="3">
        <f>DATE(2003,3,1)</f>
        <v>37681</v>
      </c>
      <c r="B196">
        <v>25</v>
      </c>
      <c r="C196">
        <v>6.3457291616941802E-6</v>
      </c>
      <c r="D196">
        <v>9.3180137894588047</v>
      </c>
      <c r="E196">
        <v>3</v>
      </c>
      <c r="F196">
        <v>10.102290150544111</v>
      </c>
      <c r="G196">
        <v>0.58402337655596781</v>
      </c>
      <c r="H196">
        <v>-1.342885220982496</v>
      </c>
      <c r="I196">
        <v>-209</v>
      </c>
      <c r="J196">
        <v>-0.67670088696224262</v>
      </c>
      <c r="K196">
        <v>-1.3612319719389221</v>
      </c>
      <c r="L196">
        <v>-0.67670088696224262</v>
      </c>
    </row>
    <row r="197" spans="1:12" x14ac:dyDescent="0.25">
      <c r="A197" s="3">
        <f>DATE(2003,4,1)</f>
        <v>37712</v>
      </c>
      <c r="B197">
        <v>25</v>
      </c>
      <c r="C197">
        <v>6.7438663791108411E-6</v>
      </c>
      <c r="D197">
        <v>9.9026350343079557</v>
      </c>
      <c r="E197">
        <v>4</v>
      </c>
      <c r="F197">
        <v>10.4239539327638</v>
      </c>
      <c r="G197">
        <v>0.55440043159667007</v>
      </c>
      <c r="H197">
        <v>-0.94032917137969829</v>
      </c>
      <c r="I197">
        <v>-264</v>
      </c>
      <c r="J197">
        <v>-0.96015094676275659</v>
      </c>
      <c r="K197">
        <v>-0.95327590853148469</v>
      </c>
      <c r="L197">
        <v>-0.96015094676275659</v>
      </c>
    </row>
    <row r="198" spans="1:12" x14ac:dyDescent="0.25">
      <c r="A198" s="3">
        <f>DATE(2003,5,1)</f>
        <v>37742</v>
      </c>
      <c r="B198">
        <v>25</v>
      </c>
      <c r="C198">
        <v>6.9587017605954324E-6</v>
      </c>
      <c r="D198">
        <v>10.218097449442389</v>
      </c>
      <c r="E198">
        <v>5</v>
      </c>
      <c r="F198">
        <v>10.563854595443869</v>
      </c>
      <c r="G198">
        <v>0.54479993746219246</v>
      </c>
      <c r="H198">
        <v>-0.63464975347115637</v>
      </c>
      <c r="I198">
        <v>-285</v>
      </c>
      <c r="J198">
        <v>-1.0683773332320441</v>
      </c>
      <c r="K198">
        <v>-0.64349601050811367</v>
      </c>
      <c r="L198">
        <v>-1.0683773332320441</v>
      </c>
    </row>
    <row r="199" spans="1:12" x14ac:dyDescent="0.25">
      <c r="A199" s="3">
        <f>DATE(2003,6,1)</f>
        <v>37773</v>
      </c>
      <c r="B199">
        <v>25</v>
      </c>
      <c r="C199">
        <v>7.0894284363021143E-6</v>
      </c>
      <c r="D199">
        <v>10.410055368831401</v>
      </c>
      <c r="E199">
        <v>6</v>
      </c>
      <c r="F199">
        <v>10.3971239506839</v>
      </c>
      <c r="G199">
        <v>0.5168192025484809</v>
      </c>
      <c r="H199">
        <v>2.502116423641559E-2</v>
      </c>
      <c r="I199">
        <v>-294</v>
      </c>
      <c r="J199">
        <v>-1.11476007029031</v>
      </c>
      <c r="K199">
        <v>2.5023940931916941E-2</v>
      </c>
      <c r="L199">
        <v>-1.11476007029031</v>
      </c>
    </row>
    <row r="200" spans="1:12" x14ac:dyDescent="0.25">
      <c r="A200" s="3">
        <f>DATE(2003,7,1)</f>
        <v>37803</v>
      </c>
      <c r="B200">
        <v>25</v>
      </c>
      <c r="C200">
        <v>6.5389235714974348E-6</v>
      </c>
      <c r="D200">
        <v>9.6016987890424428</v>
      </c>
      <c r="E200">
        <v>7</v>
      </c>
      <c r="F200">
        <v>10.22014270149756</v>
      </c>
      <c r="G200">
        <v>0.60227454144232395</v>
      </c>
      <c r="H200">
        <v>-1.026847176661454</v>
      </c>
      <c r="I200">
        <v>-318</v>
      </c>
      <c r="J200">
        <v>-1.2384473691123521</v>
      </c>
      <c r="K200">
        <v>-1.040954493621524</v>
      </c>
      <c r="L200">
        <v>-1.2384473691123521</v>
      </c>
    </row>
    <row r="201" spans="1:12" x14ac:dyDescent="0.25">
      <c r="A201" s="3">
        <f>DATE(2003,8,1)</f>
        <v>37834</v>
      </c>
      <c r="B201">
        <v>25</v>
      </c>
      <c r="C201">
        <v>6.4164305513259023E-6</v>
      </c>
      <c r="D201">
        <v>9.4218310981928592</v>
      </c>
      <c r="E201">
        <v>8</v>
      </c>
      <c r="F201">
        <v>10.11625720624791</v>
      </c>
      <c r="G201">
        <v>0.63641538718728341</v>
      </c>
      <c r="H201">
        <v>-1.0911522914682421</v>
      </c>
      <c r="I201">
        <v>-341</v>
      </c>
      <c r="J201">
        <v>-1.356981030483476</v>
      </c>
      <c r="K201">
        <v>-1.1061222175184211</v>
      </c>
      <c r="L201">
        <v>-1.356981030483476</v>
      </c>
    </row>
    <row r="202" spans="1:12" x14ac:dyDescent="0.25">
      <c r="A202" s="3">
        <f>DATE(2003,9,1)</f>
        <v>37865</v>
      </c>
      <c r="B202">
        <v>25</v>
      </c>
      <c r="C202">
        <v>6.3400057115359232E-6</v>
      </c>
      <c r="D202">
        <v>9.3096095247732205</v>
      </c>
      <c r="E202">
        <v>9</v>
      </c>
      <c r="F202">
        <v>10.16338429551746</v>
      </c>
      <c r="G202">
        <v>0.67320267224545405</v>
      </c>
      <c r="H202">
        <v>-1.2682284339372729</v>
      </c>
      <c r="I202">
        <v>-337</v>
      </c>
      <c r="J202">
        <v>-1.336366480679803</v>
      </c>
      <c r="K202">
        <v>-1.285573715207547</v>
      </c>
      <c r="L202">
        <v>-1.336366480679803</v>
      </c>
    </row>
    <row r="203" spans="1:12" x14ac:dyDescent="0.25">
      <c r="A203" s="3">
        <f>DATE(2003,10,1)</f>
        <v>37895</v>
      </c>
      <c r="B203">
        <v>25</v>
      </c>
      <c r="C203">
        <v>6.1357482081803028E-6</v>
      </c>
      <c r="D203">
        <v>9.009679574349688</v>
      </c>
      <c r="E203">
        <v>10</v>
      </c>
      <c r="F203">
        <v>10.12630033211884</v>
      </c>
      <c r="G203">
        <v>0.70316297472204004</v>
      </c>
      <c r="H203">
        <v>-1.5879970901632789</v>
      </c>
      <c r="I203">
        <v>-326</v>
      </c>
      <c r="J203">
        <v>-1.2796764687197</v>
      </c>
      <c r="K203">
        <v>-1.6096318490345369</v>
      </c>
      <c r="L203">
        <v>-1.2796764687197</v>
      </c>
    </row>
    <row r="204" spans="1:12" x14ac:dyDescent="0.25">
      <c r="A204" s="3">
        <f>DATE(2003,11,1)</f>
        <v>37926</v>
      </c>
      <c r="B204">
        <v>25</v>
      </c>
      <c r="C204">
        <v>6.3105944718699902E-6</v>
      </c>
      <c r="D204">
        <v>9.2664223149523899</v>
      </c>
      <c r="E204">
        <v>11</v>
      </c>
      <c r="F204">
        <v>10.060733769865241</v>
      </c>
      <c r="G204">
        <v>0.67357937377392463</v>
      </c>
      <c r="H204">
        <v>-1.1792395756753751</v>
      </c>
      <c r="I204">
        <v>-161</v>
      </c>
      <c r="J204">
        <v>-0.42932628931815769</v>
      </c>
      <c r="K204">
        <v>-1.1953911323362501</v>
      </c>
      <c r="L204">
        <v>-0.42932628931815769</v>
      </c>
    </row>
    <row r="205" spans="1:12" x14ac:dyDescent="0.25">
      <c r="A205" s="3">
        <f>DATE(2003,12,1)</f>
        <v>37956</v>
      </c>
      <c r="B205">
        <v>25</v>
      </c>
      <c r="C205">
        <v>6.3185466387949418E-6</v>
      </c>
      <c r="D205">
        <v>9.2780992080524101</v>
      </c>
      <c r="E205">
        <v>12</v>
      </c>
      <c r="F205">
        <v>9.8125461093946242</v>
      </c>
      <c r="G205">
        <v>0.57745665677750224</v>
      </c>
      <c r="H205">
        <v>-0.92551864294836594</v>
      </c>
      <c r="I205">
        <v>47</v>
      </c>
      <c r="J205">
        <v>0.64263030047287728</v>
      </c>
      <c r="K205">
        <v>-0.93826670700093517</v>
      </c>
      <c r="L205">
        <v>0.64263030047287728</v>
      </c>
    </row>
    <row r="206" spans="1:12" x14ac:dyDescent="0.25">
      <c r="A206" s="3">
        <f>DATE(2004,1,1)</f>
        <v>37987</v>
      </c>
      <c r="B206">
        <v>25</v>
      </c>
      <c r="C206">
        <v>6.6034149313054513E-6</v>
      </c>
      <c r="D206">
        <v>9.6963973437206903</v>
      </c>
      <c r="E206">
        <v>1</v>
      </c>
      <c r="F206">
        <v>9.6397912031521695</v>
      </c>
      <c r="G206">
        <v>0.58355710709482933</v>
      </c>
      <c r="H206">
        <v>9.7001887013813945E-2</v>
      </c>
      <c r="I206">
        <v>121</v>
      </c>
      <c r="J206">
        <v>1.0239994718408421</v>
      </c>
      <c r="K206">
        <v>9.7970235825420485E-2</v>
      </c>
      <c r="L206">
        <v>1.0239994718408421</v>
      </c>
    </row>
    <row r="207" spans="1:12" x14ac:dyDescent="0.25">
      <c r="A207" s="3">
        <f>DATE(2004,2,1)</f>
        <v>38018</v>
      </c>
      <c r="B207">
        <v>25</v>
      </c>
      <c r="C207">
        <v>6.5742037804739084E-6</v>
      </c>
      <c r="D207">
        <v>9.6535039426128488</v>
      </c>
      <c r="E207">
        <v>2</v>
      </c>
      <c r="F207">
        <v>9.7375638364217298</v>
      </c>
      <c r="G207">
        <v>0.60243313708146806</v>
      </c>
      <c r="H207">
        <v>-0.13953398084327731</v>
      </c>
      <c r="I207">
        <v>121</v>
      </c>
      <c r="J207">
        <v>1.0239994718408421</v>
      </c>
      <c r="K207">
        <v>-0.141738598760108</v>
      </c>
      <c r="L207">
        <v>1.0239994718408421</v>
      </c>
    </row>
    <row r="208" spans="1:12" x14ac:dyDescent="0.25">
      <c r="A208" s="3">
        <f>DATE(2004,3,1)</f>
        <v>38047</v>
      </c>
      <c r="B208">
        <v>25</v>
      </c>
      <c r="C208">
        <v>6.936878889973741E-6</v>
      </c>
      <c r="D208">
        <v>10.1860529350616</v>
      </c>
      <c r="E208">
        <v>3</v>
      </c>
      <c r="F208">
        <v>10.102290150544111</v>
      </c>
      <c r="G208">
        <v>0.58402337655596781</v>
      </c>
      <c r="H208">
        <v>0.1434236845303126</v>
      </c>
      <c r="I208">
        <v>140</v>
      </c>
      <c r="J208">
        <v>1.1219185834082921</v>
      </c>
      <c r="K208">
        <v>0.14501474997398231</v>
      </c>
      <c r="L208">
        <v>1.1219185834082921</v>
      </c>
    </row>
    <row r="209" spans="1:12" x14ac:dyDescent="0.25">
      <c r="A209" s="3">
        <f>DATE(2004,4,1)</f>
        <v>38078</v>
      </c>
      <c r="B209">
        <v>25</v>
      </c>
      <c r="C209">
        <v>7.6079218160884921E-6</v>
      </c>
      <c r="D209">
        <v>11.17140656102484</v>
      </c>
      <c r="E209">
        <v>4</v>
      </c>
      <c r="F209">
        <v>10.4239539327638</v>
      </c>
      <c r="G209">
        <v>0.55440043159667007</v>
      </c>
      <c r="H209">
        <v>1.3482179768662541</v>
      </c>
      <c r="I209">
        <v>142</v>
      </c>
      <c r="J209">
        <v>1.132225858310129</v>
      </c>
      <c r="K209">
        <v>1.3659705329067859</v>
      </c>
      <c r="L209">
        <v>1.132225858310129</v>
      </c>
    </row>
    <row r="210" spans="1:12" x14ac:dyDescent="0.25">
      <c r="A210" s="3">
        <f>DATE(2004,5,1)</f>
        <v>38108</v>
      </c>
      <c r="B210">
        <v>25</v>
      </c>
      <c r="C210">
        <v>7.445606570399832E-6</v>
      </c>
      <c r="D210">
        <v>10.933064258820041</v>
      </c>
      <c r="E210">
        <v>5</v>
      </c>
      <c r="F210">
        <v>10.563854595443869</v>
      </c>
      <c r="G210">
        <v>0.54479993746219246</v>
      </c>
      <c r="H210">
        <v>0.67769769779349831</v>
      </c>
      <c r="I210">
        <v>124</v>
      </c>
      <c r="J210">
        <v>1.039460384193597</v>
      </c>
      <c r="K210">
        <v>0.68645568334662443</v>
      </c>
      <c r="L210">
        <v>1.039460384193597</v>
      </c>
    </row>
    <row r="211" spans="1:12" x14ac:dyDescent="0.25">
      <c r="A211" s="3">
        <f>DATE(2004,6,1)</f>
        <v>38139</v>
      </c>
      <c r="B211">
        <v>25</v>
      </c>
      <c r="C211">
        <v>7.1415552156395279E-6</v>
      </c>
      <c r="D211">
        <v>10.486597880541179</v>
      </c>
      <c r="E211">
        <v>6</v>
      </c>
      <c r="F211">
        <v>10.3971239506839</v>
      </c>
      <c r="G211">
        <v>0.5168192025484809</v>
      </c>
      <c r="H211">
        <v>0.17312423651457509</v>
      </c>
      <c r="I211">
        <v>103</v>
      </c>
      <c r="J211">
        <v>0.93123399772430981</v>
      </c>
      <c r="K211">
        <v>0.17511371452931079</v>
      </c>
      <c r="L211">
        <v>0.93123399772430981</v>
      </c>
    </row>
    <row r="212" spans="1:12" x14ac:dyDescent="0.25">
      <c r="A212" s="3">
        <f>DATE(2004,7,1)</f>
        <v>38169</v>
      </c>
      <c r="B212">
        <v>25</v>
      </c>
      <c r="C212">
        <v>7.0088881329866126E-6</v>
      </c>
      <c r="D212">
        <v>10.291790684383271</v>
      </c>
      <c r="E212">
        <v>7</v>
      </c>
      <c r="F212">
        <v>10.22014270149756</v>
      </c>
      <c r="G212">
        <v>0.60227454144232395</v>
      </c>
      <c r="H212">
        <v>0.1189623302258859</v>
      </c>
      <c r="I212">
        <v>83</v>
      </c>
      <c r="J212">
        <v>0.8281612487059411</v>
      </c>
      <c r="K212">
        <v>0.1202252633484678</v>
      </c>
      <c r="L212">
        <v>0.8281612487059411</v>
      </c>
    </row>
    <row r="213" spans="1:12" x14ac:dyDescent="0.25">
      <c r="A213" s="3">
        <f>DATE(2004,8,1)</f>
        <v>38200</v>
      </c>
      <c r="B213">
        <v>25</v>
      </c>
      <c r="C213">
        <v>6.9566863203363027E-6</v>
      </c>
      <c r="D213">
        <v>10.21513799440612</v>
      </c>
      <c r="E213">
        <v>8</v>
      </c>
      <c r="F213">
        <v>10.11625720624791</v>
      </c>
      <c r="G213">
        <v>0.63641538718728341</v>
      </c>
      <c r="H213">
        <v>0.15537146044696409</v>
      </c>
      <c r="I213">
        <v>54</v>
      </c>
      <c r="J213">
        <v>0.67870576262930638</v>
      </c>
      <c r="K213">
        <v>0.15712279712478441</v>
      </c>
      <c r="L213">
        <v>0.67870576262930638</v>
      </c>
    </row>
    <row r="214" spans="1:12" x14ac:dyDescent="0.25">
      <c r="A214" s="3">
        <f>DATE(2004,9,1)</f>
        <v>38231</v>
      </c>
      <c r="B214">
        <v>25</v>
      </c>
      <c r="C214">
        <v>6.9034517764521297E-6</v>
      </c>
      <c r="D214">
        <v>10.136968850821701</v>
      </c>
      <c r="E214">
        <v>9</v>
      </c>
      <c r="F214">
        <v>10.16338429551746</v>
      </c>
      <c r="G214">
        <v>0.67320267224545405</v>
      </c>
      <c r="H214">
        <v>-3.9238472728652753E-2</v>
      </c>
      <c r="I214">
        <v>38</v>
      </c>
      <c r="J214">
        <v>0.59624756341461138</v>
      </c>
      <c r="K214">
        <v>-4.0097695069148773E-2</v>
      </c>
      <c r="L214">
        <v>0.59624756341461138</v>
      </c>
    </row>
    <row r="215" spans="1:12" x14ac:dyDescent="0.25">
      <c r="A215" s="3">
        <f>DATE(2004,10,1)</f>
        <v>38261</v>
      </c>
      <c r="B215">
        <v>25</v>
      </c>
      <c r="C215">
        <v>6.6831034928327426E-6</v>
      </c>
      <c r="D215">
        <v>9.8134113378973975</v>
      </c>
      <c r="E215">
        <v>10</v>
      </c>
      <c r="F215">
        <v>10.12630033211884</v>
      </c>
      <c r="G215">
        <v>0.70316297472204004</v>
      </c>
      <c r="H215">
        <v>-0.4449736483140776</v>
      </c>
      <c r="I215">
        <v>23</v>
      </c>
      <c r="J215">
        <v>0.51894300165083473</v>
      </c>
      <c r="K215">
        <v>-0.45127553025775469</v>
      </c>
      <c r="L215">
        <v>0.51894300165083473</v>
      </c>
    </row>
    <row r="216" spans="1:12" x14ac:dyDescent="0.25">
      <c r="A216" s="3">
        <f>DATE(2004,11,1)</f>
        <v>38292</v>
      </c>
      <c r="B216">
        <v>25</v>
      </c>
      <c r="C216">
        <v>6.7129808485333342E-6</v>
      </c>
      <c r="D216">
        <v>9.8572829884700699</v>
      </c>
      <c r="E216">
        <v>11</v>
      </c>
      <c r="F216">
        <v>10.060733769865241</v>
      </c>
      <c r="G216">
        <v>0.67357937377392463</v>
      </c>
      <c r="H216">
        <v>-0.3020442568709833</v>
      </c>
      <c r="I216">
        <v>-84</v>
      </c>
      <c r="J216">
        <v>-3.2496205597438009E-2</v>
      </c>
      <c r="K216">
        <v>-0.30642883888178629</v>
      </c>
      <c r="L216">
        <v>-3.2496205597438009E-2</v>
      </c>
    </row>
    <row r="217" spans="1:12" x14ac:dyDescent="0.25">
      <c r="A217" s="3">
        <f>DATE(2004,12,1)</f>
        <v>38322</v>
      </c>
      <c r="B217">
        <v>25</v>
      </c>
      <c r="C217">
        <v>6.4951095737342257E-6</v>
      </c>
      <c r="D217">
        <v>9.5373626938631304</v>
      </c>
      <c r="E217">
        <v>12</v>
      </c>
      <c r="F217">
        <v>9.8125461093946242</v>
      </c>
      <c r="G217">
        <v>0.57745665677750224</v>
      </c>
      <c r="H217">
        <v>-0.47654384498250529</v>
      </c>
      <c r="I217">
        <v>-169</v>
      </c>
      <c r="J217">
        <v>-0.47055538892550519</v>
      </c>
      <c r="K217">
        <v>-0.48326921950067719</v>
      </c>
      <c r="L217">
        <v>-0.47055538892550519</v>
      </c>
    </row>
    <row r="218" spans="1:12" x14ac:dyDescent="0.25">
      <c r="A218" s="3">
        <f>DATE(2005,1,1)</f>
        <v>38353</v>
      </c>
      <c r="B218">
        <v>25</v>
      </c>
      <c r="C218">
        <v>6.3344195950776339E-6</v>
      </c>
      <c r="D218">
        <v>9.3014069197042755</v>
      </c>
      <c r="E218">
        <v>1</v>
      </c>
      <c r="F218">
        <v>9.6397912031521695</v>
      </c>
      <c r="G218">
        <v>0.58355710709482933</v>
      </c>
      <c r="H218">
        <v>-0.57986489982531542</v>
      </c>
      <c r="I218">
        <v>-194</v>
      </c>
      <c r="J218">
        <v>-0.59939632519846608</v>
      </c>
      <c r="K218">
        <v>-0.5879762555578093</v>
      </c>
      <c r="L218">
        <v>-0.59939632519846608</v>
      </c>
    </row>
    <row r="219" spans="1:12" x14ac:dyDescent="0.25">
      <c r="A219" s="3">
        <f>DATE(2005,2,1)</f>
        <v>38384</v>
      </c>
      <c r="B219">
        <v>25</v>
      </c>
      <c r="C219">
        <v>6.3940528889361303E-6</v>
      </c>
      <c r="D219">
        <v>9.3889719323806062</v>
      </c>
      <c r="E219">
        <v>2</v>
      </c>
      <c r="F219">
        <v>9.7375638364217298</v>
      </c>
      <c r="G219">
        <v>0.60243313708146806</v>
      </c>
      <c r="H219">
        <v>-0.5786399893769173</v>
      </c>
      <c r="I219">
        <v>-163</v>
      </c>
      <c r="J219">
        <v>-0.43963356421999461</v>
      </c>
      <c r="K219">
        <v>-0.58673491377435283</v>
      </c>
      <c r="L219">
        <v>-0.43963356421999461</v>
      </c>
    </row>
    <row r="220" spans="1:12" x14ac:dyDescent="0.25">
      <c r="A220" s="3">
        <f>DATE(2005,3,1)</f>
        <v>38412</v>
      </c>
      <c r="B220">
        <v>25</v>
      </c>
      <c r="C220">
        <v>6.3894626691762824E-6</v>
      </c>
      <c r="D220">
        <v>9.3822316934058492</v>
      </c>
      <c r="E220">
        <v>3</v>
      </c>
      <c r="F220">
        <v>10.102290150544111</v>
      </c>
      <c r="G220">
        <v>0.58402337655596781</v>
      </c>
      <c r="H220">
        <v>-1.2329274581173471</v>
      </c>
      <c r="I220">
        <v>-189</v>
      </c>
      <c r="J220">
        <v>-0.57362813794387391</v>
      </c>
      <c r="K220">
        <v>-1.2497992009650021</v>
      </c>
      <c r="L220">
        <v>-0.57362813794387391</v>
      </c>
    </row>
    <row r="221" spans="1:12" x14ac:dyDescent="0.25">
      <c r="A221" s="3">
        <f>DATE(2005,4,1)</f>
        <v>38443</v>
      </c>
      <c r="B221">
        <v>25</v>
      </c>
      <c r="C221">
        <v>6.4728128563729106E-6</v>
      </c>
      <c r="D221">
        <v>9.5046223870302224</v>
      </c>
      <c r="E221">
        <v>4</v>
      </c>
      <c r="F221">
        <v>10.4239539327638</v>
      </c>
      <c r="G221">
        <v>0.55440043159667007</v>
      </c>
      <c r="H221">
        <v>-1.6582446429305751</v>
      </c>
      <c r="I221">
        <v>-278</v>
      </c>
      <c r="J221">
        <v>-1.0323018710756151</v>
      </c>
      <c r="K221">
        <v>-1.680821724628828</v>
      </c>
      <c r="L221">
        <v>-1.0323018710756151</v>
      </c>
    </row>
    <row r="222" spans="1:12" x14ac:dyDescent="0.25">
      <c r="A222" s="3">
        <f>DATE(2005,5,1)</f>
        <v>38473</v>
      </c>
      <c r="B222">
        <v>25</v>
      </c>
      <c r="C222">
        <v>6.630812549701659E-6</v>
      </c>
      <c r="D222">
        <v>9.7366277694935484</v>
      </c>
      <c r="E222">
        <v>5</v>
      </c>
      <c r="F222">
        <v>10.563854595443869</v>
      </c>
      <c r="G222">
        <v>0.54479993746219246</v>
      </c>
      <c r="H222">
        <v>-1.518404774060258</v>
      </c>
      <c r="I222">
        <v>-300</v>
      </c>
      <c r="J222">
        <v>-1.1456818949958201</v>
      </c>
      <c r="K222">
        <v>-1.539105999655779</v>
      </c>
      <c r="L222">
        <v>-1.1456818949958201</v>
      </c>
    </row>
    <row r="223" spans="1:12" x14ac:dyDescent="0.25">
      <c r="A223" s="3">
        <f>DATE(2005,6,1)</f>
        <v>38504</v>
      </c>
      <c r="B223">
        <v>25</v>
      </c>
      <c r="C223">
        <v>6.6015904849336948E-6</v>
      </c>
      <c r="D223">
        <v>9.6937183424559059</v>
      </c>
      <c r="E223">
        <v>6</v>
      </c>
      <c r="F223">
        <v>10.3971239506839</v>
      </c>
      <c r="G223">
        <v>0.5168192025484809</v>
      </c>
      <c r="H223">
        <v>-1.361028392055561</v>
      </c>
      <c r="I223">
        <v>-298</v>
      </c>
      <c r="J223">
        <v>-1.135374620093984</v>
      </c>
      <c r="K223">
        <v>-1.379618521230626</v>
      </c>
      <c r="L223">
        <v>-1.135374620093984</v>
      </c>
    </row>
    <row r="224" spans="1:12" x14ac:dyDescent="0.25">
      <c r="A224" s="3">
        <f>DATE(2005,7,1)</f>
        <v>38534</v>
      </c>
      <c r="B224">
        <v>25</v>
      </c>
      <c r="C224">
        <v>6.5128897404065364E-6</v>
      </c>
      <c r="D224">
        <v>9.5634709367474251</v>
      </c>
      <c r="E224">
        <v>7</v>
      </c>
      <c r="F224">
        <v>10.22014270149756</v>
      </c>
      <c r="G224">
        <v>0.60227454144232395</v>
      </c>
      <c r="H224">
        <v>-1.090319645883663</v>
      </c>
      <c r="I224">
        <v>-313</v>
      </c>
      <c r="J224">
        <v>-1.21267918185776</v>
      </c>
      <c r="K224">
        <v>-1.105278402563376</v>
      </c>
      <c r="L224">
        <v>-1.21267918185776</v>
      </c>
    </row>
    <row r="225" spans="1:12" x14ac:dyDescent="0.25">
      <c r="A225" s="3">
        <f>DATE(2005,8,1)</f>
        <v>38565</v>
      </c>
      <c r="B225">
        <v>25</v>
      </c>
      <c r="C225">
        <v>6.5051408455474302E-6</v>
      </c>
      <c r="D225">
        <v>9.5520925265899148</v>
      </c>
      <c r="E225">
        <v>8</v>
      </c>
      <c r="F225">
        <v>10.11625720624791</v>
      </c>
      <c r="G225">
        <v>0.63641538718728341</v>
      </c>
      <c r="H225">
        <v>-0.88647240625559509</v>
      </c>
      <c r="I225">
        <v>-320</v>
      </c>
      <c r="J225">
        <v>-1.248754644014189</v>
      </c>
      <c r="K225">
        <v>-0.89869669177504263</v>
      </c>
      <c r="L225">
        <v>-1.248754644014189</v>
      </c>
    </row>
    <row r="226" spans="1:12" x14ac:dyDescent="0.25">
      <c r="A226" s="3">
        <f>DATE(2005,9,1)</f>
        <v>38596</v>
      </c>
      <c r="B226">
        <v>25</v>
      </c>
      <c r="C226">
        <v>6.423313152481569E-6</v>
      </c>
      <c r="D226">
        <v>9.4319374501725459</v>
      </c>
      <c r="E226">
        <v>9</v>
      </c>
      <c r="F226">
        <v>10.16338429551746</v>
      </c>
      <c r="G226">
        <v>0.67320267224545405</v>
      </c>
      <c r="H226">
        <v>-1.0865180360992741</v>
      </c>
      <c r="I226">
        <v>-321</v>
      </c>
      <c r="J226">
        <v>-1.253908281465107</v>
      </c>
      <c r="K226">
        <v>-1.1014257967864149</v>
      </c>
      <c r="L226">
        <v>-1.253908281465107</v>
      </c>
    </row>
    <row r="227" spans="1:12" x14ac:dyDescent="0.25">
      <c r="A227" s="3">
        <f>DATE(2005,10,1)</f>
        <v>38626</v>
      </c>
      <c r="B227">
        <v>25</v>
      </c>
      <c r="C227">
        <v>6.2638318922836334E-6</v>
      </c>
      <c r="D227">
        <v>9.1977565477389653</v>
      </c>
      <c r="E227">
        <v>10</v>
      </c>
      <c r="F227">
        <v>10.12630033211884</v>
      </c>
      <c r="G227">
        <v>0.70316297472204004</v>
      </c>
      <c r="H227">
        <v>-1.3205242849240331</v>
      </c>
      <c r="I227">
        <v>-326</v>
      </c>
      <c r="J227">
        <v>-1.2796764687197</v>
      </c>
      <c r="K227">
        <v>-1.3385710792321379</v>
      </c>
      <c r="L227">
        <v>-1.2796764687197</v>
      </c>
    </row>
    <row r="228" spans="1:12" x14ac:dyDescent="0.25">
      <c r="A228" s="3">
        <f>DATE(2005,11,1)</f>
        <v>38657</v>
      </c>
      <c r="B228">
        <v>25</v>
      </c>
      <c r="C228">
        <v>6.0353263506840449E-6</v>
      </c>
      <c r="D228">
        <v>8.8622209877838252</v>
      </c>
      <c r="E228">
        <v>11</v>
      </c>
      <c r="F228">
        <v>10.060733769865241</v>
      </c>
      <c r="G228">
        <v>0.67357937377392463</v>
      </c>
      <c r="H228">
        <v>-1.7793193033307939</v>
      </c>
      <c r="I228">
        <v>-353</v>
      </c>
      <c r="J228">
        <v>-1.418824679894497</v>
      </c>
      <c r="K228">
        <v>-1.803520518707322</v>
      </c>
      <c r="L228">
        <v>-1.418824679894497</v>
      </c>
    </row>
    <row r="229" spans="1:12" x14ac:dyDescent="0.25">
      <c r="A229" s="3">
        <f>DATE(2005,12,1)</f>
        <v>38687</v>
      </c>
      <c r="B229">
        <v>25</v>
      </c>
      <c r="C229">
        <v>6.1623295550816692E-6</v>
      </c>
      <c r="D229">
        <v>9.0487113941229715</v>
      </c>
      <c r="E229">
        <v>12</v>
      </c>
      <c r="F229">
        <v>9.8125461093946242</v>
      </c>
      <c r="G229">
        <v>0.57745665677750224</v>
      </c>
      <c r="H229">
        <v>-1.322756792750877</v>
      </c>
      <c r="I229">
        <v>-240</v>
      </c>
      <c r="J229">
        <v>-0.83646364794071415</v>
      </c>
      <c r="K229">
        <v>-1.340833534623044</v>
      </c>
      <c r="L229">
        <v>-0.83646364794071415</v>
      </c>
    </row>
    <row r="230" spans="1:12" x14ac:dyDescent="0.25">
      <c r="A230" s="3">
        <f>DATE(2006,1,1)</f>
        <v>38718</v>
      </c>
      <c r="B230">
        <v>25</v>
      </c>
      <c r="C230">
        <v>6.3813108681642916E-6</v>
      </c>
      <c r="D230">
        <v>9.3702616593399171</v>
      </c>
      <c r="E230">
        <v>1</v>
      </c>
      <c r="F230">
        <v>9.6397912031521695</v>
      </c>
      <c r="G230">
        <v>0.58355710709482933</v>
      </c>
      <c r="H230">
        <v>-0.46187346625606829</v>
      </c>
      <c r="I230">
        <v>-36</v>
      </c>
      <c r="J230">
        <v>0.21487839204664699</v>
      </c>
      <c r="K230">
        <v>-0.46840204768736388</v>
      </c>
      <c r="L230">
        <v>0.21487839204664699</v>
      </c>
    </row>
    <row r="231" spans="1:12" x14ac:dyDescent="0.25">
      <c r="A231" s="3">
        <f>DATE(2006,2,1)</f>
        <v>38749</v>
      </c>
      <c r="B231">
        <v>25</v>
      </c>
      <c r="C231">
        <v>6.9736379373352966E-6</v>
      </c>
      <c r="D231">
        <v>10.24002960211981</v>
      </c>
      <c r="E231">
        <v>2</v>
      </c>
      <c r="F231">
        <v>9.7375638364217298</v>
      </c>
      <c r="G231">
        <v>0.60243313708146806</v>
      </c>
      <c r="H231">
        <v>0.83406063639246775</v>
      </c>
      <c r="I231">
        <v>89</v>
      </c>
      <c r="J231">
        <v>0.85908307341145174</v>
      </c>
      <c r="K231">
        <v>0.84491612371659353</v>
      </c>
      <c r="L231">
        <v>0.85908307341145174</v>
      </c>
    </row>
    <row r="232" spans="1:12" x14ac:dyDescent="0.25">
      <c r="A232" s="3">
        <f>DATE(2006,3,1)</f>
        <v>38777</v>
      </c>
      <c r="B232">
        <v>25</v>
      </c>
      <c r="C232">
        <v>7.5384459705674089E-6</v>
      </c>
      <c r="D232">
        <v>11.069388830657839</v>
      </c>
      <c r="E232">
        <v>3</v>
      </c>
      <c r="F232">
        <v>10.102290150544111</v>
      </c>
      <c r="G232">
        <v>0.58402337655596781</v>
      </c>
      <c r="H232">
        <v>1.6559246066771991</v>
      </c>
      <c r="I232">
        <v>145</v>
      </c>
      <c r="J232">
        <v>1.1476867706628839</v>
      </c>
      <c r="K232">
        <v>1.677804836492347</v>
      </c>
      <c r="L232">
        <v>1.1476867706628839</v>
      </c>
    </row>
    <row r="233" spans="1:12" x14ac:dyDescent="0.25">
      <c r="A233" s="3">
        <f>DATE(2006,4,1)</f>
        <v>38808</v>
      </c>
      <c r="B233">
        <v>25</v>
      </c>
      <c r="C233">
        <v>7.843498678994365E-6</v>
      </c>
      <c r="D233">
        <v>11.51732558799578</v>
      </c>
      <c r="E233">
        <v>4</v>
      </c>
      <c r="F233">
        <v>10.4239539327638</v>
      </c>
      <c r="G233">
        <v>0.55440043159667007</v>
      </c>
      <c r="H233">
        <v>1.9721695599750459</v>
      </c>
      <c r="I233">
        <v>114</v>
      </c>
      <c r="J233">
        <v>0.98792400968441263</v>
      </c>
      <c r="K233">
        <v>1.998291999328818</v>
      </c>
      <c r="L233">
        <v>0.98792400968441263</v>
      </c>
    </row>
    <row r="234" spans="1:12" x14ac:dyDescent="0.25">
      <c r="A234" s="3">
        <f>DATE(2006,5,1)</f>
        <v>38838</v>
      </c>
      <c r="B234">
        <v>25</v>
      </c>
      <c r="C234">
        <v>7.9381452451343648E-6</v>
      </c>
      <c r="D234">
        <v>11.656303786709509</v>
      </c>
      <c r="E234">
        <v>5</v>
      </c>
      <c r="F234">
        <v>10.563854595443869</v>
      </c>
      <c r="G234">
        <v>0.54479993746219246</v>
      </c>
      <c r="H234">
        <v>2.005230023253171</v>
      </c>
      <c r="I234">
        <v>111</v>
      </c>
      <c r="J234">
        <v>0.97246309733165737</v>
      </c>
      <c r="K234">
        <v>2.0317959460877302</v>
      </c>
      <c r="L234">
        <v>0.97246309733165737</v>
      </c>
    </row>
    <row r="235" spans="1:12" x14ac:dyDescent="0.25">
      <c r="A235" s="3">
        <f>DATE(2006,6,1)</f>
        <v>38869</v>
      </c>
      <c r="B235">
        <v>25</v>
      </c>
      <c r="C235">
        <v>7.6419564720708877E-6</v>
      </c>
      <c r="D235">
        <v>11.221382755356901</v>
      </c>
      <c r="E235">
        <v>6</v>
      </c>
      <c r="F235">
        <v>10.3971239506839</v>
      </c>
      <c r="G235">
        <v>0.5168192025484809</v>
      </c>
      <c r="H235">
        <v>1.5948687676628619</v>
      </c>
      <c r="I235">
        <v>146</v>
      </c>
      <c r="J235">
        <v>1.1528404081138031</v>
      </c>
      <c r="K235">
        <v>1.615929975198114</v>
      </c>
      <c r="L235">
        <v>1.1528404081138031</v>
      </c>
    </row>
    <row r="236" spans="1:12" x14ac:dyDescent="0.25">
      <c r="A236" s="3">
        <f>DATE(2006,7,1)</f>
        <v>38899</v>
      </c>
      <c r="B236">
        <v>25</v>
      </c>
      <c r="C236">
        <v>7.6296400948194787E-6</v>
      </c>
      <c r="D236">
        <v>11.20329749357839</v>
      </c>
      <c r="E236">
        <v>7</v>
      </c>
      <c r="F236">
        <v>10.22014270149756</v>
      </c>
      <c r="G236">
        <v>0.60227454144232395</v>
      </c>
      <c r="H236">
        <v>1.6324030395280711</v>
      </c>
      <c r="I236">
        <v>121</v>
      </c>
      <c r="J236">
        <v>1.0239994718408421</v>
      </c>
      <c r="K236">
        <v>1.653967743623415</v>
      </c>
      <c r="L236">
        <v>1.0239994718408421</v>
      </c>
    </row>
    <row r="237" spans="1:12" x14ac:dyDescent="0.25">
      <c r="A237" s="3">
        <f>DATE(2006,8,1)</f>
        <v>38930</v>
      </c>
      <c r="B237">
        <v>25</v>
      </c>
      <c r="C237">
        <v>7.3607006925158203E-6</v>
      </c>
      <c r="D237">
        <v>10.80838920245219</v>
      </c>
      <c r="E237">
        <v>8</v>
      </c>
      <c r="F237">
        <v>10.11625720624791</v>
      </c>
      <c r="G237">
        <v>0.63641538718728341</v>
      </c>
      <c r="H237">
        <v>1.087547551707134</v>
      </c>
      <c r="I237">
        <v>64</v>
      </c>
      <c r="J237">
        <v>0.73024213713849073</v>
      </c>
      <c r="K237">
        <v>1.1018033924561941</v>
      </c>
      <c r="L237">
        <v>0.73024213713849073</v>
      </c>
    </row>
    <row r="238" spans="1:12" x14ac:dyDescent="0.25">
      <c r="A238" s="3">
        <f>DATE(2006,9,1)</f>
        <v>38961</v>
      </c>
      <c r="B238">
        <v>25</v>
      </c>
      <c r="C238">
        <v>7.2065927270159591E-6</v>
      </c>
      <c r="D238">
        <v>10.58209839945647</v>
      </c>
      <c r="E238">
        <v>9</v>
      </c>
      <c r="F238">
        <v>10.16338429551746</v>
      </c>
      <c r="G238">
        <v>0.67320267224545405</v>
      </c>
      <c r="H238">
        <v>0.6219733242329496</v>
      </c>
      <c r="I238">
        <v>80</v>
      </c>
      <c r="J238">
        <v>0.81270033635318573</v>
      </c>
      <c r="K238">
        <v>0.62998380546517729</v>
      </c>
      <c r="L238">
        <v>0.81270033635318573</v>
      </c>
    </row>
    <row r="239" spans="1:12" x14ac:dyDescent="0.25">
      <c r="A239" s="3">
        <f>DATE(2006,10,1)</f>
        <v>38991</v>
      </c>
      <c r="B239">
        <v>25</v>
      </c>
      <c r="C239">
        <v>6.8716490204678848E-6</v>
      </c>
      <c r="D239">
        <v>10.0902699591336</v>
      </c>
      <c r="E239">
        <v>10</v>
      </c>
      <c r="F239">
        <v>10.12630033211884</v>
      </c>
      <c r="G239">
        <v>0.70316297472204004</v>
      </c>
      <c r="H239">
        <v>-5.1240429716148957E-2</v>
      </c>
      <c r="I239">
        <v>54</v>
      </c>
      <c r="J239">
        <v>0.67870576262930638</v>
      </c>
      <c r="K239">
        <v>-5.2260650092767209E-2</v>
      </c>
      <c r="L239">
        <v>0.67870576262930638</v>
      </c>
    </row>
    <row r="240" spans="1:12" x14ac:dyDescent="0.25">
      <c r="A240" s="3">
        <f>DATE(2006,11,1)</f>
        <v>39022</v>
      </c>
      <c r="B240">
        <v>25</v>
      </c>
      <c r="C240">
        <v>6.7999480961589143E-6</v>
      </c>
      <c r="D240">
        <v>9.9849849423287633</v>
      </c>
      <c r="E240">
        <v>11</v>
      </c>
      <c r="F240">
        <v>10.060733769865241</v>
      </c>
      <c r="G240">
        <v>0.67357937377392463</v>
      </c>
      <c r="H240">
        <v>-0.1124571661273846</v>
      </c>
      <c r="I240">
        <v>63</v>
      </c>
      <c r="J240">
        <v>0.72508849968757239</v>
      </c>
      <c r="K240">
        <v>-0.11429856711232279</v>
      </c>
      <c r="L240">
        <v>0.72508849968757239</v>
      </c>
    </row>
    <row r="241" spans="1:12" x14ac:dyDescent="0.25">
      <c r="A241" s="3">
        <f>DATE(2006,12,1)</f>
        <v>39052</v>
      </c>
      <c r="B241">
        <v>25</v>
      </c>
      <c r="C241">
        <v>6.4166138145083096E-6</v>
      </c>
      <c r="D241">
        <v>9.4221002002640724</v>
      </c>
      <c r="E241">
        <v>12</v>
      </c>
      <c r="F241">
        <v>9.8125461093946242</v>
      </c>
      <c r="G241">
        <v>0.57745665677750224</v>
      </c>
      <c r="H241">
        <v>-0.67614755938469195</v>
      </c>
      <c r="I241">
        <v>-35</v>
      </c>
      <c r="J241">
        <v>0.2200320294975654</v>
      </c>
      <c r="K241">
        <v>-0.68555048107745664</v>
      </c>
      <c r="L241">
        <v>0.2200320294975654</v>
      </c>
    </row>
    <row r="242" spans="1:12" x14ac:dyDescent="0.25">
      <c r="A242" s="3">
        <f>DATE(2007,1,1)</f>
        <v>39083</v>
      </c>
      <c r="B242">
        <v>25</v>
      </c>
      <c r="C242">
        <v>6.2126805460138712E-6</v>
      </c>
      <c r="D242">
        <v>9.1226463535049938</v>
      </c>
      <c r="E242">
        <v>1</v>
      </c>
      <c r="F242">
        <v>9.6397912031521695</v>
      </c>
      <c r="G242">
        <v>0.58355710709482933</v>
      </c>
      <c r="H242">
        <v>-0.88619407314173726</v>
      </c>
      <c r="I242">
        <v>-89</v>
      </c>
      <c r="J242">
        <v>-5.8264392852030188E-2</v>
      </c>
      <c r="K242">
        <v>-0.89841462501301683</v>
      </c>
      <c r="L242">
        <v>-5.8264392852030188E-2</v>
      </c>
    </row>
    <row r="243" spans="1:12" x14ac:dyDescent="0.25">
      <c r="A243" s="3">
        <f>DATE(2007,2,1)</f>
        <v>39114</v>
      </c>
      <c r="B243">
        <v>25</v>
      </c>
      <c r="C243">
        <v>6.2506405811291188E-6</v>
      </c>
      <c r="D243">
        <v>9.178386540588205</v>
      </c>
      <c r="E243">
        <v>2</v>
      </c>
      <c r="F243">
        <v>9.7375638364217298</v>
      </c>
      <c r="G243">
        <v>0.60243313708146806</v>
      </c>
      <c r="H243">
        <v>-0.92819810434482508</v>
      </c>
      <c r="I243">
        <v>-69</v>
      </c>
      <c r="J243">
        <v>4.4808356166338548E-2</v>
      </c>
      <c r="K243">
        <v>-0.94098211153759592</v>
      </c>
      <c r="L243">
        <v>4.4808356166338548E-2</v>
      </c>
    </row>
    <row r="244" spans="1:12" x14ac:dyDescent="0.25">
      <c r="A244" s="3">
        <f>DATE(2007,3,1)</f>
        <v>39142</v>
      </c>
      <c r="B244">
        <v>25</v>
      </c>
      <c r="C244">
        <v>6.3690654314996209E-6</v>
      </c>
      <c r="D244">
        <v>9.3522805661050974</v>
      </c>
      <c r="E244">
        <v>3</v>
      </c>
      <c r="F244">
        <v>10.102290150544111</v>
      </c>
      <c r="G244">
        <v>0.58402337655596781</v>
      </c>
      <c r="H244">
        <v>-1.284211582183366</v>
      </c>
      <c r="I244">
        <v>-115</v>
      </c>
      <c r="J244">
        <v>-0.19225896657590949</v>
      </c>
      <c r="K244">
        <v>-1.3017712664448651</v>
      </c>
      <c r="L244">
        <v>-0.19225896657590949</v>
      </c>
    </row>
    <row r="245" spans="1:12" x14ac:dyDescent="0.25">
      <c r="A245" s="3">
        <f>DATE(2007,4,1)</f>
        <v>39173</v>
      </c>
      <c r="B245">
        <v>25</v>
      </c>
      <c r="C245">
        <v>6.5119734244944993E-6</v>
      </c>
      <c r="D245">
        <v>9.562125426391356</v>
      </c>
      <c r="E245">
        <v>4</v>
      </c>
      <c r="F245">
        <v>10.4239539327638</v>
      </c>
      <c r="G245">
        <v>0.55440043159667007</v>
      </c>
      <c r="H245">
        <v>-1.554523512707922</v>
      </c>
      <c r="I245">
        <v>-233</v>
      </c>
      <c r="J245">
        <v>-0.80038818578428506</v>
      </c>
      <c r="K245">
        <v>-1.575709246454535</v>
      </c>
      <c r="L245">
        <v>-0.80038818578428506</v>
      </c>
    </row>
    <row r="246" spans="1:12" x14ac:dyDescent="0.25">
      <c r="A246" s="3">
        <f>DATE(2007,5,1)</f>
        <v>39203</v>
      </c>
      <c r="B246">
        <v>25</v>
      </c>
      <c r="C246">
        <v>6.615808615606511E-6</v>
      </c>
      <c r="D246">
        <v>9.7145961225019519</v>
      </c>
      <c r="E246">
        <v>5</v>
      </c>
      <c r="F246">
        <v>10.563854595443869</v>
      </c>
      <c r="G246">
        <v>0.54479993746219246</v>
      </c>
      <c r="H246">
        <v>-1.558844659377105</v>
      </c>
      <c r="I246">
        <v>-285</v>
      </c>
      <c r="J246">
        <v>-1.0683773332320441</v>
      </c>
      <c r="K246">
        <v>-1.5800883583479111</v>
      </c>
      <c r="L246">
        <v>-1.0683773332320441</v>
      </c>
    </row>
    <row r="247" spans="1:12" x14ac:dyDescent="0.25">
      <c r="A247" s="3">
        <f>DATE(2007,6,1)</f>
        <v>39234</v>
      </c>
      <c r="B247">
        <v>25</v>
      </c>
      <c r="C247">
        <v>6.6769430304702837E-6</v>
      </c>
      <c r="D247">
        <v>9.8043653682727623</v>
      </c>
      <c r="E247">
        <v>6</v>
      </c>
      <c r="F247">
        <v>10.3971239506839</v>
      </c>
      <c r="G247">
        <v>0.5168192025484809</v>
      </c>
      <c r="H247">
        <v>-1.1469360648524569</v>
      </c>
      <c r="I247">
        <v>-292</v>
      </c>
      <c r="J247">
        <v>-1.1044527953884731</v>
      </c>
      <c r="K247">
        <v>-1.1626542920315019</v>
      </c>
      <c r="L247">
        <v>-1.1044527953884731</v>
      </c>
    </row>
    <row r="248" spans="1:12" x14ac:dyDescent="0.25">
      <c r="A248" s="3">
        <f>DATE(2007,7,1)</f>
        <v>39264</v>
      </c>
      <c r="B248">
        <v>25</v>
      </c>
      <c r="C248">
        <v>6.5613307924650144E-6</v>
      </c>
      <c r="D248">
        <v>9.6346013584145673</v>
      </c>
      <c r="E248">
        <v>7</v>
      </c>
      <c r="F248">
        <v>10.22014270149756</v>
      </c>
      <c r="G248">
        <v>0.60227454144232395</v>
      </c>
      <c r="H248">
        <v>-0.97221665999818996</v>
      </c>
      <c r="I248">
        <v>-324</v>
      </c>
      <c r="J248">
        <v>-1.2693691938178631</v>
      </c>
      <c r="K248">
        <v>-0.98559114597875452</v>
      </c>
      <c r="L248">
        <v>-1.2693691938178631</v>
      </c>
    </row>
    <row r="249" spans="1:12" x14ac:dyDescent="0.25">
      <c r="A249" s="3">
        <f>DATE(2007,8,1)</f>
        <v>39295</v>
      </c>
      <c r="B249">
        <v>25</v>
      </c>
      <c r="C249">
        <v>6.5524791352800094E-6</v>
      </c>
      <c r="D249">
        <v>9.6216036616002558</v>
      </c>
      <c r="E249">
        <v>8</v>
      </c>
      <c r="F249">
        <v>10.11625720624791</v>
      </c>
      <c r="G249">
        <v>0.63641538718728341</v>
      </c>
      <c r="H249">
        <v>-0.77724950497164891</v>
      </c>
      <c r="I249">
        <v>-332</v>
      </c>
      <c r="J249">
        <v>-1.3105982934252101</v>
      </c>
      <c r="K249">
        <v>-0.78800864004733062</v>
      </c>
      <c r="L249">
        <v>-1.3105982934252101</v>
      </c>
    </row>
    <row r="250" spans="1:12" x14ac:dyDescent="0.25">
      <c r="A250" s="3">
        <f>DATE(2007,9,1)</f>
        <v>39326</v>
      </c>
      <c r="B250">
        <v>25</v>
      </c>
      <c r="C250">
        <v>6.4808482420630753E-6</v>
      </c>
      <c r="D250">
        <v>9.5164214778449612</v>
      </c>
      <c r="E250">
        <v>9</v>
      </c>
      <c r="F250">
        <v>10.16338429551746</v>
      </c>
      <c r="G250">
        <v>0.67320267224545405</v>
      </c>
      <c r="H250">
        <v>-0.9610223552954229</v>
      </c>
      <c r="I250">
        <v>-339</v>
      </c>
      <c r="J250">
        <v>-1.346673755581639</v>
      </c>
      <c r="K250">
        <v>-0.97424667734232417</v>
      </c>
      <c r="L250">
        <v>-1.346673755581639</v>
      </c>
    </row>
    <row r="251" spans="1:12" x14ac:dyDescent="0.25">
      <c r="A251" s="3">
        <f>DATE(2007,10,1)</f>
        <v>39356</v>
      </c>
      <c r="B251">
        <v>25</v>
      </c>
      <c r="C251">
        <v>6.2719350353290793E-6</v>
      </c>
      <c r="D251">
        <v>9.2096551328678746</v>
      </c>
      <c r="E251">
        <v>10</v>
      </c>
      <c r="F251">
        <v>10.12630033211884</v>
      </c>
      <c r="G251">
        <v>0.70316297472204004</v>
      </c>
      <c r="H251">
        <v>-1.303602766646407</v>
      </c>
      <c r="I251">
        <v>-331</v>
      </c>
      <c r="J251">
        <v>-1.305444655974292</v>
      </c>
      <c r="K251">
        <v>-1.321422570371747</v>
      </c>
      <c r="L251">
        <v>-1.305444655974292</v>
      </c>
    </row>
    <row r="252" spans="1:12" x14ac:dyDescent="0.25">
      <c r="A252" s="3">
        <f>DATE(2007,11,1)</f>
        <v>39387</v>
      </c>
      <c r="B252">
        <v>25</v>
      </c>
      <c r="C252">
        <v>6.4562004808976781E-6</v>
      </c>
      <c r="D252">
        <v>9.4802289186344542</v>
      </c>
      <c r="E252">
        <v>11</v>
      </c>
      <c r="F252">
        <v>10.060733769865241</v>
      </c>
      <c r="G252">
        <v>0.67357937377392463</v>
      </c>
      <c r="H252">
        <v>-0.8618210025914772</v>
      </c>
      <c r="I252">
        <v>-296</v>
      </c>
      <c r="J252">
        <v>-1.1250673451921469</v>
      </c>
      <c r="K252">
        <v>-0.87371460640778964</v>
      </c>
      <c r="L252">
        <v>-1.1250673451921469</v>
      </c>
    </row>
    <row r="253" spans="1:12" x14ac:dyDescent="0.25">
      <c r="A253" s="3">
        <f>DATE(2007,12,1)</f>
        <v>39417</v>
      </c>
      <c r="B253">
        <v>25</v>
      </c>
      <c r="C253">
        <v>6.7473420131136663E-6</v>
      </c>
      <c r="D253">
        <v>9.9077386252019597</v>
      </c>
      <c r="E253">
        <v>12</v>
      </c>
      <c r="F253">
        <v>9.8125461093946242</v>
      </c>
      <c r="G253">
        <v>0.57745665677750224</v>
      </c>
      <c r="H253">
        <v>0.16484789756958981</v>
      </c>
      <c r="I253">
        <v>-28</v>
      </c>
      <c r="J253">
        <v>0.25610749165399449</v>
      </c>
      <c r="K253">
        <v>0.1667263541635845</v>
      </c>
      <c r="L253">
        <v>0.25610749165399449</v>
      </c>
    </row>
    <row r="254" spans="1:12" x14ac:dyDescent="0.25">
      <c r="A254" s="3">
        <f>DATE(2008,1,1)</f>
        <v>39448</v>
      </c>
      <c r="B254">
        <v>25</v>
      </c>
      <c r="C254">
        <v>6.8740282586077228E-6</v>
      </c>
      <c r="D254">
        <v>10.09376361182985</v>
      </c>
      <c r="E254">
        <v>1</v>
      </c>
      <c r="F254">
        <v>9.6397912031521695</v>
      </c>
      <c r="G254">
        <v>0.58355710709482933</v>
      </c>
      <c r="H254">
        <v>0.77793998763502148</v>
      </c>
      <c r="I254">
        <v>25</v>
      </c>
      <c r="J254">
        <v>0.52925027655267165</v>
      </c>
      <c r="K254">
        <v>0.78804265487778324</v>
      </c>
      <c r="L254">
        <v>0.52925027655267165</v>
      </c>
    </row>
    <row r="255" spans="1:12" x14ac:dyDescent="0.25">
      <c r="A255" s="3">
        <f>DATE(2008,2,1)</f>
        <v>39479</v>
      </c>
      <c r="B255">
        <v>25</v>
      </c>
      <c r="C255">
        <v>7.0085966399346944E-6</v>
      </c>
      <c r="D255">
        <v>10.29136265850822</v>
      </c>
      <c r="E255">
        <v>2</v>
      </c>
      <c r="F255">
        <v>9.7375638364217298</v>
      </c>
      <c r="G255">
        <v>0.60243313708146806</v>
      </c>
      <c r="H255">
        <v>0.9192701861810082</v>
      </c>
      <c r="I255">
        <v>125</v>
      </c>
      <c r="J255">
        <v>1.044614021644515</v>
      </c>
      <c r="K255">
        <v>0.93126870127878014</v>
      </c>
      <c r="L255">
        <v>1.044614021644515</v>
      </c>
    </row>
    <row r="256" spans="1:12" x14ac:dyDescent="0.25">
      <c r="A256" s="3">
        <f>DATE(2008,3,1)</f>
        <v>39508</v>
      </c>
      <c r="B256">
        <v>25</v>
      </c>
      <c r="C256">
        <v>7.2349012043559924E-6</v>
      </c>
      <c r="D256">
        <v>10.623666322620499</v>
      </c>
      <c r="E256">
        <v>3</v>
      </c>
      <c r="F256">
        <v>10.102290150544111</v>
      </c>
      <c r="G256">
        <v>0.58402337655596781</v>
      </c>
      <c r="H256">
        <v>0.8927316833634078</v>
      </c>
      <c r="I256">
        <v>148</v>
      </c>
      <c r="J256">
        <v>1.16314768301564</v>
      </c>
      <c r="K256">
        <v>0.9043742026148599</v>
      </c>
      <c r="L256">
        <v>1.16314768301564</v>
      </c>
    </row>
    <row r="257" spans="1:12" x14ac:dyDescent="0.25">
      <c r="A257" s="3">
        <f>DATE(2008,4,1)</f>
        <v>39539</v>
      </c>
      <c r="B257">
        <v>25</v>
      </c>
      <c r="C257">
        <v>7.5818347795575392E-6</v>
      </c>
      <c r="D257">
        <v>11.133100582322051</v>
      </c>
      <c r="E257">
        <v>4</v>
      </c>
      <c r="F257">
        <v>10.4239539327638</v>
      </c>
      <c r="G257">
        <v>0.55440043159667007</v>
      </c>
      <c r="H257">
        <v>1.2791235524761639</v>
      </c>
      <c r="I257">
        <v>159</v>
      </c>
      <c r="J257">
        <v>1.2198376949757419</v>
      </c>
      <c r="K257">
        <v>1.295949254117418</v>
      </c>
      <c r="L257">
        <v>1.2198376949757419</v>
      </c>
    </row>
    <row r="258" spans="1:12" x14ac:dyDescent="0.25">
      <c r="A258" s="3">
        <f>DATE(2008,5,1)</f>
        <v>39569</v>
      </c>
      <c r="B258">
        <v>25</v>
      </c>
      <c r="C258">
        <v>7.7021722972858697E-6</v>
      </c>
      <c r="D258">
        <v>11.30980315203627</v>
      </c>
      <c r="E258">
        <v>5</v>
      </c>
      <c r="F258">
        <v>10.563854595443869</v>
      </c>
      <c r="G258">
        <v>0.54479993746219246</v>
      </c>
      <c r="H258">
        <v>1.369215569420225</v>
      </c>
      <c r="I258">
        <v>121</v>
      </c>
      <c r="J258">
        <v>1.0239994718408421</v>
      </c>
      <c r="K258">
        <v>1.387249793789348</v>
      </c>
      <c r="L258">
        <v>1.0239994718408421</v>
      </c>
    </row>
    <row r="259" spans="1:12" x14ac:dyDescent="0.25">
      <c r="A259" s="3">
        <f>DATE(2008,6,1)</f>
        <v>39600</v>
      </c>
      <c r="B259">
        <v>25</v>
      </c>
      <c r="C259">
        <v>7.6479236668092199E-6</v>
      </c>
      <c r="D259">
        <v>11.23014493247468</v>
      </c>
      <c r="E259">
        <v>6</v>
      </c>
      <c r="F259">
        <v>10.3971239506839</v>
      </c>
      <c r="G259">
        <v>0.5168192025484809</v>
      </c>
      <c r="H259">
        <v>1.6118228147930229</v>
      </c>
      <c r="I259">
        <v>168</v>
      </c>
      <c r="J259">
        <v>1.266220432034008</v>
      </c>
      <c r="K259">
        <v>1.6331114492633261</v>
      </c>
      <c r="L259">
        <v>1.266220432034008</v>
      </c>
    </row>
    <row r="260" spans="1:12" x14ac:dyDescent="0.25">
      <c r="A260" s="3">
        <f>DATE(2008,7,1)</f>
        <v>39630</v>
      </c>
      <c r="B260">
        <v>25</v>
      </c>
      <c r="C260">
        <v>7.6716432886314578E-6</v>
      </c>
      <c r="D260">
        <v>11.264974619905169</v>
      </c>
      <c r="E260">
        <v>7</v>
      </c>
      <c r="F260">
        <v>10.22014270149756</v>
      </c>
      <c r="G260">
        <v>0.60227454144232395</v>
      </c>
      <c r="H260">
        <v>1.734810035146839</v>
      </c>
      <c r="I260">
        <v>128</v>
      </c>
      <c r="J260">
        <v>1.060074933997271</v>
      </c>
      <c r="K260">
        <v>1.757748458977805</v>
      </c>
      <c r="L260">
        <v>1.060074933997271</v>
      </c>
    </row>
    <row r="261" spans="1:12" x14ac:dyDescent="0.25">
      <c r="A261" s="3">
        <f>DATE(2008,8,1)</f>
        <v>39661</v>
      </c>
      <c r="B261">
        <v>25</v>
      </c>
      <c r="C261">
        <v>7.5344592005421873E-6</v>
      </c>
      <c r="D261">
        <v>11.06353469205157</v>
      </c>
      <c r="E261">
        <v>8</v>
      </c>
      <c r="F261">
        <v>10.11625720624791</v>
      </c>
      <c r="G261">
        <v>0.63641538718728341</v>
      </c>
      <c r="H261">
        <v>1.4884578608167669</v>
      </c>
      <c r="I261">
        <v>129</v>
      </c>
      <c r="J261">
        <v>1.0652285714481891</v>
      </c>
      <c r="K261">
        <v>1.50809163888847</v>
      </c>
      <c r="L261">
        <v>1.0652285714481891</v>
      </c>
    </row>
    <row r="262" spans="1:12" x14ac:dyDescent="0.25">
      <c r="A262" s="3">
        <f>DATE(2008,9,1)</f>
        <v>39692</v>
      </c>
      <c r="B262">
        <v>25</v>
      </c>
      <c r="C262">
        <v>7.2574375735712238E-6</v>
      </c>
      <c r="D262">
        <v>10.656758532161909</v>
      </c>
      <c r="E262">
        <v>9</v>
      </c>
      <c r="F262">
        <v>10.16338429551746</v>
      </c>
      <c r="G262">
        <v>0.67320267224545405</v>
      </c>
      <c r="H262">
        <v>0.73287623027224358</v>
      </c>
      <c r="I262">
        <v>124</v>
      </c>
      <c r="J262">
        <v>1.039460384193597</v>
      </c>
      <c r="K262">
        <v>0.74237439806185324</v>
      </c>
      <c r="L262">
        <v>1.039460384193597</v>
      </c>
    </row>
    <row r="263" spans="1:12" x14ac:dyDescent="0.25">
      <c r="A263" s="3">
        <f>DATE(2008,10,1)</f>
        <v>39722</v>
      </c>
      <c r="B263">
        <v>25</v>
      </c>
      <c r="C263">
        <v>6.9872135100013111E-6</v>
      </c>
      <c r="D263">
        <v>10.25996385554893</v>
      </c>
      <c r="E263">
        <v>10</v>
      </c>
      <c r="F263">
        <v>10.12630033211884</v>
      </c>
      <c r="G263">
        <v>0.70316297472204004</v>
      </c>
      <c r="H263">
        <v>0.1900889669040442</v>
      </c>
      <c r="I263">
        <v>91</v>
      </c>
      <c r="J263">
        <v>0.86939034831328854</v>
      </c>
      <c r="K263">
        <v>0.19230601516244039</v>
      </c>
      <c r="L263">
        <v>0.86939034831328854</v>
      </c>
    </row>
    <row r="264" spans="1:12" x14ac:dyDescent="0.25">
      <c r="A264" s="3">
        <f>DATE(2008,11,1)</f>
        <v>39753</v>
      </c>
      <c r="B264">
        <v>25</v>
      </c>
      <c r="C264">
        <v>6.6433499341655988E-6</v>
      </c>
      <c r="D264">
        <v>9.7550375563504996</v>
      </c>
      <c r="E264">
        <v>11</v>
      </c>
      <c r="F264">
        <v>10.060733769865241</v>
      </c>
      <c r="G264">
        <v>0.67357937377392463</v>
      </c>
      <c r="H264">
        <v>-0.45383844193741502</v>
      </c>
      <c r="I264">
        <v>43</v>
      </c>
      <c r="J264">
        <v>0.62201575066920356</v>
      </c>
      <c r="K264">
        <v>-0.46025923901847132</v>
      </c>
      <c r="L264">
        <v>0.62201575066920356</v>
      </c>
    </row>
    <row r="265" spans="1:12" x14ac:dyDescent="0.25">
      <c r="A265" s="3">
        <f>DATE(2008,12,1)</f>
        <v>39783</v>
      </c>
      <c r="B265">
        <v>25</v>
      </c>
      <c r="C265">
        <v>6.5331150835845619E-6</v>
      </c>
      <c r="D265">
        <v>9.5931696556538366</v>
      </c>
      <c r="E265">
        <v>12</v>
      </c>
      <c r="F265">
        <v>9.8125461093946242</v>
      </c>
      <c r="G265">
        <v>0.57745665677750224</v>
      </c>
      <c r="H265">
        <v>-0.37990115996760387</v>
      </c>
      <c r="I265">
        <v>69</v>
      </c>
      <c r="J265">
        <v>0.75601032439308291</v>
      </c>
      <c r="K265">
        <v>-0.38533013903050217</v>
      </c>
      <c r="L265">
        <v>0.75601032439308291</v>
      </c>
    </row>
    <row r="266" spans="1:12" x14ac:dyDescent="0.25">
      <c r="A266" s="3">
        <f>DATE(2009,1,1)</f>
        <v>39814</v>
      </c>
      <c r="B266">
        <v>25</v>
      </c>
      <c r="C266">
        <v>6.4291925809811801E-6</v>
      </c>
      <c r="D266">
        <v>9.440570752104847</v>
      </c>
      <c r="E266">
        <v>1</v>
      </c>
      <c r="F266">
        <v>9.6397912031521695</v>
      </c>
      <c r="G266">
        <v>0.58355710709482933</v>
      </c>
      <c r="H266">
        <v>-0.34138981193994572</v>
      </c>
      <c r="I266">
        <v>77</v>
      </c>
      <c r="J266">
        <v>0.79723942400043046</v>
      </c>
      <c r="K266">
        <v>-0.34630218763496562</v>
      </c>
      <c r="L266">
        <v>0.79723942400043046</v>
      </c>
    </row>
    <row r="267" spans="1:12" x14ac:dyDescent="0.25">
      <c r="A267" s="3">
        <f>DATE(2009,2,1)</f>
        <v>39845</v>
      </c>
      <c r="B267">
        <v>25</v>
      </c>
      <c r="C267">
        <v>6.2842532315698918E-6</v>
      </c>
      <c r="D267">
        <v>9.2277430656346908</v>
      </c>
      <c r="E267">
        <v>2</v>
      </c>
      <c r="F267">
        <v>9.7375638364217298</v>
      </c>
      <c r="G267">
        <v>0.60243313708146806</v>
      </c>
      <c r="H267">
        <v>-0.84626946860344288</v>
      </c>
      <c r="I267">
        <v>116</v>
      </c>
      <c r="J267">
        <v>0.99823128458624955</v>
      </c>
      <c r="K267">
        <v>-0.85795445923830749</v>
      </c>
      <c r="L267">
        <v>0.99823128458624955</v>
      </c>
    </row>
    <row r="268" spans="1:12" x14ac:dyDescent="0.25">
      <c r="A268" s="3">
        <f>DATE(2009,3,1)</f>
        <v>39873</v>
      </c>
      <c r="B268">
        <v>25</v>
      </c>
      <c r="C268">
        <v>6.7684145506063942E-6</v>
      </c>
      <c r="D268">
        <v>9.9386813569090453</v>
      </c>
      <c r="E268">
        <v>3</v>
      </c>
      <c r="F268">
        <v>10.102290150544111</v>
      </c>
      <c r="G268">
        <v>0.58402337655596781</v>
      </c>
      <c r="H268">
        <v>-0.28014083032065851</v>
      </c>
      <c r="I268">
        <v>90</v>
      </c>
      <c r="J268">
        <v>0.86423671086237008</v>
      </c>
      <c r="K268">
        <v>-0.28423159285996841</v>
      </c>
      <c r="L268">
        <v>0.86423671086237008</v>
      </c>
    </row>
    <row r="269" spans="1:12" x14ac:dyDescent="0.25">
      <c r="A269" s="3">
        <f>DATE(2009,4,1)</f>
        <v>39904</v>
      </c>
      <c r="B269">
        <v>25</v>
      </c>
      <c r="C269">
        <v>6.8975882641097996E-6</v>
      </c>
      <c r="D269">
        <v>10.12835892003703</v>
      </c>
      <c r="E269">
        <v>4</v>
      </c>
      <c r="F269">
        <v>10.4239539327638</v>
      </c>
      <c r="G269">
        <v>0.55440043159667007</v>
      </c>
      <c r="H269">
        <v>-0.53317962230919902</v>
      </c>
      <c r="I269">
        <v>26</v>
      </c>
      <c r="J269">
        <v>0.53440391400359011</v>
      </c>
      <c r="K269">
        <v>-0.54066472700582036</v>
      </c>
      <c r="L269">
        <v>0.53440391400359011</v>
      </c>
    </row>
    <row r="270" spans="1:12" x14ac:dyDescent="0.25">
      <c r="A270" s="3">
        <f>DATE(2009,5,1)</f>
        <v>39934</v>
      </c>
      <c r="B270">
        <v>25</v>
      </c>
      <c r="C270">
        <v>6.8878593992849346E-6</v>
      </c>
      <c r="D270">
        <v>10.114073139115099</v>
      </c>
      <c r="E270">
        <v>5</v>
      </c>
      <c r="F270">
        <v>10.563854595443869</v>
      </c>
      <c r="G270">
        <v>0.54479993746219246</v>
      </c>
      <c r="H270">
        <v>-0.82559013942615478</v>
      </c>
      <c r="I270">
        <v>-154</v>
      </c>
      <c r="J270">
        <v>-0.3932508271617286</v>
      </c>
      <c r="K270">
        <v>-0.83699773101773534</v>
      </c>
      <c r="L270">
        <v>-0.3932508271617286</v>
      </c>
    </row>
    <row r="271" spans="1:12" x14ac:dyDescent="0.25">
      <c r="A271" s="3">
        <f>DATE(2009,6,1)</f>
        <v>39965</v>
      </c>
      <c r="B271">
        <v>25</v>
      </c>
      <c r="C271">
        <v>6.6223742578586098E-6</v>
      </c>
      <c r="D271">
        <v>9.7242370547703842</v>
      </c>
      <c r="E271">
        <v>6</v>
      </c>
      <c r="F271">
        <v>10.3971239506839</v>
      </c>
      <c r="G271">
        <v>0.5168192025484809</v>
      </c>
      <c r="H271">
        <v>-1.301977350290882</v>
      </c>
      <c r="I271">
        <v>-259</v>
      </c>
      <c r="J271">
        <v>-0.93438275950816441</v>
      </c>
      <c r="K271">
        <v>-1.3197753501686169</v>
      </c>
      <c r="L271">
        <v>-0.93438275950816441</v>
      </c>
    </row>
    <row r="272" spans="1:12" x14ac:dyDescent="0.25">
      <c r="A272" s="3">
        <f>DATE(2009,7,1)</f>
        <v>39995</v>
      </c>
      <c r="B272">
        <v>25</v>
      </c>
      <c r="C272">
        <v>6.5525955506018363E-6</v>
      </c>
      <c r="D272">
        <v>9.6217746048514474</v>
      </c>
      <c r="E272">
        <v>7</v>
      </c>
      <c r="F272">
        <v>10.22014270149756</v>
      </c>
      <c r="G272">
        <v>0.60227454144232395</v>
      </c>
      <c r="H272">
        <v>-0.99351384704581525</v>
      </c>
      <c r="I272">
        <v>-302</v>
      </c>
      <c r="J272">
        <v>-1.155989169897657</v>
      </c>
      <c r="K272">
        <v>-1.0071740202099919</v>
      </c>
      <c r="L272">
        <v>-1.155989169897657</v>
      </c>
    </row>
    <row r="273" spans="1:12" x14ac:dyDescent="0.25">
      <c r="A273" s="3">
        <f>DATE(2009,8,1)</f>
        <v>40026</v>
      </c>
      <c r="B273">
        <v>25</v>
      </c>
      <c r="C273">
        <v>6.4899409153440502E-6</v>
      </c>
      <c r="D273">
        <v>9.529773080609008</v>
      </c>
      <c r="E273">
        <v>8</v>
      </c>
      <c r="F273">
        <v>10.11625720624791</v>
      </c>
      <c r="G273">
        <v>0.63641538718728341</v>
      </c>
      <c r="H273">
        <v>-0.92154296933476632</v>
      </c>
      <c r="I273">
        <v>-307</v>
      </c>
      <c r="J273">
        <v>-1.1817573571522491</v>
      </c>
      <c r="K273">
        <v>-0.93423770244766302</v>
      </c>
      <c r="L273">
        <v>-1.1817573571522491</v>
      </c>
    </row>
    <row r="274" spans="1:12" x14ac:dyDescent="0.25">
      <c r="A274" s="3">
        <f>DATE(2009,9,1)</f>
        <v>40057</v>
      </c>
      <c r="B274">
        <v>25</v>
      </c>
      <c r="C274">
        <v>6.4111541178135667E-6</v>
      </c>
      <c r="D274">
        <v>9.4140832288819691</v>
      </c>
      <c r="E274">
        <v>9</v>
      </c>
      <c r="F274">
        <v>10.16338429551746</v>
      </c>
      <c r="G274">
        <v>0.67320267224545405</v>
      </c>
      <c r="H274">
        <v>-1.113039352824035</v>
      </c>
      <c r="I274">
        <v>-304</v>
      </c>
      <c r="J274">
        <v>-1.1662964447994939</v>
      </c>
      <c r="K274">
        <v>-1.128302878817826</v>
      </c>
      <c r="L274">
        <v>-1.1662964447994939</v>
      </c>
    </row>
    <row r="275" spans="1:12" x14ac:dyDescent="0.25">
      <c r="A275" s="3">
        <f>DATE(2009,10,1)</f>
        <v>40087</v>
      </c>
      <c r="B275">
        <v>25</v>
      </c>
      <c r="C275">
        <v>6.3563966250512749E-6</v>
      </c>
      <c r="D275">
        <v>9.3336778003434784</v>
      </c>
      <c r="E275">
        <v>10</v>
      </c>
      <c r="F275">
        <v>10.12630033211884</v>
      </c>
      <c r="G275">
        <v>0.70316297472204004</v>
      </c>
      <c r="H275">
        <v>-1.127224498827869</v>
      </c>
      <c r="I275">
        <v>-308</v>
      </c>
      <c r="J275">
        <v>-1.186910994603168</v>
      </c>
      <c r="K275">
        <v>-1.142678308843766</v>
      </c>
      <c r="L275">
        <v>-1.186910994603168</v>
      </c>
    </row>
    <row r="276" spans="1:12" x14ac:dyDescent="0.25">
      <c r="A276" s="3">
        <f>DATE(2009,11,1)</f>
        <v>40118</v>
      </c>
      <c r="B276">
        <v>25</v>
      </c>
      <c r="C276">
        <v>6.2901635828893632E-6</v>
      </c>
      <c r="D276">
        <v>9.2364217743680896</v>
      </c>
      <c r="E276">
        <v>11</v>
      </c>
      <c r="F276">
        <v>10.060733769865241</v>
      </c>
      <c r="G276">
        <v>0.67357937377392463</v>
      </c>
      <c r="H276">
        <v>-1.223778559130603</v>
      </c>
      <c r="I276">
        <v>-300</v>
      </c>
      <c r="J276">
        <v>-1.1456818949958201</v>
      </c>
      <c r="K276">
        <v>-1.240527575761935</v>
      </c>
      <c r="L276">
        <v>-1.1456818949958201</v>
      </c>
    </row>
    <row r="277" spans="1:12" x14ac:dyDescent="0.25">
      <c r="A277" s="3">
        <f>DATE(2009,12,1)</f>
        <v>40148</v>
      </c>
      <c r="B277">
        <v>25</v>
      </c>
      <c r="C277">
        <v>5.9772014537884388E-6</v>
      </c>
      <c r="D277">
        <v>8.7768708921551735</v>
      </c>
      <c r="E277">
        <v>12</v>
      </c>
      <c r="F277">
        <v>9.8125461093946242</v>
      </c>
      <c r="G277">
        <v>0.57745665677750224</v>
      </c>
      <c r="H277">
        <v>-1.7935116083327149</v>
      </c>
      <c r="I277">
        <v>-295</v>
      </c>
      <c r="J277">
        <v>-1.119913707741228</v>
      </c>
      <c r="K277">
        <v>-1.8179032037644069</v>
      </c>
      <c r="L277">
        <v>-1.119913707741228</v>
      </c>
    </row>
    <row r="278" spans="1:12" x14ac:dyDescent="0.25">
      <c r="A278" s="3">
        <f>DATE(2010,1,1)</f>
        <v>40179</v>
      </c>
      <c r="B278">
        <v>25</v>
      </c>
      <c r="C278">
        <v>6.0687607401632704E-6</v>
      </c>
      <c r="D278">
        <v>8.9113157559769238</v>
      </c>
      <c r="E278">
        <v>1</v>
      </c>
      <c r="F278">
        <v>9.6397912031521695</v>
      </c>
      <c r="G278">
        <v>0.58355710709482933</v>
      </c>
      <c r="H278">
        <v>-1.2483361753605831</v>
      </c>
      <c r="I278">
        <v>-290</v>
      </c>
      <c r="J278">
        <v>-1.0941455204866359</v>
      </c>
      <c r="K278">
        <v>-1.2654146156008299</v>
      </c>
      <c r="L278">
        <v>-1.0941455204866359</v>
      </c>
    </row>
    <row r="279" spans="1:12" x14ac:dyDescent="0.25">
      <c r="A279" s="3">
        <f>DATE(2010,2,1)</f>
        <v>40210</v>
      </c>
      <c r="B279">
        <v>25</v>
      </c>
      <c r="C279">
        <v>5.9508515732886744E-6</v>
      </c>
      <c r="D279">
        <v>8.7381789556430505</v>
      </c>
      <c r="E279">
        <v>2</v>
      </c>
      <c r="F279">
        <v>9.7375638364217298</v>
      </c>
      <c r="G279">
        <v>0.60243313708146806</v>
      </c>
      <c r="H279">
        <v>-1.6589141919056341</v>
      </c>
      <c r="I279">
        <v>-300</v>
      </c>
      <c r="J279">
        <v>-1.1456818949958201</v>
      </c>
      <c r="K279">
        <v>-1.681500255144996</v>
      </c>
      <c r="L279">
        <v>-1.1456818949958201</v>
      </c>
    </row>
    <row r="280" spans="1:12" x14ac:dyDescent="0.25">
      <c r="A280" s="3">
        <f>DATE(2010,3,1)</f>
        <v>40238</v>
      </c>
      <c r="B280">
        <v>25</v>
      </c>
      <c r="C280">
        <v>6.3724169194756541E-6</v>
      </c>
      <c r="D280">
        <v>9.3572018620476349</v>
      </c>
      <c r="E280">
        <v>3</v>
      </c>
      <c r="F280">
        <v>10.102290150544111</v>
      </c>
      <c r="G280">
        <v>0.58402337655596781</v>
      </c>
      <c r="H280">
        <v>-1.2757850428698909</v>
      </c>
      <c r="I280">
        <v>-301</v>
      </c>
      <c r="J280">
        <v>-1.150835532446739</v>
      </c>
      <c r="K280">
        <v>-1.293231690875537</v>
      </c>
      <c r="L280">
        <v>-1.150835532446739</v>
      </c>
    </row>
    <row r="281" spans="1:12" x14ac:dyDescent="0.25">
      <c r="A281" s="3">
        <f>DATE(2010,4,1)</f>
        <v>40269</v>
      </c>
      <c r="B281">
        <v>25</v>
      </c>
      <c r="C281">
        <v>6.7409014263830613E-6</v>
      </c>
      <c r="D281">
        <v>9.8982813233791447</v>
      </c>
      <c r="E281">
        <v>4</v>
      </c>
      <c r="F281">
        <v>10.4239539327638</v>
      </c>
      <c r="G281">
        <v>0.55440043159667007</v>
      </c>
      <c r="H281">
        <v>-0.94818217920704129</v>
      </c>
      <c r="I281">
        <v>-297</v>
      </c>
      <c r="J281">
        <v>-1.1302209826430649</v>
      </c>
      <c r="K281">
        <v>-0.96123425908244953</v>
      </c>
      <c r="L281">
        <v>-1.1302209826430649</v>
      </c>
    </row>
    <row r="282" spans="1:12" x14ac:dyDescent="0.25">
      <c r="A282" s="3">
        <f>DATE(2010,5,1)</f>
        <v>40299</v>
      </c>
      <c r="B282">
        <v>25</v>
      </c>
      <c r="C282">
        <v>6.8013523559784517E-6</v>
      </c>
      <c r="D282">
        <v>9.9870469452962745</v>
      </c>
      <c r="E282">
        <v>5</v>
      </c>
      <c r="F282">
        <v>10.563854595443869</v>
      </c>
      <c r="G282">
        <v>0.54479993746219246</v>
      </c>
      <c r="H282">
        <v>-1.0587513149037859</v>
      </c>
      <c r="I282">
        <v>-295</v>
      </c>
      <c r="J282">
        <v>-1.119913707741228</v>
      </c>
      <c r="K282">
        <v>-1.073286604035939</v>
      </c>
      <c r="L282">
        <v>-1.119913707741228</v>
      </c>
    </row>
    <row r="283" spans="1:12" x14ac:dyDescent="0.25">
      <c r="A283" s="3">
        <f>DATE(2010,6,1)</f>
        <v>40330</v>
      </c>
      <c r="B283">
        <v>25</v>
      </c>
      <c r="C283">
        <v>6.89092985339812E-6</v>
      </c>
      <c r="D283">
        <v>10.118581767365299</v>
      </c>
      <c r="E283">
        <v>6</v>
      </c>
      <c r="F283">
        <v>10.3971239506839</v>
      </c>
      <c r="G283">
        <v>0.5168192025484809</v>
      </c>
      <c r="H283">
        <v>-0.53895478717719236</v>
      </c>
      <c r="I283">
        <v>-209</v>
      </c>
      <c r="J283">
        <v>-0.67670088696224262</v>
      </c>
      <c r="K283">
        <v>-0.54651736175668353</v>
      </c>
      <c r="L283">
        <v>-0.67670088696224262</v>
      </c>
    </row>
    <row r="284" spans="1:12" x14ac:dyDescent="0.25">
      <c r="A284" s="3">
        <f>DATE(2010,7,1)</f>
        <v>40360</v>
      </c>
      <c r="B284">
        <v>25</v>
      </c>
      <c r="C284">
        <v>7.1138269959192257E-6</v>
      </c>
      <c r="D284">
        <v>10.44588200264482</v>
      </c>
      <c r="E284">
        <v>7</v>
      </c>
      <c r="F284">
        <v>10.22014270149756</v>
      </c>
      <c r="G284">
        <v>0.60227454144232395</v>
      </c>
      <c r="H284">
        <v>0.37481129553750708</v>
      </c>
      <c r="I284">
        <v>56</v>
      </c>
      <c r="J284">
        <v>0.68901303753114329</v>
      </c>
      <c r="K284">
        <v>0.37950626736860882</v>
      </c>
      <c r="L284">
        <v>0.68901303753114329</v>
      </c>
    </row>
    <row r="285" spans="1:12" x14ac:dyDescent="0.25">
      <c r="A285" s="3">
        <f>DATE(2010,8,1)</f>
        <v>40391</v>
      </c>
      <c r="B285">
        <v>25</v>
      </c>
      <c r="C285">
        <v>7.2371763053524774E-6</v>
      </c>
      <c r="D285">
        <v>10.627007061236579</v>
      </c>
      <c r="E285">
        <v>8</v>
      </c>
      <c r="F285">
        <v>10.11625720624791</v>
      </c>
      <c r="G285">
        <v>0.63641538718728341</v>
      </c>
      <c r="H285">
        <v>0.80254165010998446</v>
      </c>
      <c r="I285">
        <v>112</v>
      </c>
      <c r="J285">
        <v>0.97761673478257571</v>
      </c>
      <c r="K285">
        <v>0.81297433181188294</v>
      </c>
      <c r="L285">
        <v>0.97761673478257571</v>
      </c>
    </row>
    <row r="286" spans="1:12" x14ac:dyDescent="0.25">
      <c r="A286" s="3">
        <f>DATE(2010,9,1)</f>
        <v>40422</v>
      </c>
      <c r="B286">
        <v>25</v>
      </c>
      <c r="C286">
        <v>7.4343543019494973E-6</v>
      </c>
      <c r="D286">
        <v>10.91654152519696</v>
      </c>
      <c r="E286">
        <v>9</v>
      </c>
      <c r="F286">
        <v>10.16338429551746</v>
      </c>
      <c r="G286">
        <v>0.67320267224545405</v>
      </c>
      <c r="H286">
        <v>1.118767439183447</v>
      </c>
      <c r="I286">
        <v>121</v>
      </c>
      <c r="J286">
        <v>1.0239994718408421</v>
      </c>
      <c r="K286">
        <v>1.1334420733490209</v>
      </c>
      <c r="L286">
        <v>1.0239994718408421</v>
      </c>
    </row>
    <row r="287" spans="1:12" x14ac:dyDescent="0.25">
      <c r="A287" s="3">
        <f>DATE(2010,10,1)</f>
        <v>40452</v>
      </c>
      <c r="B287">
        <v>25</v>
      </c>
      <c r="C287">
        <v>7.4574254540493712E-6</v>
      </c>
      <c r="D287">
        <v>10.95041900529854</v>
      </c>
      <c r="E287">
        <v>10</v>
      </c>
      <c r="F287">
        <v>10.12630033211884</v>
      </c>
      <c r="G287">
        <v>0.70316297472204004</v>
      </c>
      <c r="H287">
        <v>1.172016591893893</v>
      </c>
      <c r="I287">
        <v>112</v>
      </c>
      <c r="J287">
        <v>0.97761673478257571</v>
      </c>
      <c r="K287">
        <v>1.1874055269872641</v>
      </c>
      <c r="L287">
        <v>0.97761673478257571</v>
      </c>
    </row>
    <row r="288" spans="1:12" x14ac:dyDescent="0.25">
      <c r="A288" s="3">
        <f>DATE(2010,11,1)</f>
        <v>40483</v>
      </c>
      <c r="B288">
        <v>25</v>
      </c>
      <c r="C288">
        <v>7.4118870543316007E-6</v>
      </c>
      <c r="D288">
        <v>10.88355081321094</v>
      </c>
      <c r="E288">
        <v>11</v>
      </c>
      <c r="F288">
        <v>10.060733769865241</v>
      </c>
      <c r="G288">
        <v>0.67357937377392463</v>
      </c>
      <c r="H288">
        <v>1.2215591441519811</v>
      </c>
      <c r="I288">
        <v>119</v>
      </c>
      <c r="J288">
        <v>1.0136921969390049</v>
      </c>
      <c r="K288">
        <v>1.237612658665721</v>
      </c>
      <c r="L288">
        <v>1.0136921969390049</v>
      </c>
    </row>
    <row r="289" spans="1:12" x14ac:dyDescent="0.25">
      <c r="A289" s="3">
        <f>DATE(2010,12,1)</f>
        <v>40513</v>
      </c>
      <c r="B289">
        <v>25</v>
      </c>
      <c r="C289">
        <v>7.1862491495267022E-6</v>
      </c>
      <c r="D289">
        <v>10.55222606631057</v>
      </c>
      <c r="E289">
        <v>12</v>
      </c>
      <c r="F289">
        <v>9.8125461093946242</v>
      </c>
      <c r="G289">
        <v>0.57745665677750224</v>
      </c>
      <c r="H289">
        <v>1.2809272319133549</v>
      </c>
      <c r="I289">
        <v>83</v>
      </c>
      <c r="J289">
        <v>0.8281612487059411</v>
      </c>
      <c r="K289">
        <v>1.2977771286794111</v>
      </c>
      <c r="L289">
        <v>0.8281612487059411</v>
      </c>
    </row>
    <row r="290" spans="1:12" x14ac:dyDescent="0.25">
      <c r="A290" s="3">
        <f>DATE(2011,1,1)</f>
        <v>40544</v>
      </c>
      <c r="B290">
        <v>25</v>
      </c>
      <c r="C290">
        <v>6.8805406954197679E-6</v>
      </c>
      <c r="D290">
        <v>10.103326417690511</v>
      </c>
      <c r="E290">
        <v>1</v>
      </c>
      <c r="F290">
        <v>9.6397912031521695</v>
      </c>
      <c r="G290">
        <v>0.58355710709482933</v>
      </c>
      <c r="H290">
        <v>0.79432708282141717</v>
      </c>
      <c r="I290">
        <v>70</v>
      </c>
      <c r="J290">
        <v>0.76116396184400137</v>
      </c>
      <c r="K290">
        <v>0.80464957172705498</v>
      </c>
      <c r="L290">
        <v>0.76116396184400137</v>
      </c>
    </row>
    <row r="291" spans="1:12" x14ac:dyDescent="0.25">
      <c r="A291" s="3">
        <f>DATE(2011,2,1)</f>
        <v>40575</v>
      </c>
      <c r="B291">
        <v>25</v>
      </c>
      <c r="C291">
        <v>6.8909230321878567E-6</v>
      </c>
      <c r="D291">
        <v>10.11857175115918</v>
      </c>
      <c r="E291">
        <v>2</v>
      </c>
      <c r="F291">
        <v>9.7375638364217298</v>
      </c>
      <c r="G291">
        <v>0.60243313708146806</v>
      </c>
      <c r="H291">
        <v>0.63244846819561018</v>
      </c>
      <c r="I291">
        <v>90</v>
      </c>
      <c r="J291">
        <v>0.86423671086237008</v>
      </c>
      <c r="K291">
        <v>0.64059946631252951</v>
      </c>
      <c r="L291">
        <v>0.86423671086237008</v>
      </c>
    </row>
    <row r="292" spans="1:12" x14ac:dyDescent="0.25">
      <c r="A292" s="3">
        <f>DATE(2011,3,1)</f>
        <v>40603</v>
      </c>
      <c r="B292">
        <v>25</v>
      </c>
      <c r="C292">
        <v>7.1408248913940042E-6</v>
      </c>
      <c r="D292">
        <v>10.485525478738779</v>
      </c>
      <c r="E292">
        <v>3</v>
      </c>
      <c r="F292">
        <v>10.102290150544111</v>
      </c>
      <c r="G292">
        <v>0.58402337655596781</v>
      </c>
      <c r="H292">
        <v>0.65619861049850381</v>
      </c>
      <c r="I292">
        <v>102</v>
      </c>
      <c r="J292">
        <v>0.92608036027339136</v>
      </c>
      <c r="K292">
        <v>0.66466820051442532</v>
      </c>
      <c r="L292">
        <v>0.92608036027339136</v>
      </c>
    </row>
    <row r="293" spans="1:12" x14ac:dyDescent="0.25">
      <c r="A293" s="3">
        <f>DATE(2011,4,1)</f>
        <v>40634</v>
      </c>
      <c r="B293">
        <v>25</v>
      </c>
      <c r="C293">
        <v>7.1632571234658826E-6</v>
      </c>
      <c r="D293">
        <v>10.51846477420003</v>
      </c>
      <c r="E293">
        <v>4</v>
      </c>
      <c r="F293">
        <v>10.4239539327638</v>
      </c>
      <c r="G293">
        <v>0.55440043159667007</v>
      </c>
      <c r="H293">
        <v>0.1704739680018644</v>
      </c>
      <c r="I293">
        <v>85</v>
      </c>
      <c r="J293">
        <v>0.8384685236077779</v>
      </c>
      <c r="K293">
        <v>0.1724278944789478</v>
      </c>
      <c r="L293">
        <v>0.8384685236077779</v>
      </c>
    </row>
    <row r="294" spans="1:12" x14ac:dyDescent="0.25">
      <c r="A294" s="3">
        <f>DATE(2011,5,1)</f>
        <v>40664</v>
      </c>
      <c r="B294">
        <v>25</v>
      </c>
      <c r="C294">
        <v>7.0288047027133871E-6</v>
      </c>
      <c r="D294">
        <v>10.32103600302578</v>
      </c>
      <c r="E294">
        <v>5</v>
      </c>
      <c r="F294">
        <v>10.563854595443869</v>
      </c>
      <c r="G294">
        <v>0.54479993746219246</v>
      </c>
      <c r="H294">
        <v>-0.44570231331008942</v>
      </c>
      <c r="I294">
        <v>29</v>
      </c>
      <c r="J294">
        <v>0.54986482635634537</v>
      </c>
      <c r="K294">
        <v>-0.45201396979582431</v>
      </c>
      <c r="L294">
        <v>0.54986482635634537</v>
      </c>
    </row>
    <row r="295" spans="1:12" x14ac:dyDescent="0.25">
      <c r="A295" s="3">
        <f>DATE(2011,6,1)</f>
        <v>40695</v>
      </c>
      <c r="B295">
        <v>25</v>
      </c>
      <c r="C295">
        <v>6.9847387749177869E-6</v>
      </c>
      <c r="D295">
        <v>10.25632997596693</v>
      </c>
      <c r="E295">
        <v>6</v>
      </c>
      <c r="F295">
        <v>10.3971239506839</v>
      </c>
      <c r="G295">
        <v>0.5168192025484809</v>
      </c>
      <c r="H295">
        <v>-0.27242403924371422</v>
      </c>
      <c r="I295">
        <v>-98</v>
      </c>
      <c r="J295">
        <v>-0.10464712991029609</v>
      </c>
      <c r="K295">
        <v>-0.27641128631385131</v>
      </c>
      <c r="L295">
        <v>-0.10464712991029609</v>
      </c>
    </row>
    <row r="296" spans="1:12" x14ac:dyDescent="0.25">
      <c r="A296" s="3">
        <f>DATE(2011,7,1)</f>
        <v>40725</v>
      </c>
      <c r="B296">
        <v>25</v>
      </c>
      <c r="C296">
        <v>6.8089243541180622E-6</v>
      </c>
      <c r="D296">
        <v>9.9981656018416167</v>
      </c>
      <c r="E296">
        <v>7</v>
      </c>
      <c r="F296">
        <v>10.22014270149756</v>
      </c>
      <c r="G296">
        <v>0.60227454144232395</v>
      </c>
      <c r="H296">
        <v>-0.36856464017947471</v>
      </c>
      <c r="I296">
        <v>-147</v>
      </c>
      <c r="J296">
        <v>-0.35717536500529962</v>
      </c>
      <c r="K296">
        <v>-0.37384154759070398</v>
      </c>
      <c r="L296">
        <v>-0.35717536500529962</v>
      </c>
    </row>
    <row r="297" spans="1:12" x14ac:dyDescent="0.25">
      <c r="A297" s="3">
        <f>DATE(2011,8,1)</f>
        <v>40756</v>
      </c>
      <c r="B297">
        <v>25</v>
      </c>
      <c r="C297">
        <v>6.8174199441273231E-6</v>
      </c>
      <c r="D297">
        <v>10.010640452696229</v>
      </c>
      <c r="E297">
        <v>8</v>
      </c>
      <c r="F297">
        <v>10.11625720624791</v>
      </c>
      <c r="G297">
        <v>0.63641538718728341</v>
      </c>
      <c r="H297">
        <v>-0.16595568818420481</v>
      </c>
      <c r="I297">
        <v>-146</v>
      </c>
      <c r="J297">
        <v>-0.3520217275543811</v>
      </c>
      <c r="K297">
        <v>-0.16851473521599711</v>
      </c>
      <c r="L297">
        <v>-0.3520217275543811</v>
      </c>
    </row>
    <row r="298" spans="1:12" x14ac:dyDescent="0.25">
      <c r="A298" s="3">
        <f>DATE(2011,9,1)</f>
        <v>40787</v>
      </c>
      <c r="B298">
        <v>25</v>
      </c>
      <c r="C298">
        <v>6.9839343268540688E-6</v>
      </c>
      <c r="D298">
        <v>10.25514873139131</v>
      </c>
      <c r="E298">
        <v>9</v>
      </c>
      <c r="F298">
        <v>10.16338429551746</v>
      </c>
      <c r="G298">
        <v>0.67320267224545405</v>
      </c>
      <c r="H298">
        <v>0.13631026681425951</v>
      </c>
      <c r="I298">
        <v>-190</v>
      </c>
      <c r="J298">
        <v>-0.57878177539479236</v>
      </c>
      <c r="K298">
        <v>0.13780591062930689</v>
      </c>
      <c r="L298">
        <v>-0.57878177539479236</v>
      </c>
    </row>
    <row r="299" spans="1:12" x14ac:dyDescent="0.25">
      <c r="A299" s="3">
        <f>DATE(2011,10,1)</f>
        <v>40817</v>
      </c>
      <c r="B299">
        <v>25</v>
      </c>
      <c r="C299">
        <v>6.8338708842929918E-6</v>
      </c>
      <c r="D299">
        <v>10.034796870880379</v>
      </c>
      <c r="E299">
        <v>10</v>
      </c>
      <c r="F299">
        <v>10.12630033211884</v>
      </c>
      <c r="G299">
        <v>0.70316297472204004</v>
      </c>
      <c r="H299">
        <v>-0.13013122779201369</v>
      </c>
      <c r="I299">
        <v>-231</v>
      </c>
      <c r="J299">
        <v>-0.79008091088244825</v>
      </c>
      <c r="K299">
        <v>-0.13220971421404121</v>
      </c>
      <c r="L299">
        <v>-0.79008091088244825</v>
      </c>
    </row>
    <row r="300" spans="1:12" x14ac:dyDescent="0.25">
      <c r="A300" s="3">
        <f>DATE(2011,11,1)</f>
        <v>40848</v>
      </c>
      <c r="B300">
        <v>25</v>
      </c>
      <c r="C300">
        <v>6.8337344600877259E-6</v>
      </c>
      <c r="D300">
        <v>10.034596546757889</v>
      </c>
      <c r="E300">
        <v>11</v>
      </c>
      <c r="F300">
        <v>10.060733769865241</v>
      </c>
      <c r="G300">
        <v>0.67357937377392463</v>
      </c>
      <c r="H300">
        <v>-3.8803479033074607E-2</v>
      </c>
      <c r="I300">
        <v>-279</v>
      </c>
      <c r="J300">
        <v>-1.0374555085265329</v>
      </c>
      <c r="K300">
        <v>-3.9656866230952922E-2</v>
      </c>
      <c r="L300">
        <v>-1.0374555085265329</v>
      </c>
    </row>
    <row r="301" spans="1:12" x14ac:dyDescent="0.25">
      <c r="A301" s="3">
        <f>DATE(2011,12,1)</f>
        <v>40878</v>
      </c>
      <c r="B301">
        <v>25</v>
      </c>
      <c r="C301">
        <v>6.5452923081465997E-6</v>
      </c>
      <c r="D301">
        <v>9.6110505868274121</v>
      </c>
      <c r="E301">
        <v>12</v>
      </c>
      <c r="F301">
        <v>9.8125461093946242</v>
      </c>
      <c r="G301">
        <v>0.57745665677750224</v>
      </c>
      <c r="H301">
        <v>-0.34893618456432418</v>
      </c>
      <c r="I301">
        <v>-295</v>
      </c>
      <c r="J301">
        <v>-1.119913707741228</v>
      </c>
      <c r="K301">
        <v>-0.35394978968164892</v>
      </c>
      <c r="L301">
        <v>-1.119913707741228</v>
      </c>
    </row>
    <row r="302" spans="1:12" x14ac:dyDescent="0.25">
      <c r="A302" s="3">
        <f>DATE(2012,1,1)</f>
        <v>40909</v>
      </c>
      <c r="B302">
        <v>25</v>
      </c>
      <c r="C302">
        <v>6.0586003201024141E-6</v>
      </c>
      <c r="D302">
        <v>8.8963962830808452</v>
      </c>
      <c r="E302">
        <v>1</v>
      </c>
      <c r="F302">
        <v>9.6397912031521695</v>
      </c>
      <c r="G302">
        <v>0.58355710709482933</v>
      </c>
      <c r="H302">
        <v>-1.2739026070168671</v>
      </c>
      <c r="I302">
        <v>-288</v>
      </c>
      <c r="J302">
        <v>-1.083838245584799</v>
      </c>
      <c r="K302">
        <v>-1.291324003434311</v>
      </c>
      <c r="L302">
        <v>-1.083838245584799</v>
      </c>
    </row>
    <row r="303" spans="1:12" x14ac:dyDescent="0.25">
      <c r="A303" s="3">
        <f>DATE(2012,2,1)</f>
        <v>40940</v>
      </c>
      <c r="B303">
        <v>25</v>
      </c>
      <c r="C303">
        <v>6.3460925048275394E-6</v>
      </c>
      <c r="D303">
        <v>9.3185473193717101</v>
      </c>
      <c r="E303">
        <v>2</v>
      </c>
      <c r="F303">
        <v>9.7375638364217298</v>
      </c>
      <c r="G303">
        <v>0.60243313708146806</v>
      </c>
      <c r="H303">
        <v>-0.69554028697686898</v>
      </c>
      <c r="I303">
        <v>-283</v>
      </c>
      <c r="J303">
        <v>-1.058070058330207</v>
      </c>
      <c r="K303">
        <v>-0.70520334883349589</v>
      </c>
      <c r="L303">
        <v>-1.058070058330207</v>
      </c>
    </row>
    <row r="304" spans="1:12" x14ac:dyDescent="0.25">
      <c r="A304" s="3">
        <f>DATE(2012,3,1)</f>
        <v>40969</v>
      </c>
      <c r="B304">
        <v>25</v>
      </c>
      <c r="C304">
        <v>6.687043423880823E-6</v>
      </c>
      <c r="D304">
        <v>9.8191966985549453</v>
      </c>
      <c r="E304">
        <v>3</v>
      </c>
      <c r="F304">
        <v>10.102290150544111</v>
      </c>
      <c r="G304">
        <v>0.58402337655596781</v>
      </c>
      <c r="H304">
        <v>-0.48472965869720491</v>
      </c>
      <c r="I304">
        <v>-282</v>
      </c>
      <c r="J304">
        <v>-1.0529164208792881</v>
      </c>
      <c r="K304">
        <v>-0.49156484030212949</v>
      </c>
      <c r="L304">
        <v>-1.0529164208792881</v>
      </c>
    </row>
    <row r="305" spans="1:12" x14ac:dyDescent="0.25">
      <c r="A305" s="3">
        <f>DATE(2012,4,1)</f>
        <v>41000</v>
      </c>
      <c r="B305">
        <v>25</v>
      </c>
      <c r="C305">
        <v>6.927754839125555E-6</v>
      </c>
      <c r="D305">
        <v>10.172655257749391</v>
      </c>
      <c r="E305">
        <v>4</v>
      </c>
      <c r="F305">
        <v>10.4239539327638</v>
      </c>
      <c r="G305">
        <v>0.55440043159667007</v>
      </c>
      <c r="H305">
        <v>-0.45328008546218168</v>
      </c>
      <c r="I305">
        <v>-293</v>
      </c>
      <c r="J305">
        <v>-1.1096064328393911</v>
      </c>
      <c r="K305">
        <v>-0.45969339257338859</v>
      </c>
      <c r="L305">
        <v>-1.1096064328393911</v>
      </c>
    </row>
    <row r="306" spans="1:12" x14ac:dyDescent="0.25">
      <c r="A306" s="3">
        <f>DATE(2012,5,1)</f>
        <v>41030</v>
      </c>
      <c r="B306">
        <v>25</v>
      </c>
      <c r="C306">
        <v>6.9983934736228548E-6</v>
      </c>
      <c r="D306">
        <v>10.27638041738709</v>
      </c>
      <c r="E306">
        <v>5</v>
      </c>
      <c r="F306">
        <v>10.563854595443869</v>
      </c>
      <c r="G306">
        <v>0.54479993746219246</v>
      </c>
      <c r="H306">
        <v>-0.5276692567108292</v>
      </c>
      <c r="I306">
        <v>-315</v>
      </c>
      <c r="J306">
        <v>-1.2229864567595969</v>
      </c>
      <c r="K306">
        <v>-0.53508044362549412</v>
      </c>
      <c r="L306">
        <v>-1.2229864567595969</v>
      </c>
    </row>
    <row r="307" spans="1:12" x14ac:dyDescent="0.25">
      <c r="A307" s="3">
        <f>DATE(2012,6,1)</f>
        <v>41061</v>
      </c>
      <c r="B307">
        <v>25</v>
      </c>
      <c r="C307">
        <v>6.9835259637329727E-6</v>
      </c>
      <c r="D307">
        <v>10.254549094517991</v>
      </c>
      <c r="E307">
        <v>6</v>
      </c>
      <c r="F307">
        <v>10.3971239506839</v>
      </c>
      <c r="G307">
        <v>0.5168192025484809</v>
      </c>
      <c r="H307">
        <v>-0.27586988924339911</v>
      </c>
      <c r="I307">
        <v>-322</v>
      </c>
      <c r="J307">
        <v>-1.2590619189160259</v>
      </c>
      <c r="K307">
        <v>-0.2799033600321596</v>
      </c>
      <c r="L307">
        <v>-1.2590619189160259</v>
      </c>
    </row>
    <row r="308" spans="1:12" x14ac:dyDescent="0.25">
      <c r="A308" s="3">
        <f>DATE(2012,7,1)</f>
        <v>41091</v>
      </c>
      <c r="B308">
        <v>25</v>
      </c>
      <c r="C308">
        <v>6.7774521994579118E-6</v>
      </c>
      <c r="D308">
        <v>9.9519521622770206</v>
      </c>
      <c r="E308">
        <v>7</v>
      </c>
      <c r="F308">
        <v>10.22014270149756</v>
      </c>
      <c r="G308">
        <v>0.60227454144232395</v>
      </c>
      <c r="H308">
        <v>-0.44529615775935522</v>
      </c>
      <c r="I308">
        <v>-323</v>
      </c>
      <c r="J308">
        <v>-1.2642155563669439</v>
      </c>
      <c r="K308">
        <v>-0.4516023659464421</v>
      </c>
      <c r="L308">
        <v>-1.2642155563669439</v>
      </c>
    </row>
    <row r="309" spans="1:12" x14ac:dyDescent="0.25">
      <c r="A309" s="3">
        <f>DATE(2012,8,1)</f>
        <v>41122</v>
      </c>
      <c r="B309">
        <v>25</v>
      </c>
      <c r="C309">
        <v>6.6641628109209714E-6</v>
      </c>
      <c r="D309">
        <v>9.7855990044777794</v>
      </c>
      <c r="E309">
        <v>8</v>
      </c>
      <c r="F309">
        <v>10.11625720624791</v>
      </c>
      <c r="G309">
        <v>0.63641538718728341</v>
      </c>
      <c r="H309">
        <v>-0.51956349332079721</v>
      </c>
      <c r="I309">
        <v>-326</v>
      </c>
      <c r="J309">
        <v>-1.2796764687197</v>
      </c>
      <c r="K309">
        <v>-0.52686594696901012</v>
      </c>
      <c r="L309">
        <v>-1.2796764687197</v>
      </c>
    </row>
    <row r="310" spans="1:12" x14ac:dyDescent="0.25">
      <c r="A310" s="3">
        <f>DATE(2012,9,1)</f>
        <v>41153</v>
      </c>
      <c r="B310">
        <v>25</v>
      </c>
      <c r="C310">
        <v>6.7552159634942646E-6</v>
      </c>
      <c r="D310">
        <v>9.9193006658050837</v>
      </c>
      <c r="E310">
        <v>9</v>
      </c>
      <c r="F310">
        <v>10.16338429551746</v>
      </c>
      <c r="G310">
        <v>0.67320267224545405</v>
      </c>
      <c r="H310">
        <v>-0.3625707974364395</v>
      </c>
      <c r="I310">
        <v>-292</v>
      </c>
      <c r="J310">
        <v>-1.1044527953884731</v>
      </c>
      <c r="K310">
        <v>-0.3677673015508181</v>
      </c>
      <c r="L310">
        <v>-1.1044527953884731</v>
      </c>
    </row>
    <row r="311" spans="1:12" x14ac:dyDescent="0.25">
      <c r="A311" s="3">
        <f>DATE(2012,10,1)</f>
        <v>41183</v>
      </c>
      <c r="B311">
        <v>25</v>
      </c>
      <c r="C311">
        <v>6.584971742995549E-6</v>
      </c>
      <c r="D311">
        <v>9.6693155256010872</v>
      </c>
      <c r="E311">
        <v>10</v>
      </c>
      <c r="F311">
        <v>10.12630033211884</v>
      </c>
      <c r="G311">
        <v>0.70316297472204004</v>
      </c>
      <c r="H311">
        <v>-0.64989884698977762</v>
      </c>
      <c r="I311">
        <v>-282</v>
      </c>
      <c r="J311">
        <v>-1.0529164208792881</v>
      </c>
      <c r="K311">
        <v>-0.65894966017634449</v>
      </c>
      <c r="L311">
        <v>-1.0529164208792881</v>
      </c>
    </row>
    <row r="312" spans="1:12" x14ac:dyDescent="0.25">
      <c r="A312" s="3">
        <f>DATE(2012,11,1)</f>
        <v>41214</v>
      </c>
      <c r="B312">
        <v>25</v>
      </c>
      <c r="C312">
        <v>6.8144768192723859E-6</v>
      </c>
      <c r="D312">
        <v>10.00631879362702</v>
      </c>
      <c r="E312">
        <v>11</v>
      </c>
      <c r="F312">
        <v>10.060733769865241</v>
      </c>
      <c r="G312">
        <v>0.67357937377392463</v>
      </c>
      <c r="H312">
        <v>-8.0784801846501234E-2</v>
      </c>
      <c r="I312">
        <v>-106</v>
      </c>
      <c r="J312">
        <v>-0.14587622951764359</v>
      </c>
      <c r="K312">
        <v>-8.2201339748370308E-2</v>
      </c>
      <c r="L312">
        <v>-0.14587622951764359</v>
      </c>
    </row>
    <row r="313" spans="1:12" x14ac:dyDescent="0.25">
      <c r="A313" s="3">
        <f>DATE(2012,12,1)</f>
        <v>41244</v>
      </c>
      <c r="B313">
        <v>25</v>
      </c>
      <c r="C313">
        <v>7.0633568611810924E-6</v>
      </c>
      <c r="D313">
        <v>10.37177209352916</v>
      </c>
      <c r="E313">
        <v>12</v>
      </c>
      <c r="F313">
        <v>9.8125461093946242</v>
      </c>
      <c r="G313">
        <v>0.57745665677750224</v>
      </c>
      <c r="H313">
        <v>0.96842936620610931</v>
      </c>
      <c r="I313">
        <v>73</v>
      </c>
      <c r="J313">
        <v>0.77662487419675674</v>
      </c>
      <c r="K313">
        <v>0.98108731804821103</v>
      </c>
      <c r="L313">
        <v>0.77662487419675674</v>
      </c>
    </row>
    <row r="314" spans="1:12" x14ac:dyDescent="0.25">
      <c r="A314" s="3">
        <f>DATE(2013,1,1)</f>
        <v>41275</v>
      </c>
      <c r="B314">
        <v>25</v>
      </c>
      <c r="C314">
        <v>6.8328026827657604E-6</v>
      </c>
      <c r="D314">
        <v>10.033228333001279</v>
      </c>
      <c r="E314">
        <v>1</v>
      </c>
      <c r="F314">
        <v>9.6397912031521695</v>
      </c>
      <c r="G314">
        <v>0.58355710709482933</v>
      </c>
      <c r="H314">
        <v>0.67420501792496434</v>
      </c>
      <c r="I314">
        <v>122</v>
      </c>
      <c r="J314">
        <v>1.0291531092917601</v>
      </c>
      <c r="K314">
        <v>0.68291615156883734</v>
      </c>
      <c r="L314">
        <v>1.0291531092917601</v>
      </c>
    </row>
    <row r="315" spans="1:12" x14ac:dyDescent="0.25">
      <c r="A315" s="3">
        <f>DATE(2013,2,1)</f>
        <v>41306</v>
      </c>
      <c r="B315">
        <v>25</v>
      </c>
      <c r="C315">
        <v>7.1865692916617263E-6</v>
      </c>
      <c r="D315">
        <v>10.552696160251349</v>
      </c>
      <c r="E315">
        <v>2</v>
      </c>
      <c r="F315">
        <v>9.7375638364217298</v>
      </c>
      <c r="G315">
        <v>0.60243313708146806</v>
      </c>
      <c r="H315">
        <v>1.353066877726196</v>
      </c>
      <c r="I315">
        <v>138</v>
      </c>
      <c r="J315">
        <v>1.111611308506455</v>
      </c>
      <c r="K315">
        <v>1.3708844784520751</v>
      </c>
      <c r="L315">
        <v>1.111611308506455</v>
      </c>
    </row>
    <row r="316" spans="1:12" x14ac:dyDescent="0.25">
      <c r="A316" s="3">
        <f>DATE(2013,3,1)</f>
        <v>41334</v>
      </c>
      <c r="B316">
        <v>25</v>
      </c>
      <c r="C316">
        <v>7.4389899964444339E-6</v>
      </c>
      <c r="D316">
        <v>10.923348538879219</v>
      </c>
      <c r="E316">
        <v>3</v>
      </c>
      <c r="F316">
        <v>10.102290150544111</v>
      </c>
      <c r="G316">
        <v>0.58402337655596781</v>
      </c>
      <c r="H316">
        <v>1.4058656233539091</v>
      </c>
      <c r="I316">
        <v>130</v>
      </c>
      <c r="J316">
        <v>1.070382208899108</v>
      </c>
      <c r="K316">
        <v>1.424391483104932</v>
      </c>
      <c r="L316">
        <v>1.070382208899108</v>
      </c>
    </row>
    <row r="317" spans="1:12" x14ac:dyDescent="0.25">
      <c r="A317" s="3">
        <f>DATE(2013,4,1)</f>
        <v>41365</v>
      </c>
      <c r="B317">
        <v>25</v>
      </c>
      <c r="C317">
        <v>7.4459849201957704E-6</v>
      </c>
      <c r="D317">
        <v>10.933619824386421</v>
      </c>
      <c r="E317">
        <v>4</v>
      </c>
      <c r="F317">
        <v>10.4239539327638</v>
      </c>
      <c r="G317">
        <v>0.55440043159667007</v>
      </c>
      <c r="H317">
        <v>0.91931005564838086</v>
      </c>
      <c r="I317">
        <v>133</v>
      </c>
      <c r="J317">
        <v>1.0858431212518631</v>
      </c>
      <c r="K317">
        <v>0.93130910556776192</v>
      </c>
      <c r="L317">
        <v>1.0858431212518631</v>
      </c>
    </row>
    <row r="318" spans="1:12" x14ac:dyDescent="0.25">
      <c r="A318" s="3">
        <f>DATE(2013,5,1)</f>
        <v>41395</v>
      </c>
      <c r="B318">
        <v>25</v>
      </c>
      <c r="C318">
        <v>7.5020629992650356E-6</v>
      </c>
      <c r="D318">
        <v>11.01596439043063</v>
      </c>
      <c r="E318">
        <v>5</v>
      </c>
      <c r="F318">
        <v>10.563854595443869</v>
      </c>
      <c r="G318">
        <v>0.54479993746219246</v>
      </c>
      <c r="H318">
        <v>0.8298638892889636</v>
      </c>
      <c r="I318">
        <v>148</v>
      </c>
      <c r="J318">
        <v>1.16314768301564</v>
      </c>
      <c r="K318">
        <v>0.84066308012390267</v>
      </c>
      <c r="L318">
        <v>1.16314768301564</v>
      </c>
    </row>
    <row r="319" spans="1:12" x14ac:dyDescent="0.25">
      <c r="A319" s="3">
        <f>DATE(2013,6,1)</f>
        <v>41426</v>
      </c>
      <c r="B319">
        <v>25</v>
      </c>
      <c r="C319">
        <v>7.4550848694343594E-6</v>
      </c>
      <c r="D319">
        <v>10.94698211110367</v>
      </c>
      <c r="E319">
        <v>6</v>
      </c>
      <c r="F319">
        <v>10.3971239506839</v>
      </c>
      <c r="G319">
        <v>0.5168192025484809</v>
      </c>
      <c r="H319">
        <v>1.0639274967113641</v>
      </c>
      <c r="I319">
        <v>167</v>
      </c>
      <c r="J319">
        <v>1.26106679458309</v>
      </c>
      <c r="K319">
        <v>1.077866490593586</v>
      </c>
      <c r="L319">
        <v>1.26106679458309</v>
      </c>
    </row>
    <row r="320" spans="1:12" x14ac:dyDescent="0.25">
      <c r="A320" s="3">
        <f>DATE(2013,7,1)</f>
        <v>41456</v>
      </c>
      <c r="B320">
        <v>25</v>
      </c>
      <c r="C320">
        <v>7.7812219387851655E-6</v>
      </c>
      <c r="D320">
        <v>11.42587896157265</v>
      </c>
      <c r="E320">
        <v>7</v>
      </c>
      <c r="F320">
        <v>10.22014270149756</v>
      </c>
      <c r="G320">
        <v>0.60227454144232395</v>
      </c>
      <c r="H320">
        <v>2.00197115618999</v>
      </c>
      <c r="I320">
        <v>152</v>
      </c>
      <c r="J320">
        <v>1.1837622328193129</v>
      </c>
      <c r="K320">
        <v>2.0284933635540048</v>
      </c>
      <c r="L320">
        <v>1.1837622328193129</v>
      </c>
    </row>
    <row r="321" spans="1:12" x14ac:dyDescent="0.25">
      <c r="A321" s="3">
        <f>DATE(2013,8,1)</f>
        <v>41487</v>
      </c>
      <c r="B321">
        <v>25</v>
      </c>
      <c r="C321">
        <v>7.6031028584111482E-6</v>
      </c>
      <c r="D321">
        <v>11.16433044527138</v>
      </c>
      <c r="E321">
        <v>8</v>
      </c>
      <c r="F321">
        <v>10.11625720624791</v>
      </c>
      <c r="G321">
        <v>0.63641538718728341</v>
      </c>
      <c r="H321">
        <v>1.646838307375875</v>
      </c>
      <c r="I321">
        <v>149</v>
      </c>
      <c r="J321">
        <v>1.168301320466558</v>
      </c>
      <c r="K321">
        <v>1.6685966507066221</v>
      </c>
      <c r="L321">
        <v>1.168301320466558</v>
      </c>
    </row>
    <row r="322" spans="1:12" x14ac:dyDescent="0.25">
      <c r="A322" s="3">
        <f>DATE(2013,9,1)</f>
        <v>41518</v>
      </c>
      <c r="B322">
        <v>25</v>
      </c>
      <c r="C322">
        <v>7.2815873863874003E-6</v>
      </c>
      <c r="D322">
        <v>10.692219908325329</v>
      </c>
      <c r="E322">
        <v>9</v>
      </c>
      <c r="F322">
        <v>10.16338429551746</v>
      </c>
      <c r="G322">
        <v>0.67320267224545405</v>
      </c>
      <c r="H322">
        <v>0.78555186218133788</v>
      </c>
      <c r="I322">
        <v>148</v>
      </c>
      <c r="J322">
        <v>1.16314768301564</v>
      </c>
      <c r="K322">
        <v>0.79575663750984282</v>
      </c>
      <c r="L322">
        <v>1.16314768301564</v>
      </c>
    </row>
    <row r="323" spans="1:12" x14ac:dyDescent="0.25">
      <c r="A323" s="3">
        <f>DATE(2013,10,1)</f>
        <v>41548</v>
      </c>
      <c r="B323">
        <v>25</v>
      </c>
      <c r="C323">
        <v>7.1184826992976014E-6</v>
      </c>
      <c r="D323">
        <v>10.45271839719838</v>
      </c>
      <c r="E323">
        <v>10</v>
      </c>
      <c r="F323">
        <v>10.12630033211884</v>
      </c>
      <c r="G323">
        <v>0.70316297472204004</v>
      </c>
      <c r="H323">
        <v>0.46421395439452662</v>
      </c>
      <c r="I323">
        <v>104</v>
      </c>
      <c r="J323">
        <v>0.93638763517522827</v>
      </c>
      <c r="K323">
        <v>0.47010820168671202</v>
      </c>
      <c r="L323">
        <v>0.93638763517522827</v>
      </c>
    </row>
    <row r="324" spans="1:12" x14ac:dyDescent="0.25">
      <c r="A324" s="3">
        <f>DATE(2013,11,1)</f>
        <v>41579</v>
      </c>
      <c r="B324">
        <v>25</v>
      </c>
      <c r="C324">
        <v>7.1046283665054943E-6</v>
      </c>
      <c r="D324">
        <v>10.432374814812309</v>
      </c>
      <c r="E324">
        <v>11</v>
      </c>
      <c r="F324">
        <v>10.060733769865241</v>
      </c>
      <c r="G324">
        <v>0.67357937377392463</v>
      </c>
      <c r="H324">
        <v>0.55174053633032882</v>
      </c>
      <c r="I324">
        <v>107</v>
      </c>
      <c r="J324">
        <v>0.95184854752798354</v>
      </c>
      <c r="K324">
        <v>0.5588088927961129</v>
      </c>
      <c r="L324">
        <v>0.95184854752798354</v>
      </c>
    </row>
    <row r="325" spans="1:12" x14ac:dyDescent="0.25">
      <c r="A325" s="3">
        <f>DATE(2013,12,1)</f>
        <v>41609</v>
      </c>
      <c r="B325">
        <v>25</v>
      </c>
      <c r="C325">
        <v>7.0005748966650572E-6</v>
      </c>
      <c r="D325">
        <v>10.279583600105729</v>
      </c>
      <c r="E325">
        <v>12</v>
      </c>
      <c r="F325">
        <v>9.8125461093946242</v>
      </c>
      <c r="G325">
        <v>0.57745665677750224</v>
      </c>
      <c r="H325">
        <v>0.80878362943707061</v>
      </c>
      <c r="I325">
        <v>95</v>
      </c>
      <c r="J325">
        <v>0.89000489811696237</v>
      </c>
      <c r="K325">
        <v>0.8193000430182138</v>
      </c>
      <c r="L325">
        <v>0.89000489811696237</v>
      </c>
    </row>
    <row r="326" spans="1:12" x14ac:dyDescent="0.25">
      <c r="A326" s="3">
        <f>DATE(2014,1,1)</f>
        <v>41640</v>
      </c>
      <c r="B326">
        <v>25</v>
      </c>
      <c r="C326">
        <v>6.6971037995244842E-6</v>
      </c>
      <c r="D326">
        <v>9.8339692670945311</v>
      </c>
      <c r="E326">
        <v>1</v>
      </c>
      <c r="F326">
        <v>9.6397912031521695</v>
      </c>
      <c r="G326">
        <v>0.58355710709482933</v>
      </c>
      <c r="H326">
        <v>0.33274903446734522</v>
      </c>
      <c r="I326">
        <v>130</v>
      </c>
      <c r="J326">
        <v>1.070382208899108</v>
      </c>
      <c r="K326">
        <v>0.3368797698631546</v>
      </c>
      <c r="L326">
        <v>1.070382208899108</v>
      </c>
    </row>
    <row r="327" spans="1:12" x14ac:dyDescent="0.25">
      <c r="A327" s="3">
        <f>DATE(2014,2,1)</f>
        <v>41671</v>
      </c>
      <c r="B327">
        <v>25</v>
      </c>
      <c r="C327">
        <v>6.8283657128631603E-6</v>
      </c>
      <c r="D327">
        <v>10.026713124790779</v>
      </c>
      <c r="E327">
        <v>2</v>
      </c>
      <c r="F327">
        <v>9.7375638364217298</v>
      </c>
      <c r="G327">
        <v>0.60243313708146806</v>
      </c>
      <c r="H327">
        <v>0.47996909627158751</v>
      </c>
      <c r="I327">
        <v>118</v>
      </c>
      <c r="J327">
        <v>1.008538559488086</v>
      </c>
      <c r="K327">
        <v>0.48607468800565662</v>
      </c>
      <c r="L327">
        <v>1.008538559488086</v>
      </c>
    </row>
    <row r="328" spans="1:12" x14ac:dyDescent="0.25">
      <c r="A328" s="3">
        <f>DATE(2014,3,1)</f>
        <v>41699</v>
      </c>
      <c r="B328">
        <v>25</v>
      </c>
      <c r="C328">
        <v>6.9131797317822929E-6</v>
      </c>
      <c r="D328">
        <v>10.151253296249489</v>
      </c>
      <c r="E328">
        <v>3</v>
      </c>
      <c r="F328">
        <v>10.102290150544111</v>
      </c>
      <c r="G328">
        <v>0.58402337655596781</v>
      </c>
      <c r="H328">
        <v>8.3837647037555751E-2</v>
      </c>
      <c r="I328">
        <v>100</v>
      </c>
      <c r="J328">
        <v>0.91577308537155455</v>
      </c>
      <c r="K328">
        <v>8.4629406582476238E-2</v>
      </c>
      <c r="L328">
        <v>0.91577308537155455</v>
      </c>
    </row>
    <row r="329" spans="1:12" x14ac:dyDescent="0.25">
      <c r="A329" s="3">
        <f>DATE(2014,4,1)</f>
        <v>41730</v>
      </c>
      <c r="B329">
        <v>25</v>
      </c>
      <c r="C329">
        <v>7.0010705712775234E-6</v>
      </c>
      <c r="D329">
        <v>10.28031144441745</v>
      </c>
      <c r="E329">
        <v>4</v>
      </c>
      <c r="F329">
        <v>10.4239539327638</v>
      </c>
      <c r="G329">
        <v>0.55440043159667007</v>
      </c>
      <c r="H329">
        <v>-0.25909519574625928</v>
      </c>
      <c r="I329">
        <v>-19</v>
      </c>
      <c r="J329">
        <v>0.30249022871226039</v>
      </c>
      <c r="K329">
        <v>-0.26290364550616541</v>
      </c>
      <c r="L329">
        <v>0.30249022871226039</v>
      </c>
    </row>
    <row r="330" spans="1:12" x14ac:dyDescent="0.25">
      <c r="A330" s="3">
        <f>DATE(2014,5,1)</f>
        <v>41760</v>
      </c>
      <c r="B330">
        <v>25</v>
      </c>
      <c r="C330">
        <v>6.9036964305269066E-6</v>
      </c>
      <c r="D330">
        <v>10.137328098748039</v>
      </c>
      <c r="E330">
        <v>5</v>
      </c>
      <c r="F330">
        <v>10.563854595443869</v>
      </c>
      <c r="G330">
        <v>0.54479993746219246</v>
      </c>
      <c r="H330">
        <v>-0.78290481948785406</v>
      </c>
      <c r="I330">
        <v>-225</v>
      </c>
      <c r="J330">
        <v>-0.75915908617693761</v>
      </c>
      <c r="K330">
        <v>-0.79373981673598915</v>
      </c>
      <c r="L330">
        <v>-0.75915908617693761</v>
      </c>
    </row>
    <row r="331" spans="1:12" x14ac:dyDescent="0.25">
      <c r="A331" s="3">
        <f>DATE(2014,6,1)</f>
        <v>41791</v>
      </c>
      <c r="B331">
        <v>25</v>
      </c>
      <c r="C331">
        <v>6.7615483203553586E-6</v>
      </c>
      <c r="D331">
        <v>9.9285990438240539</v>
      </c>
      <c r="E331">
        <v>6</v>
      </c>
      <c r="F331">
        <v>10.3971239506839</v>
      </c>
      <c r="G331">
        <v>0.5168192025484809</v>
      </c>
      <c r="H331">
        <v>-0.90655475754289039</v>
      </c>
      <c r="I331">
        <v>-258</v>
      </c>
      <c r="J331">
        <v>-0.92922912205724595</v>
      </c>
      <c r="K331">
        <v>-0.91904843405593506</v>
      </c>
      <c r="L331">
        <v>-0.92922912205724595</v>
      </c>
    </row>
    <row r="332" spans="1:12" x14ac:dyDescent="0.25">
      <c r="A332" s="3">
        <f>DATE(2014,7,1)</f>
        <v>41821</v>
      </c>
      <c r="B332">
        <v>25</v>
      </c>
      <c r="C332">
        <v>6.6203015194332693E-6</v>
      </c>
      <c r="D332">
        <v>9.7211934636026651</v>
      </c>
      <c r="E332">
        <v>7</v>
      </c>
      <c r="F332">
        <v>10.22014270149756</v>
      </c>
      <c r="G332">
        <v>0.60227454144232395</v>
      </c>
      <c r="H332">
        <v>-0.8284415222001893</v>
      </c>
      <c r="I332">
        <v>-300</v>
      </c>
      <c r="J332">
        <v>-1.1456818949958201</v>
      </c>
      <c r="K332">
        <v>-0.83988736313954959</v>
      </c>
      <c r="L332">
        <v>-1.1456818949958201</v>
      </c>
    </row>
    <row r="333" spans="1:12" x14ac:dyDescent="0.25">
      <c r="A333" s="3">
        <f>DATE(2014,8,1)</f>
        <v>41852</v>
      </c>
      <c r="B333">
        <v>25</v>
      </c>
      <c r="C333">
        <v>6.4657001530576963E-6</v>
      </c>
      <c r="D333">
        <v>9.4941781550305997</v>
      </c>
      <c r="E333">
        <v>8</v>
      </c>
      <c r="F333">
        <v>10.11625720624791</v>
      </c>
      <c r="G333">
        <v>0.63641538718728341</v>
      </c>
      <c r="H333">
        <v>-0.97747330397944621</v>
      </c>
      <c r="I333">
        <v>-324</v>
      </c>
      <c r="J333">
        <v>-1.2693691938178631</v>
      </c>
      <c r="K333">
        <v>-0.99091830424017835</v>
      </c>
      <c r="L333">
        <v>-1.2693691938178631</v>
      </c>
    </row>
    <row r="334" spans="1:12" x14ac:dyDescent="0.25">
      <c r="A334" s="3">
        <f>DATE(2014,9,1)</f>
        <v>41883</v>
      </c>
      <c r="B334">
        <v>25</v>
      </c>
      <c r="C334">
        <v>6.3926431721483823E-6</v>
      </c>
      <c r="D334">
        <v>9.3869019164481973</v>
      </c>
      <c r="E334">
        <v>9</v>
      </c>
      <c r="F334">
        <v>10.16338429551746</v>
      </c>
      <c r="G334">
        <v>0.67320267224545405</v>
      </c>
      <c r="H334">
        <v>-1.1534154736482569</v>
      </c>
      <c r="I334">
        <v>-342</v>
      </c>
      <c r="J334">
        <v>-1.3621346679343951</v>
      </c>
      <c r="K334">
        <v>-1.1692206176603179</v>
      </c>
      <c r="L334">
        <v>-1.3621346679343951</v>
      </c>
    </row>
    <row r="335" spans="1:12" x14ac:dyDescent="0.25">
      <c r="A335" s="3">
        <f>DATE(2014,10,1)</f>
        <v>41913</v>
      </c>
      <c r="B335">
        <v>25</v>
      </c>
      <c r="C335">
        <v>6.3410043367184699E-6</v>
      </c>
      <c r="D335">
        <v>9.3110758973498573</v>
      </c>
      <c r="E335">
        <v>10</v>
      </c>
      <c r="F335">
        <v>10.12630033211884</v>
      </c>
      <c r="G335">
        <v>0.70316297472204004</v>
      </c>
      <c r="H335">
        <v>-1.159367691524491</v>
      </c>
      <c r="I335">
        <v>-347</v>
      </c>
      <c r="J335">
        <v>-1.3879028551889869</v>
      </c>
      <c r="K335">
        <v>-1.175252680464312</v>
      </c>
      <c r="L335">
        <v>-1.3879028551889869</v>
      </c>
    </row>
    <row r="336" spans="1:12" x14ac:dyDescent="0.25">
      <c r="A336" s="3">
        <f>DATE(2014,11,1)</f>
        <v>41944</v>
      </c>
      <c r="B336">
        <v>25</v>
      </c>
      <c r="C336">
        <v>6.3765050981601226E-6</v>
      </c>
      <c r="D336">
        <v>9.3632049082516229</v>
      </c>
      <c r="E336">
        <v>11</v>
      </c>
      <c r="F336">
        <v>10.060733769865241</v>
      </c>
      <c r="G336">
        <v>0.67357937377392463</v>
      </c>
      <c r="H336">
        <v>-1.035555554062628</v>
      </c>
      <c r="I336">
        <v>-350</v>
      </c>
      <c r="J336">
        <v>-1.4033637675417421</v>
      </c>
      <c r="K336">
        <v>-1.049779687943543</v>
      </c>
      <c r="L336">
        <v>-1.4033637675417421</v>
      </c>
    </row>
    <row r="337" spans="1:12" x14ac:dyDescent="0.25">
      <c r="A337" s="3">
        <f>DATE(2014,12,1)</f>
        <v>41974</v>
      </c>
      <c r="B337">
        <v>25</v>
      </c>
      <c r="C337">
        <v>6.3446282183576841E-6</v>
      </c>
      <c r="D337">
        <v>9.3163971737903015</v>
      </c>
      <c r="E337">
        <v>12</v>
      </c>
      <c r="F337">
        <v>9.8125461093946242</v>
      </c>
      <c r="G337">
        <v>0.57745665677750224</v>
      </c>
      <c r="H337">
        <v>-0.85919684149643816</v>
      </c>
      <c r="I337">
        <v>-329</v>
      </c>
      <c r="J337">
        <v>-1.2951373810724549</v>
      </c>
      <c r="K337">
        <v>-0.87105524398823242</v>
      </c>
      <c r="L337">
        <v>-1.2951373810724549</v>
      </c>
    </row>
    <row r="338" spans="1:12" x14ac:dyDescent="0.25">
      <c r="A338" s="3">
        <f>DATE(2015,1,1)</f>
        <v>42005</v>
      </c>
      <c r="B338">
        <v>25</v>
      </c>
      <c r="C338">
        <v>6.2582812461187132E-6</v>
      </c>
      <c r="D338">
        <v>9.1896060269418687</v>
      </c>
      <c r="E338">
        <v>1</v>
      </c>
      <c r="F338">
        <v>9.6397912031521695</v>
      </c>
      <c r="G338">
        <v>0.58355710709482933</v>
      </c>
      <c r="H338">
        <v>-0.77145007872750448</v>
      </c>
      <c r="I338">
        <v>-317</v>
      </c>
      <c r="J338">
        <v>-1.2332937316614341</v>
      </c>
      <c r="K338">
        <v>-0.78213141847056544</v>
      </c>
      <c r="L338">
        <v>-1.2332937316614341</v>
      </c>
    </row>
    <row r="339" spans="1:12" x14ac:dyDescent="0.25">
      <c r="A339" s="3">
        <f>DATE(2015,2,1)</f>
        <v>42036</v>
      </c>
      <c r="B339">
        <v>25</v>
      </c>
      <c r="C339">
        <v>6.6061802499461919E-6</v>
      </c>
      <c r="D339">
        <v>9.7004579136835893</v>
      </c>
      <c r="E339">
        <v>2</v>
      </c>
      <c r="F339">
        <v>9.7375638364217298</v>
      </c>
      <c r="G339">
        <v>0.60243313708146806</v>
      </c>
      <c r="H339">
        <v>-6.1593429136223968E-2</v>
      </c>
      <c r="I339">
        <v>-300</v>
      </c>
      <c r="J339">
        <v>-1.1456818949958201</v>
      </c>
      <c r="K339">
        <v>-6.275252791211855E-2</v>
      </c>
      <c r="L339">
        <v>-1.1456818949958201</v>
      </c>
    </row>
    <row r="340" spans="1:12" x14ac:dyDescent="0.25">
      <c r="A340" s="3">
        <f>DATE(2015,3,1)</f>
        <v>42064</v>
      </c>
      <c r="B340">
        <v>25</v>
      </c>
      <c r="C340">
        <v>6.8280201048764866E-6</v>
      </c>
      <c r="D340">
        <v>10.026205637013801</v>
      </c>
      <c r="E340">
        <v>3</v>
      </c>
      <c r="F340">
        <v>10.102290150544111</v>
      </c>
      <c r="G340">
        <v>0.58402337655596781</v>
      </c>
      <c r="H340">
        <v>-0.13027648649782531</v>
      </c>
      <c r="I340">
        <v>-301</v>
      </c>
      <c r="J340">
        <v>-1.150835532446739</v>
      </c>
      <c r="K340">
        <v>-0.1323569214659433</v>
      </c>
      <c r="L340">
        <v>-1.150835532446739</v>
      </c>
    </row>
    <row r="341" spans="1:12" x14ac:dyDescent="0.25">
      <c r="A341" s="3">
        <f>DATE(2015,4,1)</f>
        <v>42095</v>
      </c>
      <c r="B341">
        <v>25</v>
      </c>
      <c r="C341">
        <v>6.9656298364861868E-6</v>
      </c>
      <c r="D341">
        <v>10.228270576129569</v>
      </c>
      <c r="E341">
        <v>4</v>
      </c>
      <c r="F341">
        <v>10.4239539327638</v>
      </c>
      <c r="G341">
        <v>0.55440043159667007</v>
      </c>
      <c r="H341">
        <v>-0.35296393271315368</v>
      </c>
      <c r="I341">
        <v>-231</v>
      </c>
      <c r="J341">
        <v>-0.79008091088244825</v>
      </c>
      <c r="K341">
        <v>-0.3580315673143894</v>
      </c>
      <c r="L341">
        <v>-0.79008091088244825</v>
      </c>
    </row>
    <row r="342" spans="1:12" x14ac:dyDescent="0.25">
      <c r="A342" s="3">
        <f>DATE(2015,5,1)</f>
        <v>42125</v>
      </c>
      <c r="B342">
        <v>25</v>
      </c>
      <c r="C342">
        <v>7.8346802183659747E-6</v>
      </c>
      <c r="D342">
        <v>11.50437663671795</v>
      </c>
      <c r="E342">
        <v>5</v>
      </c>
      <c r="F342">
        <v>10.563854595443869</v>
      </c>
      <c r="G342">
        <v>0.54479993746219246</v>
      </c>
      <c r="H342">
        <v>1.726362241624428</v>
      </c>
      <c r="I342">
        <v>8</v>
      </c>
      <c r="J342">
        <v>0.4416384398870582</v>
      </c>
      <c r="K342">
        <v>1.749187344088879</v>
      </c>
      <c r="L342">
        <v>0.4416384398870582</v>
      </c>
    </row>
    <row r="343" spans="1:12" x14ac:dyDescent="0.25">
      <c r="A343" s="3">
        <f>DATE(2015,6,1)</f>
        <v>42156</v>
      </c>
      <c r="B343">
        <v>25</v>
      </c>
      <c r="C343">
        <v>7.8898074207245372E-6</v>
      </c>
      <c r="D343">
        <v>11.58532494362839</v>
      </c>
      <c r="E343">
        <v>6</v>
      </c>
      <c r="F343">
        <v>10.3971239506839</v>
      </c>
      <c r="G343">
        <v>0.5168192025484809</v>
      </c>
      <c r="H343">
        <v>2.2990651026226661</v>
      </c>
      <c r="I343">
        <v>98</v>
      </c>
      <c r="J343">
        <v>0.90546581046971764</v>
      </c>
      <c r="K343">
        <v>2.3295726218795081</v>
      </c>
      <c r="L343">
        <v>0.90546581046971764</v>
      </c>
    </row>
    <row r="344" spans="1:12" x14ac:dyDescent="0.25">
      <c r="A344" s="3">
        <f>DATE(2015,7,1)</f>
        <v>42186</v>
      </c>
      <c r="B344">
        <v>25</v>
      </c>
      <c r="C344">
        <v>7.918518349470105E-6</v>
      </c>
      <c r="D344">
        <v>11.62748382295376</v>
      </c>
      <c r="E344">
        <v>7</v>
      </c>
      <c r="F344">
        <v>10.22014270149756</v>
      </c>
      <c r="G344">
        <v>0.60227454144232395</v>
      </c>
      <c r="H344">
        <v>2.3367102950855299</v>
      </c>
      <c r="I344">
        <v>145</v>
      </c>
      <c r="J344">
        <v>1.1476867706628839</v>
      </c>
      <c r="K344">
        <v>2.3677227988263421</v>
      </c>
      <c r="L344">
        <v>1.1476867706628839</v>
      </c>
    </row>
    <row r="345" spans="1:12" x14ac:dyDescent="0.25">
      <c r="A345" s="3">
        <f>DATE(2015,8,1)</f>
        <v>42217</v>
      </c>
      <c r="B345">
        <v>25</v>
      </c>
      <c r="C345">
        <v>8.0419367805006914E-6</v>
      </c>
      <c r="D345">
        <v>11.80871037910091</v>
      </c>
      <c r="E345">
        <v>8</v>
      </c>
      <c r="F345">
        <v>10.11625720624791</v>
      </c>
      <c r="G345">
        <v>0.63641538718728341</v>
      </c>
      <c r="H345">
        <v>2.659353005798625</v>
      </c>
      <c r="I345">
        <v>156</v>
      </c>
      <c r="J345">
        <v>1.204376782622987</v>
      </c>
      <c r="K345">
        <v>2.6946935406137089</v>
      </c>
      <c r="L345">
        <v>1.204376782622987</v>
      </c>
    </row>
    <row r="346" spans="1:12" x14ac:dyDescent="0.25">
      <c r="A346" s="3">
        <f>DATE(2015,9,1)</f>
        <v>42248</v>
      </c>
      <c r="B346">
        <v>25</v>
      </c>
      <c r="C346">
        <v>7.9181918408721685E-6</v>
      </c>
      <c r="D346">
        <v>11.627004380553929</v>
      </c>
      <c r="E346">
        <v>9</v>
      </c>
      <c r="F346">
        <v>10.16338429551746</v>
      </c>
      <c r="G346">
        <v>0.67320267224545405</v>
      </c>
      <c r="H346">
        <v>2.174115085067315</v>
      </c>
      <c r="I346">
        <v>171</v>
      </c>
      <c r="J346">
        <v>1.2816813443867641</v>
      </c>
      <c r="K346">
        <v>2.20294648538282</v>
      </c>
      <c r="L346">
        <v>1.2816813443867641</v>
      </c>
    </row>
    <row r="347" spans="1:12" x14ac:dyDescent="0.25">
      <c r="A347" s="3">
        <f>DATE(2015,10,1)</f>
        <v>42278</v>
      </c>
      <c r="B347">
        <v>25</v>
      </c>
      <c r="C347">
        <v>7.7465001595555805E-6</v>
      </c>
      <c r="D347">
        <v>11.374893801410311</v>
      </c>
      <c r="E347">
        <v>10</v>
      </c>
      <c r="F347">
        <v>10.12630033211884</v>
      </c>
      <c r="G347">
        <v>0.70316297472204004</v>
      </c>
      <c r="H347">
        <v>1.775681476666253</v>
      </c>
      <c r="I347">
        <v>127</v>
      </c>
      <c r="J347">
        <v>1.0549212965463519</v>
      </c>
      <c r="K347">
        <v>1.799168162903505</v>
      </c>
      <c r="L347">
        <v>1.0549212965463519</v>
      </c>
    </row>
    <row r="348" spans="1:12" x14ac:dyDescent="0.25">
      <c r="A348" s="3">
        <f>DATE(2015,11,1)</f>
        <v>42309</v>
      </c>
      <c r="B348">
        <v>25</v>
      </c>
      <c r="C348">
        <v>7.4714575930556748E-6</v>
      </c>
      <c r="D348">
        <v>10.971023676790921</v>
      </c>
      <c r="E348">
        <v>11</v>
      </c>
      <c r="F348">
        <v>10.060733769865241</v>
      </c>
      <c r="G348">
        <v>0.67357937377392463</v>
      </c>
      <c r="H348">
        <v>1.3514218848856949</v>
      </c>
      <c r="I348">
        <v>142</v>
      </c>
      <c r="J348">
        <v>1.132225858310129</v>
      </c>
      <c r="K348">
        <v>1.3692174191588251</v>
      </c>
      <c r="L348">
        <v>1.132225858310129</v>
      </c>
    </row>
    <row r="349" spans="1:12" x14ac:dyDescent="0.25">
      <c r="A349" s="3">
        <f>DATE(2015,12,1)</f>
        <v>42339</v>
      </c>
      <c r="B349">
        <v>25</v>
      </c>
      <c r="C349">
        <v>7.1892868618306238E-6</v>
      </c>
      <c r="D349">
        <v>10.556686616771371</v>
      </c>
      <c r="E349">
        <v>12</v>
      </c>
      <c r="F349">
        <v>9.8125461093946242</v>
      </c>
      <c r="G349">
        <v>0.57745665677750224</v>
      </c>
      <c r="H349">
        <v>1.2886517085618581</v>
      </c>
      <c r="I349">
        <v>109</v>
      </c>
      <c r="J349">
        <v>0.96215582242982045</v>
      </c>
      <c r="K349">
        <v>1.3056052238937681</v>
      </c>
      <c r="L349">
        <v>0.96215582242982045</v>
      </c>
    </row>
    <row r="350" spans="1:12" x14ac:dyDescent="0.25">
      <c r="A350" s="3">
        <f>DATE(2016,1,1)</f>
        <v>42370</v>
      </c>
      <c r="B350">
        <v>25</v>
      </c>
      <c r="C350">
        <v>6.9023044488858432E-6</v>
      </c>
      <c r="D350">
        <v>10.13528412495155</v>
      </c>
      <c r="E350">
        <v>1</v>
      </c>
      <c r="F350">
        <v>9.6397912031521695</v>
      </c>
      <c r="G350">
        <v>0.58355710709482933</v>
      </c>
      <c r="H350">
        <v>0.84909071584464779</v>
      </c>
      <c r="I350">
        <v>108</v>
      </c>
      <c r="J350">
        <v>0.95700218497890199</v>
      </c>
      <c r="K350">
        <v>0.86014782139462487</v>
      </c>
      <c r="L350">
        <v>0.95700218497890199</v>
      </c>
    </row>
    <row r="351" spans="1:12" x14ac:dyDescent="0.25">
      <c r="A351" s="3">
        <f>DATE(2016,2,1)</f>
        <v>42401</v>
      </c>
      <c r="B351">
        <v>25</v>
      </c>
      <c r="C351">
        <v>6.9566463025694247E-6</v>
      </c>
      <c r="D351">
        <v>10.21507923266352</v>
      </c>
      <c r="E351">
        <v>2</v>
      </c>
      <c r="F351">
        <v>9.7375638364217298</v>
      </c>
      <c r="G351">
        <v>0.60243313708146806</v>
      </c>
      <c r="H351">
        <v>0.79264463863184664</v>
      </c>
      <c r="I351">
        <v>120</v>
      </c>
      <c r="J351">
        <v>1.0188458343899229</v>
      </c>
      <c r="K351">
        <v>0.80294455870052817</v>
      </c>
      <c r="L351">
        <v>1.0188458343899229</v>
      </c>
    </row>
    <row r="352" spans="1:12" x14ac:dyDescent="0.25">
      <c r="A352" s="3">
        <f>DATE(2016,3,1)</f>
        <v>42430</v>
      </c>
      <c r="B352">
        <v>25</v>
      </c>
      <c r="C352">
        <v>7.1385702540283091E-6</v>
      </c>
      <c r="D352">
        <v>10.48221478874107</v>
      </c>
      <c r="E352">
        <v>3</v>
      </c>
      <c r="F352">
        <v>10.102290150544111</v>
      </c>
      <c r="G352">
        <v>0.58402337655596781</v>
      </c>
      <c r="H352">
        <v>0.65052984768761601</v>
      </c>
      <c r="I352">
        <v>112</v>
      </c>
      <c r="J352">
        <v>0.97761673478257571</v>
      </c>
      <c r="K352">
        <v>0.65892339513141818</v>
      </c>
      <c r="L352">
        <v>0.97761673478257571</v>
      </c>
    </row>
    <row r="353" spans="1:12" x14ac:dyDescent="0.25">
      <c r="A353" s="3">
        <f>DATE(2016,4,1)</f>
        <v>42461</v>
      </c>
      <c r="B353">
        <v>25</v>
      </c>
      <c r="C353">
        <v>7.5342823038226916E-6</v>
      </c>
      <c r="D353">
        <v>11.063274938439401</v>
      </c>
      <c r="E353">
        <v>4</v>
      </c>
      <c r="F353">
        <v>10.4239539327638</v>
      </c>
      <c r="G353">
        <v>0.55440043159667007</v>
      </c>
      <c r="H353">
        <v>1.1531755194243991</v>
      </c>
      <c r="I353">
        <v>94</v>
      </c>
      <c r="J353">
        <v>0.88485126066604392</v>
      </c>
      <c r="K353">
        <v>1.1683117144297011</v>
      </c>
      <c r="L353">
        <v>0.88485126066604392</v>
      </c>
    </row>
    <row r="354" spans="1:12" x14ac:dyDescent="0.25">
      <c r="A354" s="3">
        <f>DATE(2016,5,1)</f>
        <v>42491</v>
      </c>
      <c r="B354">
        <v>25</v>
      </c>
      <c r="C354">
        <v>7.6895094025530852E-6</v>
      </c>
      <c r="D354">
        <v>11.29120906698663</v>
      </c>
      <c r="E354">
        <v>5</v>
      </c>
      <c r="F354">
        <v>10.563854595443869</v>
      </c>
      <c r="G354">
        <v>0.54479993746219246</v>
      </c>
      <c r="H354">
        <v>1.335085453443605</v>
      </c>
      <c r="I354">
        <v>104</v>
      </c>
      <c r="J354">
        <v>0.93638763517522827</v>
      </c>
      <c r="K354">
        <v>1.3526618456733031</v>
      </c>
      <c r="L354">
        <v>0.93638763517522827</v>
      </c>
    </row>
    <row r="355" spans="1:12" x14ac:dyDescent="0.25">
      <c r="A355" s="3">
        <f>DATE(2016,6,1)</f>
        <v>42522</v>
      </c>
      <c r="B355">
        <v>25</v>
      </c>
      <c r="C355">
        <v>7.5896919042861546E-6</v>
      </c>
      <c r="D355">
        <v>11.144637916283401</v>
      </c>
      <c r="E355">
        <v>6</v>
      </c>
      <c r="F355">
        <v>10.3971239506839</v>
      </c>
      <c r="G355">
        <v>0.5168192025484809</v>
      </c>
      <c r="H355">
        <v>1.4463742096141969</v>
      </c>
      <c r="I355">
        <v>91</v>
      </c>
      <c r="J355">
        <v>0.86939034831328854</v>
      </c>
      <c r="K355">
        <v>1.465443464316625</v>
      </c>
      <c r="L355">
        <v>0.86939034831328854</v>
      </c>
    </row>
    <row r="356" spans="1:12" x14ac:dyDescent="0.25">
      <c r="A356" s="3">
        <f>DATE(2016,7,1)</f>
        <v>42552</v>
      </c>
      <c r="B356">
        <v>25</v>
      </c>
      <c r="C356">
        <v>7.5535212999966461E-6</v>
      </c>
      <c r="D356">
        <v>11.091525313940201</v>
      </c>
      <c r="E356">
        <v>7</v>
      </c>
      <c r="F356">
        <v>10.22014270149756</v>
      </c>
      <c r="G356">
        <v>0.60227454144232395</v>
      </c>
      <c r="H356">
        <v>1.446819602163248</v>
      </c>
      <c r="I356">
        <v>96</v>
      </c>
      <c r="J356">
        <v>0.89515853556788072</v>
      </c>
      <c r="K356">
        <v>1.4658948315017939</v>
      </c>
      <c r="L356">
        <v>0.89515853556788072</v>
      </c>
    </row>
    <row r="357" spans="1:12" x14ac:dyDescent="0.25">
      <c r="A357" s="3">
        <f>DATE(2016,8,1)</f>
        <v>42583</v>
      </c>
      <c r="B357">
        <v>25</v>
      </c>
      <c r="C357">
        <v>7.5363827818364371E-6</v>
      </c>
      <c r="D357">
        <v>11.0663592621787</v>
      </c>
      <c r="E357">
        <v>8</v>
      </c>
      <c r="F357">
        <v>10.11625720624791</v>
      </c>
      <c r="G357">
        <v>0.63641538718728341</v>
      </c>
      <c r="H357">
        <v>1.492896110086027</v>
      </c>
      <c r="I357">
        <v>141</v>
      </c>
      <c r="J357">
        <v>1.1270722208592101</v>
      </c>
      <c r="K357">
        <v>1.512589424233131</v>
      </c>
      <c r="L357">
        <v>1.1270722208592101</v>
      </c>
    </row>
    <row r="358" spans="1:12" x14ac:dyDescent="0.25">
      <c r="A358" s="3">
        <f>DATE(2016,9,1)</f>
        <v>42614</v>
      </c>
      <c r="B358">
        <v>25</v>
      </c>
      <c r="C358">
        <v>7.5080829446960706E-6</v>
      </c>
      <c r="D358">
        <v>11.02480402620909</v>
      </c>
      <c r="E358">
        <v>9</v>
      </c>
      <c r="F358">
        <v>10.16338429551746</v>
      </c>
      <c r="G358">
        <v>0.67320267224545405</v>
      </c>
      <c r="H358">
        <v>1.279584538514057</v>
      </c>
      <c r="I358">
        <v>143</v>
      </c>
      <c r="J358">
        <v>1.137379495761047</v>
      </c>
      <c r="K358">
        <v>1.2964164239674061</v>
      </c>
      <c r="L358">
        <v>1.137379495761047</v>
      </c>
    </row>
    <row r="359" spans="1:12" x14ac:dyDescent="0.25">
      <c r="A359" s="3">
        <f>DATE(2016,10,1)</f>
        <v>42644</v>
      </c>
      <c r="B359">
        <v>25</v>
      </c>
      <c r="C359">
        <v>7.4399126788193834E-6</v>
      </c>
      <c r="D359">
        <v>10.92470339769433</v>
      </c>
      <c r="E359">
        <v>10</v>
      </c>
      <c r="F359">
        <v>10.12630033211884</v>
      </c>
      <c r="G359">
        <v>0.70316297472204004</v>
      </c>
      <c r="H359">
        <v>1.135445258463865</v>
      </c>
      <c r="I359">
        <v>153</v>
      </c>
      <c r="J359">
        <v>1.188915870270232</v>
      </c>
      <c r="K359">
        <v>1.150343614156998</v>
      </c>
      <c r="L359">
        <v>1.188915870270232</v>
      </c>
    </row>
    <row r="360" spans="1:12" x14ac:dyDescent="0.25">
      <c r="A360" s="3">
        <f>DATE(2016,11,1)</f>
        <v>42675</v>
      </c>
      <c r="B360">
        <v>25</v>
      </c>
      <c r="C360">
        <v>7.2063990046444806E-6</v>
      </c>
      <c r="D360">
        <v>10.581813939202529</v>
      </c>
      <c r="E360">
        <v>11</v>
      </c>
      <c r="F360">
        <v>10.060733769865241</v>
      </c>
      <c r="G360">
        <v>0.67357937377392463</v>
      </c>
      <c r="H360">
        <v>0.77359876152054474</v>
      </c>
      <c r="I360">
        <v>170</v>
      </c>
      <c r="J360">
        <v>1.2765277069358449</v>
      </c>
      <c r="K360">
        <v>0.78364319418710182</v>
      </c>
      <c r="L360">
        <v>1.2765277069358449</v>
      </c>
    </row>
    <row r="361" spans="1:12" x14ac:dyDescent="0.25">
      <c r="A361" s="3">
        <f>DATE(2016,12,1)</f>
        <v>42705</v>
      </c>
      <c r="B361">
        <v>25</v>
      </c>
      <c r="C361">
        <v>7.1077365646488033E-6</v>
      </c>
      <c r="D361">
        <v>10.436938866069729</v>
      </c>
      <c r="E361">
        <v>12</v>
      </c>
      <c r="F361">
        <v>9.8125461093946242</v>
      </c>
      <c r="G361">
        <v>0.57745665677750224</v>
      </c>
      <c r="H361">
        <v>1.0812807322363029</v>
      </c>
      <c r="I361">
        <v>162</v>
      </c>
      <c r="J361">
        <v>1.2352986073284979</v>
      </c>
      <c r="K361">
        <v>1.0954525078925961</v>
      </c>
      <c r="L361">
        <v>1.2352986073284979</v>
      </c>
    </row>
    <row r="362" spans="1:12" x14ac:dyDescent="0.25">
      <c r="A362" s="3">
        <f>DATE(2017,1,1)</f>
        <v>42736</v>
      </c>
      <c r="B362">
        <v>25</v>
      </c>
      <c r="C362">
        <v>7.0258424784697127E-6</v>
      </c>
      <c r="D362">
        <v>10.31668629857942</v>
      </c>
      <c r="E362">
        <v>1</v>
      </c>
      <c r="F362">
        <v>9.6397912031521695</v>
      </c>
      <c r="G362">
        <v>0.58355710709482933</v>
      </c>
      <c r="H362">
        <v>1.159946622528673</v>
      </c>
      <c r="I362">
        <v>161</v>
      </c>
      <c r="J362">
        <v>1.230144969877579</v>
      </c>
      <c r="K362">
        <v>1.175173647246438</v>
      </c>
      <c r="L362">
        <v>1.230144969877579</v>
      </c>
    </row>
    <row r="363" spans="1:12" x14ac:dyDescent="0.25">
      <c r="A363" s="3">
        <f>DATE(2017,2,1)</f>
        <v>42767</v>
      </c>
      <c r="B363">
        <v>25</v>
      </c>
      <c r="C363">
        <v>6.9022285060782451E-6</v>
      </c>
      <c r="D363">
        <v>10.135172611190031</v>
      </c>
      <c r="E363">
        <v>2</v>
      </c>
      <c r="F363">
        <v>9.7375638364217298</v>
      </c>
      <c r="G363">
        <v>0.60243313708146806</v>
      </c>
      <c r="H363">
        <v>0.66000482094087021</v>
      </c>
      <c r="I363">
        <v>169</v>
      </c>
      <c r="J363">
        <v>1.2713740694849269</v>
      </c>
      <c r="K363">
        <v>0.66852546866404128</v>
      </c>
      <c r="L363">
        <v>1.2713740694849269</v>
      </c>
    </row>
    <row r="364" spans="1:12" x14ac:dyDescent="0.25">
      <c r="A364" s="3">
        <f>DATE(2017,3,1)</f>
        <v>42795</v>
      </c>
      <c r="B364">
        <v>25</v>
      </c>
      <c r="C364">
        <v>7.1953322731133076E-6</v>
      </c>
      <c r="D364">
        <v>10.565563646386041</v>
      </c>
      <c r="E364">
        <v>3</v>
      </c>
      <c r="F364">
        <v>10.102290150544111</v>
      </c>
      <c r="G364">
        <v>0.58402337655596781</v>
      </c>
      <c r="H364">
        <v>0.79324478169674062</v>
      </c>
      <c r="I364">
        <v>145</v>
      </c>
      <c r="J364">
        <v>1.1476867706628839</v>
      </c>
      <c r="K364">
        <v>0.80355275227376355</v>
      </c>
      <c r="L364">
        <v>1.1476867706628839</v>
      </c>
    </row>
    <row r="365" spans="1:12" x14ac:dyDescent="0.25">
      <c r="A365" s="3">
        <f>DATE(2017,4,1)</f>
        <v>42826</v>
      </c>
      <c r="B365">
        <v>25</v>
      </c>
      <c r="C365">
        <v>7.2776651904860054E-6</v>
      </c>
      <c r="D365">
        <v>10.6864605898037</v>
      </c>
      <c r="E365">
        <v>4</v>
      </c>
      <c r="F365">
        <v>10.4239539327638</v>
      </c>
      <c r="G365">
        <v>0.55440043159667007</v>
      </c>
      <c r="H365">
        <v>0.47349648751874568</v>
      </c>
      <c r="I365">
        <v>117</v>
      </c>
      <c r="J365">
        <v>1.003384922037168</v>
      </c>
      <c r="K365">
        <v>0.47951525363771869</v>
      </c>
      <c r="L365">
        <v>1.003384922037168</v>
      </c>
    </row>
    <row r="366" spans="1:12" x14ac:dyDescent="0.25">
      <c r="A366" s="3">
        <f>DATE(2017,5,1)</f>
        <v>42856</v>
      </c>
      <c r="B366">
        <v>25</v>
      </c>
      <c r="C366">
        <v>7.2269544943992514E-6</v>
      </c>
      <c r="D366">
        <v>10.61199744248538</v>
      </c>
      <c r="E366">
        <v>5</v>
      </c>
      <c r="F366">
        <v>10.563854595443869</v>
      </c>
      <c r="G366">
        <v>0.54479993746219246</v>
      </c>
      <c r="H366">
        <v>8.8367937899864857E-2</v>
      </c>
      <c r="I366">
        <v>-85</v>
      </c>
      <c r="J366">
        <v>-3.7649843048356453E-2</v>
      </c>
      <c r="K366">
        <v>8.9220468195143329E-2</v>
      </c>
      <c r="L366">
        <v>-3.7649843048356453E-2</v>
      </c>
    </row>
    <row r="367" spans="1:12" x14ac:dyDescent="0.25">
      <c r="A367" s="3">
        <f>DATE(2017,6,1)</f>
        <v>42887</v>
      </c>
      <c r="B367">
        <v>25</v>
      </c>
      <c r="C367">
        <v>6.8175831984262913E-6</v>
      </c>
      <c r="D367">
        <v>10.01088017389614</v>
      </c>
      <c r="E367">
        <v>6</v>
      </c>
      <c r="F367">
        <v>10.3971239506839</v>
      </c>
      <c r="G367">
        <v>0.5168192025484809</v>
      </c>
      <c r="H367">
        <v>-0.74734796014381732</v>
      </c>
      <c r="I367">
        <v>-254</v>
      </c>
      <c r="J367">
        <v>-0.90861457225357223</v>
      </c>
      <c r="K367">
        <v>-0.75770598646704168</v>
      </c>
      <c r="L367">
        <v>-0.90861457225357223</v>
      </c>
    </row>
    <row r="368" spans="1:12" x14ac:dyDescent="0.25">
      <c r="A368" s="3">
        <f>DATE(2017,7,1)</f>
        <v>42917</v>
      </c>
      <c r="B368">
        <v>25</v>
      </c>
      <c r="C368">
        <v>6.6241327658644877E-6</v>
      </c>
      <c r="D368">
        <v>9.7268192327092979</v>
      </c>
      <c r="E368">
        <v>7</v>
      </c>
      <c r="F368">
        <v>10.22014270149756</v>
      </c>
      <c r="G368">
        <v>0.60227454144232395</v>
      </c>
      <c r="H368">
        <v>-0.81910065068807081</v>
      </c>
      <c r="I368">
        <v>-294</v>
      </c>
      <c r="J368">
        <v>-1.11476007029031</v>
      </c>
      <c r="K368">
        <v>-0.83042119023110983</v>
      </c>
      <c r="L368">
        <v>-1.11476007029031</v>
      </c>
    </row>
    <row r="369" spans="1:12" x14ac:dyDescent="0.25">
      <c r="A369" s="3">
        <f>DATE(2017,8,1)</f>
        <v>42948</v>
      </c>
      <c r="B369">
        <v>25</v>
      </c>
      <c r="C369">
        <v>6.4033224589366E-6</v>
      </c>
      <c r="D369">
        <v>9.4025832887568175</v>
      </c>
      <c r="E369">
        <v>8</v>
      </c>
      <c r="F369">
        <v>10.11625720624791</v>
      </c>
      <c r="G369">
        <v>0.63641538718728341</v>
      </c>
      <c r="H369">
        <v>-1.1213963896210379</v>
      </c>
      <c r="I369">
        <v>-318</v>
      </c>
      <c r="J369">
        <v>-1.2384473691123521</v>
      </c>
      <c r="K369">
        <v>-1.136772019542007</v>
      </c>
      <c r="L369">
        <v>-1.2384473691123521</v>
      </c>
    </row>
    <row r="370" spans="1:12" x14ac:dyDescent="0.25">
      <c r="A370" s="3">
        <f>DATE(2017,9,1)</f>
        <v>42979</v>
      </c>
      <c r="B370">
        <v>25</v>
      </c>
      <c r="C370">
        <v>6.4191808633040637E-6</v>
      </c>
      <c r="D370">
        <v>9.4258696325022839</v>
      </c>
      <c r="E370">
        <v>9</v>
      </c>
      <c r="F370">
        <v>10.16338429551746</v>
      </c>
      <c r="G370">
        <v>0.67320267224545405</v>
      </c>
      <c r="H370">
        <v>-1.095531395553156</v>
      </c>
      <c r="I370">
        <v>-338</v>
      </c>
      <c r="J370">
        <v>-1.341520118130721</v>
      </c>
      <c r="K370">
        <v>-1.1105600642865801</v>
      </c>
      <c r="L370">
        <v>-1.341520118130721</v>
      </c>
    </row>
    <row r="371" spans="1:12" x14ac:dyDescent="0.25">
      <c r="A371" s="3">
        <f>DATE(2017,10,1)</f>
        <v>43009</v>
      </c>
      <c r="B371">
        <v>25</v>
      </c>
      <c r="C371">
        <v>6.5326958065270446E-6</v>
      </c>
      <c r="D371">
        <v>9.5925539928507142</v>
      </c>
      <c r="E371">
        <v>10</v>
      </c>
      <c r="F371">
        <v>10.12630033211884</v>
      </c>
      <c r="G371">
        <v>0.70316297472204004</v>
      </c>
      <c r="H371">
        <v>-0.75906490878465072</v>
      </c>
      <c r="I371">
        <v>-334</v>
      </c>
      <c r="J371">
        <v>-1.320905568327047</v>
      </c>
      <c r="K371">
        <v>-0.76958010995215131</v>
      </c>
      <c r="L371">
        <v>-1.320905568327047</v>
      </c>
    </row>
    <row r="372" spans="1:12" x14ac:dyDescent="0.25">
      <c r="A372" s="3">
        <f>DATE(2017,11,1)</f>
        <v>43040</v>
      </c>
      <c r="B372">
        <v>25</v>
      </c>
      <c r="C372">
        <v>6.5623662521829829E-6</v>
      </c>
      <c r="D372">
        <v>9.6361218185042752</v>
      </c>
      <c r="E372">
        <v>11</v>
      </c>
      <c r="F372">
        <v>10.060733769865241</v>
      </c>
      <c r="G372">
        <v>0.67357937377392463</v>
      </c>
      <c r="H372">
        <v>-0.63038146340786827</v>
      </c>
      <c r="I372">
        <v>-314</v>
      </c>
      <c r="J372">
        <v>-1.217832819308678</v>
      </c>
      <c r="K372">
        <v>-0.63917046425581359</v>
      </c>
      <c r="L372">
        <v>-1.217832819308678</v>
      </c>
    </row>
    <row r="373" spans="1:12" x14ac:dyDescent="0.25">
      <c r="A373" s="3">
        <f>DATE(2017,12,1)</f>
        <v>43070</v>
      </c>
      <c r="B373">
        <v>25</v>
      </c>
      <c r="C373">
        <v>6.4610080698912498E-6</v>
      </c>
      <c r="D373">
        <v>9.4872883407110482</v>
      </c>
      <c r="E373">
        <v>12</v>
      </c>
      <c r="F373">
        <v>9.8125461093946242</v>
      </c>
      <c r="G373">
        <v>0.57745665677750224</v>
      </c>
      <c r="H373">
        <v>-0.56325918987353529</v>
      </c>
      <c r="I373">
        <v>-306</v>
      </c>
      <c r="J373">
        <v>-1.176603719701331</v>
      </c>
      <c r="K373">
        <v>-0.57114779137574512</v>
      </c>
      <c r="L373">
        <v>-1.176603719701331</v>
      </c>
    </row>
    <row r="374" spans="1:12" x14ac:dyDescent="0.25">
      <c r="A374" s="3">
        <f>DATE(2018,1,1)</f>
        <v>43101</v>
      </c>
      <c r="B374">
        <v>25</v>
      </c>
      <c r="C374">
        <v>6.370262781274505E-6</v>
      </c>
      <c r="D374">
        <v>9.3540387441534953</v>
      </c>
      <c r="E374">
        <v>1</v>
      </c>
      <c r="F374">
        <v>9.6397912031521695</v>
      </c>
      <c r="G374">
        <v>0.58355710709482933</v>
      </c>
      <c r="H374">
        <v>-0.48967351356795108</v>
      </c>
      <c r="I374">
        <v>-309</v>
      </c>
      <c r="J374">
        <v>-1.192064632054086</v>
      </c>
      <c r="K374">
        <v>-0.49657501360126982</v>
      </c>
      <c r="L374">
        <v>-1.192064632054086</v>
      </c>
    </row>
    <row r="375" spans="1:12" x14ac:dyDescent="0.25">
      <c r="A375" s="3">
        <f>DATE(2018,2,1)</f>
        <v>43132</v>
      </c>
      <c r="B375">
        <v>25</v>
      </c>
      <c r="C375">
        <v>6.2421859183814377E-6</v>
      </c>
      <c r="D375">
        <v>9.1659717869703421</v>
      </c>
      <c r="E375">
        <v>2</v>
      </c>
      <c r="F375">
        <v>9.7375638364217298</v>
      </c>
      <c r="G375">
        <v>0.60243313708146806</v>
      </c>
      <c r="H375">
        <v>-0.94880579149498279</v>
      </c>
      <c r="I375">
        <v>-316</v>
      </c>
      <c r="J375">
        <v>-1.228140094210515</v>
      </c>
      <c r="K375">
        <v>-0.96186623670229188</v>
      </c>
      <c r="L375">
        <v>-1.228140094210515</v>
      </c>
    </row>
    <row r="376" spans="1:12" x14ac:dyDescent="0.25">
      <c r="A376" s="3">
        <f>DATE(2018,3,1)</f>
        <v>43160</v>
      </c>
      <c r="B376">
        <v>25</v>
      </c>
      <c r="C376">
        <v>6.5518370320205577E-6</v>
      </c>
      <c r="D376">
        <v>9.620660802730395</v>
      </c>
      <c r="E376">
        <v>3</v>
      </c>
      <c r="F376">
        <v>10.102290150544111</v>
      </c>
      <c r="G376">
        <v>0.58402337655596781</v>
      </c>
      <c r="H376">
        <v>-0.82467477698225056</v>
      </c>
      <c r="I376">
        <v>-321</v>
      </c>
      <c r="J376">
        <v>-1.253908281465107</v>
      </c>
      <c r="K376">
        <v>-0.83607008961332807</v>
      </c>
      <c r="L376">
        <v>-1.253908281465107</v>
      </c>
    </row>
    <row r="377" spans="1:12" x14ac:dyDescent="0.25">
      <c r="A377" s="3">
        <f>DATE(2018,4,1)</f>
        <v>43191</v>
      </c>
      <c r="B377">
        <v>25</v>
      </c>
      <c r="C377">
        <v>6.876891347928904E-6</v>
      </c>
      <c r="D377">
        <v>10.09796774741387</v>
      </c>
      <c r="E377">
        <v>4</v>
      </c>
      <c r="F377">
        <v>10.4239539327638</v>
      </c>
      <c r="G377">
        <v>0.55440043159667007</v>
      </c>
      <c r="H377">
        <v>-0.58799771207084228</v>
      </c>
      <c r="I377">
        <v>-318</v>
      </c>
      <c r="J377">
        <v>-1.2384473691123521</v>
      </c>
      <c r="K377">
        <v>-0.59621816391166615</v>
      </c>
      <c r="L377">
        <v>-1.2384473691123521</v>
      </c>
    </row>
    <row r="378" spans="1:12" x14ac:dyDescent="0.25">
      <c r="A378" s="3">
        <f>DATE(2018,5,1)</f>
        <v>43221</v>
      </c>
      <c r="B378">
        <v>25</v>
      </c>
      <c r="C378">
        <v>6.9093166530365116E-6</v>
      </c>
      <c r="D378">
        <v>10.145580784847599</v>
      </c>
      <c r="E378">
        <v>5</v>
      </c>
      <c r="F378">
        <v>10.563854595443869</v>
      </c>
      <c r="G378">
        <v>0.54479993746219246</v>
      </c>
      <c r="H378">
        <v>-0.76775671551045099</v>
      </c>
      <c r="I378">
        <v>-324</v>
      </c>
      <c r="J378">
        <v>-1.2693691938178631</v>
      </c>
      <c r="K378">
        <v>-0.77838851131453168</v>
      </c>
      <c r="L378">
        <v>-1.2693691938178631</v>
      </c>
    </row>
    <row r="379" spans="1:12" x14ac:dyDescent="0.25">
      <c r="A379" s="3">
        <f>DATE(2018,6,1)</f>
        <v>43252</v>
      </c>
      <c r="B379">
        <v>25</v>
      </c>
      <c r="C379">
        <v>6.8788185672019608E-6</v>
      </c>
      <c r="D379">
        <v>10.1007976595176</v>
      </c>
      <c r="E379">
        <v>6</v>
      </c>
      <c r="F379">
        <v>10.3971239506839</v>
      </c>
      <c r="G379">
        <v>0.5168192025484809</v>
      </c>
      <c r="H379">
        <v>-0.57336548198110926</v>
      </c>
      <c r="I379">
        <v>-350</v>
      </c>
      <c r="J379">
        <v>-1.4033637675417421</v>
      </c>
      <c r="K379">
        <v>-0.58138965247290064</v>
      </c>
      <c r="L379">
        <v>-1.4033637675417421</v>
      </c>
    </row>
    <row r="380" spans="1:12" x14ac:dyDescent="0.25">
      <c r="A380" s="3">
        <f>DATE(2018,7,1)</f>
        <v>43282</v>
      </c>
      <c r="B380">
        <v>25</v>
      </c>
      <c r="C380">
        <v>6.998336630203994E-6</v>
      </c>
      <c r="D380">
        <v>10.27629694900272</v>
      </c>
      <c r="E380">
        <v>7</v>
      </c>
      <c r="F380">
        <v>10.22014270149756</v>
      </c>
      <c r="G380">
        <v>0.60227454144232395</v>
      </c>
      <c r="H380">
        <v>9.3236960291692553E-2</v>
      </c>
      <c r="I380">
        <v>-348</v>
      </c>
      <c r="J380">
        <v>-1.3930564926399049</v>
      </c>
      <c r="K380">
        <v>9.4154805188892701E-2</v>
      </c>
      <c r="L380">
        <v>-1.3930564926399049</v>
      </c>
    </row>
    <row r="381" spans="1:12" x14ac:dyDescent="0.25">
      <c r="A381" s="3">
        <f>DATE(2018,8,1)</f>
        <v>43313</v>
      </c>
      <c r="B381">
        <v>25</v>
      </c>
      <c r="C381">
        <v>7.4784984462894499E-6</v>
      </c>
      <c r="D381">
        <v>10.9813624047527</v>
      </c>
      <c r="E381">
        <v>8</v>
      </c>
      <c r="F381">
        <v>10.11625720624791</v>
      </c>
      <c r="G381">
        <v>0.63641538718728341</v>
      </c>
      <c r="H381">
        <v>1.3593404809525851</v>
      </c>
      <c r="I381">
        <v>-109</v>
      </c>
      <c r="J381">
        <v>-0.16133714187039891</v>
      </c>
      <c r="K381">
        <v>1.377242237770667</v>
      </c>
      <c r="L381">
        <v>-0.16133714187039891</v>
      </c>
    </row>
    <row r="382" spans="1:12" x14ac:dyDescent="0.25">
      <c r="A382" s="3">
        <f>DATE(2018,9,1)</f>
        <v>43344</v>
      </c>
      <c r="B382">
        <v>25</v>
      </c>
      <c r="C382">
        <v>8.1777561717899516E-6</v>
      </c>
      <c r="D382">
        <v>12.00814639798252</v>
      </c>
      <c r="E382">
        <v>9</v>
      </c>
      <c r="F382">
        <v>10.16338429551746</v>
      </c>
      <c r="G382">
        <v>0.67320267224545405</v>
      </c>
      <c r="H382">
        <v>2.7402774506403742</v>
      </c>
      <c r="I382">
        <v>47</v>
      </c>
      <c r="J382">
        <v>0.64263030047287728</v>
      </c>
      <c r="K382">
        <v>2.7767035314799431</v>
      </c>
      <c r="L382">
        <v>0.64263030047287728</v>
      </c>
    </row>
    <row r="383" spans="1:12" x14ac:dyDescent="0.25">
      <c r="A383" s="3">
        <f>DATE(2018,10,1)</f>
        <v>43374</v>
      </c>
      <c r="B383">
        <v>25</v>
      </c>
      <c r="C383">
        <v>8.1856196629814804E-6</v>
      </c>
      <c r="D383">
        <v>12.01969308040292</v>
      </c>
      <c r="E383">
        <v>10</v>
      </c>
      <c r="F383">
        <v>10.12630033211884</v>
      </c>
      <c r="G383">
        <v>0.70316297472204004</v>
      </c>
      <c r="H383">
        <v>2.692679814423582</v>
      </c>
      <c r="I383">
        <v>117</v>
      </c>
      <c r="J383">
        <v>1.003384922037168</v>
      </c>
      <c r="K383">
        <v>2.7284674055599338</v>
      </c>
      <c r="L383">
        <v>1.003384922037168</v>
      </c>
    </row>
    <row r="384" spans="1:12" x14ac:dyDescent="0.25">
      <c r="A384" s="3">
        <f>DATE(2018,11,1)</f>
        <v>43405</v>
      </c>
      <c r="B384">
        <v>25</v>
      </c>
      <c r="C384">
        <v>8.1344833233742975E-6</v>
      </c>
      <c r="D384">
        <v>11.94460492182243</v>
      </c>
      <c r="E384">
        <v>11</v>
      </c>
      <c r="F384">
        <v>10.060733769865241</v>
      </c>
      <c r="G384">
        <v>0.67357937377392463</v>
      </c>
      <c r="H384">
        <v>2.7968064719711592</v>
      </c>
      <c r="I384">
        <v>156</v>
      </c>
      <c r="J384">
        <v>1.204376782622987</v>
      </c>
      <c r="K384">
        <v>2.8339908509305798</v>
      </c>
      <c r="L384">
        <v>1.204376782622987</v>
      </c>
    </row>
    <row r="385" spans="1:12" x14ac:dyDescent="0.25">
      <c r="A385" s="3">
        <f>DATE(2018,12,1)</f>
        <v>43435</v>
      </c>
      <c r="B385">
        <v>25</v>
      </c>
      <c r="C385">
        <v>7.5651764745998662E-6</v>
      </c>
      <c r="D385">
        <v>11.10863967147171</v>
      </c>
      <c r="E385">
        <v>12</v>
      </c>
      <c r="F385">
        <v>9.8125461093946242</v>
      </c>
      <c r="G385">
        <v>0.57745665677750224</v>
      </c>
      <c r="H385">
        <v>2.24448631228868</v>
      </c>
      <c r="I385">
        <v>178</v>
      </c>
      <c r="J385">
        <v>1.317756806543193</v>
      </c>
      <c r="K385">
        <v>2.274261694439311</v>
      </c>
      <c r="L385">
        <v>1.317756806543193</v>
      </c>
    </row>
    <row r="386" spans="1:12" x14ac:dyDescent="0.25">
      <c r="A386" s="3">
        <f>DATE(2019,1,1)</f>
        <v>43466</v>
      </c>
      <c r="B386">
        <v>25</v>
      </c>
      <c r="C386">
        <v>7.4246058829885442E-6</v>
      </c>
      <c r="D386">
        <v>10.90222703115081</v>
      </c>
      <c r="E386">
        <v>1</v>
      </c>
      <c r="F386">
        <v>9.6397912031521695</v>
      </c>
      <c r="G386">
        <v>0.58355710709482933</v>
      </c>
      <c r="H386">
        <v>2.163345819372382</v>
      </c>
      <c r="I386">
        <v>160</v>
      </c>
      <c r="J386">
        <v>1.224991332426661</v>
      </c>
      <c r="K386">
        <v>2.1920327573615208</v>
      </c>
      <c r="L386">
        <v>1.224991332426661</v>
      </c>
    </row>
    <row r="387" spans="1:12" x14ac:dyDescent="0.25">
      <c r="A387" s="3">
        <f>DATE(2019,2,1)</f>
        <v>43497</v>
      </c>
      <c r="B387">
        <v>25</v>
      </c>
      <c r="C387">
        <v>7.486528829758754E-6</v>
      </c>
      <c r="D387">
        <v>10.99315415034962</v>
      </c>
      <c r="E387">
        <v>2</v>
      </c>
      <c r="F387">
        <v>9.7375638364217298</v>
      </c>
      <c r="G387">
        <v>0.60243313708146806</v>
      </c>
      <c r="H387">
        <v>2.0841986216274391</v>
      </c>
      <c r="I387">
        <v>90</v>
      </c>
      <c r="J387">
        <v>0.86423671086237008</v>
      </c>
      <c r="K387">
        <v>2.111823854145146</v>
      </c>
      <c r="L387">
        <v>0.86423671086237008</v>
      </c>
    </row>
    <row r="388" spans="1:12" x14ac:dyDescent="0.25">
      <c r="A388" s="3">
        <f>DATE(2019,3,1)</f>
        <v>43525</v>
      </c>
      <c r="B388">
        <v>25</v>
      </c>
      <c r="C388">
        <v>7.5758439379569609E-6</v>
      </c>
      <c r="D388">
        <v>11.124303682356381</v>
      </c>
      <c r="E388">
        <v>3</v>
      </c>
      <c r="F388">
        <v>10.102290150544111</v>
      </c>
      <c r="G388">
        <v>0.58402337655596781</v>
      </c>
      <c r="H388">
        <v>1.749953123176621</v>
      </c>
      <c r="I388">
        <v>169</v>
      </c>
      <c r="J388">
        <v>1.2713740694849269</v>
      </c>
      <c r="K388">
        <v>1.7730946811661381</v>
      </c>
      <c r="L388">
        <v>1.2713740694849269</v>
      </c>
    </row>
    <row r="389" spans="1:12" x14ac:dyDescent="0.25">
      <c r="A389" s="3">
        <f>DATE(2019,4,1)</f>
        <v>43556</v>
      </c>
      <c r="B389">
        <v>25</v>
      </c>
      <c r="C389">
        <v>7.5525877036852762E-6</v>
      </c>
      <c r="D389">
        <v>11.090154429195289</v>
      </c>
      <c r="E389">
        <v>4</v>
      </c>
      <c r="F389">
        <v>10.4239539327638</v>
      </c>
      <c r="G389">
        <v>0.55440043159667007</v>
      </c>
      <c r="H389">
        <v>1.2016594116148791</v>
      </c>
      <c r="I389">
        <v>153</v>
      </c>
      <c r="J389">
        <v>1.188915870270232</v>
      </c>
      <c r="K389">
        <v>1.217445984840529</v>
      </c>
      <c r="L389">
        <v>1.188915870270232</v>
      </c>
    </row>
    <row r="390" spans="1:12" x14ac:dyDescent="0.25">
      <c r="A390" s="3">
        <f>DATE(2019,5,1)</f>
        <v>43586</v>
      </c>
      <c r="B390">
        <v>25</v>
      </c>
      <c r="C390">
        <v>7.4993486123275943E-6</v>
      </c>
      <c r="D390">
        <v>11.011978608140129</v>
      </c>
      <c r="E390">
        <v>5</v>
      </c>
      <c r="F390">
        <v>10.563854595443869</v>
      </c>
      <c r="G390">
        <v>0.54479993746219246</v>
      </c>
      <c r="H390">
        <v>0.82254784166042005</v>
      </c>
      <c r="I390">
        <v>166</v>
      </c>
      <c r="J390">
        <v>1.2559131571321711</v>
      </c>
      <c r="K390">
        <v>0.83324889272518665</v>
      </c>
      <c r="L390">
        <v>1.2559131571321711</v>
      </c>
    </row>
    <row r="391" spans="1:12" x14ac:dyDescent="0.25">
      <c r="A391" s="3">
        <f>DATE(2019,6,1)</f>
        <v>43617</v>
      </c>
      <c r="B391">
        <v>25</v>
      </c>
      <c r="C391">
        <v>7.352751254074974E-6</v>
      </c>
      <c r="D391">
        <v>10.79671631583463</v>
      </c>
      <c r="E391">
        <v>6</v>
      </c>
      <c r="F391">
        <v>10.3971239506839</v>
      </c>
      <c r="G391">
        <v>0.5168192025484809</v>
      </c>
      <c r="H391">
        <v>0.77317631229703254</v>
      </c>
      <c r="I391">
        <v>123</v>
      </c>
      <c r="J391">
        <v>1.034306746742679</v>
      </c>
      <c r="K391">
        <v>0.78321507809647639</v>
      </c>
      <c r="L391">
        <v>1.034306746742679</v>
      </c>
    </row>
    <row r="392" spans="1:12" x14ac:dyDescent="0.25">
      <c r="A392" s="3">
        <f>DATE(2019,7,1)</f>
        <v>43647</v>
      </c>
      <c r="B392">
        <v>25</v>
      </c>
      <c r="C392">
        <v>7.1933177423488806E-6</v>
      </c>
      <c r="D392">
        <v>10.562605526843919</v>
      </c>
      <c r="E392">
        <v>7</v>
      </c>
      <c r="F392">
        <v>10.22014270149756</v>
      </c>
      <c r="G392">
        <v>0.60227454144232395</v>
      </c>
      <c r="H392">
        <v>0.56861580854177562</v>
      </c>
      <c r="I392">
        <v>120</v>
      </c>
      <c r="J392">
        <v>1.0188458343899229</v>
      </c>
      <c r="K392">
        <v>0.57591053523100755</v>
      </c>
      <c r="L392">
        <v>1.0188458343899229</v>
      </c>
    </row>
    <row r="393" spans="1:12" x14ac:dyDescent="0.25">
      <c r="A393" s="3">
        <f>DATE(2019,8,1)</f>
        <v>43678</v>
      </c>
      <c r="B393">
        <v>25</v>
      </c>
      <c r="C393">
        <v>7.0081518970255266E-6</v>
      </c>
      <c r="D393">
        <v>10.29070960186889</v>
      </c>
      <c r="E393">
        <v>8</v>
      </c>
      <c r="F393">
        <v>10.11625720624791</v>
      </c>
      <c r="G393">
        <v>0.63641538718728341</v>
      </c>
      <c r="H393">
        <v>0.27411718687694248</v>
      </c>
      <c r="I393">
        <v>80</v>
      </c>
      <c r="J393">
        <v>0.81270033635318573</v>
      </c>
      <c r="K393">
        <v>0.27746141617827852</v>
      </c>
      <c r="L393">
        <v>0.81270033635318573</v>
      </c>
    </row>
    <row r="394" spans="1:12" x14ac:dyDescent="0.25">
      <c r="A394" s="3">
        <f>DATE(2019,9,1)</f>
        <v>43709</v>
      </c>
      <c r="B394">
        <v>25</v>
      </c>
      <c r="C394">
        <v>6.5359281506971456E-6</v>
      </c>
      <c r="D394">
        <v>9.5973003390596077</v>
      </c>
      <c r="E394">
        <v>9</v>
      </c>
      <c r="F394">
        <v>10.16338429551746</v>
      </c>
      <c r="G394">
        <v>0.67320267224545405</v>
      </c>
      <c r="H394">
        <v>-0.84088192129376238</v>
      </c>
      <c r="I394">
        <v>85</v>
      </c>
      <c r="J394">
        <v>0.8384685236077779</v>
      </c>
      <c r="K394">
        <v>-0.8524946416699285</v>
      </c>
      <c r="L394">
        <v>0.8384685236077779</v>
      </c>
    </row>
    <row r="395" spans="1:12" x14ac:dyDescent="0.25">
      <c r="A395" s="3">
        <f>DATE(2019,10,1)</f>
        <v>43739</v>
      </c>
      <c r="B395">
        <v>25</v>
      </c>
      <c r="C395">
        <v>6.7846403908333741E-6</v>
      </c>
      <c r="D395">
        <v>9.962507240291087</v>
      </c>
      <c r="E395">
        <v>10</v>
      </c>
      <c r="F395">
        <v>10.12630033211884</v>
      </c>
      <c r="G395">
        <v>0.70316297472204004</v>
      </c>
      <c r="H395">
        <v>-0.232937594435349</v>
      </c>
      <c r="I395">
        <v>30</v>
      </c>
      <c r="J395">
        <v>0.55501846380726383</v>
      </c>
      <c r="K395">
        <v>-0.2363951578818721</v>
      </c>
      <c r="L395">
        <v>0.55501846380726383</v>
      </c>
    </row>
    <row r="396" spans="1:12" x14ac:dyDescent="0.25">
      <c r="A396" s="3">
        <f>DATE(2019,11,1)</f>
        <v>43770</v>
      </c>
      <c r="B396">
        <v>25</v>
      </c>
      <c r="C396">
        <v>6.7261321419209708E-6</v>
      </c>
      <c r="D396">
        <v>9.8765942338782349</v>
      </c>
      <c r="E396">
        <v>11</v>
      </c>
      <c r="F396">
        <v>10.060733769865241</v>
      </c>
      <c r="G396">
        <v>0.67357937377392463</v>
      </c>
      <c r="H396">
        <v>-0.27337466549087902</v>
      </c>
      <c r="I396">
        <v>-34</v>
      </c>
      <c r="J396">
        <v>0.22518566694848391</v>
      </c>
      <c r="K396">
        <v>-0.27737466456129722</v>
      </c>
      <c r="L396">
        <v>0.22518566694848391</v>
      </c>
    </row>
    <row r="397" spans="1:12" x14ac:dyDescent="0.25">
      <c r="A397" s="3">
        <f>DATE(2019,12,1)</f>
        <v>43800</v>
      </c>
      <c r="B397">
        <v>25</v>
      </c>
      <c r="C397">
        <v>6.6501133915153332E-6</v>
      </c>
      <c r="D397">
        <v>9.7649689585965458</v>
      </c>
      <c r="E397">
        <v>12</v>
      </c>
      <c r="F397">
        <v>9.8125461093946242</v>
      </c>
      <c r="G397">
        <v>0.57745665677750224</v>
      </c>
      <c r="H397">
        <v>-8.2390860404281785E-2</v>
      </c>
      <c r="I397">
        <v>-94</v>
      </c>
      <c r="J397">
        <v>-8.4032580106622373E-2</v>
      </c>
      <c r="K397">
        <v>-8.3828942482152266E-2</v>
      </c>
      <c r="L397">
        <v>-8.4032580106622373E-2</v>
      </c>
    </row>
    <row r="398" spans="1:12" x14ac:dyDescent="0.25">
      <c r="A398" s="3">
        <f>DATE(2020,1,1)</f>
        <v>43831</v>
      </c>
      <c r="B398">
        <v>25</v>
      </c>
      <c r="C398">
        <v>6.5845410972542604E-6</v>
      </c>
      <c r="D398">
        <v>9.6686831691210919</v>
      </c>
      <c r="E398">
        <v>1</v>
      </c>
      <c r="F398">
        <v>9.6397912031521695</v>
      </c>
      <c r="G398">
        <v>0.58355710709482933</v>
      </c>
      <c r="H398">
        <v>4.9510091844751358E-2</v>
      </c>
      <c r="I398">
        <v>-79</v>
      </c>
      <c r="J398">
        <v>-6.7280183428458208E-3</v>
      </c>
      <c r="K398">
        <v>4.9841370738335E-2</v>
      </c>
      <c r="L398">
        <v>-6.7280183428458208E-3</v>
      </c>
    </row>
    <row r="399" spans="1:12" x14ac:dyDescent="0.25">
      <c r="A399" s="3">
        <f>DATE(2020,2,1)</f>
        <v>43862</v>
      </c>
      <c r="B399">
        <v>25</v>
      </c>
      <c r="C399">
        <v>6.9446559791686013E-6</v>
      </c>
      <c r="D399">
        <v>10.197472745537761</v>
      </c>
      <c r="E399">
        <v>2</v>
      </c>
      <c r="F399">
        <v>9.7375638364217298</v>
      </c>
      <c r="G399">
        <v>0.60243313708146806</v>
      </c>
      <c r="H399">
        <v>0.76341901002340884</v>
      </c>
      <c r="I399">
        <v>-36</v>
      </c>
      <c r="J399">
        <v>0.21487839204664699</v>
      </c>
      <c r="K399">
        <v>0.77332688829296559</v>
      </c>
      <c r="L399">
        <v>0.21487839204664699</v>
      </c>
    </row>
    <row r="400" spans="1:12" x14ac:dyDescent="0.25">
      <c r="A400" s="3">
        <f>DATE(2020,3,1)</f>
        <v>43891</v>
      </c>
      <c r="B400">
        <v>25</v>
      </c>
      <c r="C400">
        <v>7.2280272433999926E-6</v>
      </c>
      <c r="D400">
        <v>10.613572657835229</v>
      </c>
      <c r="E400">
        <v>3</v>
      </c>
      <c r="F400">
        <v>10.102290150544111</v>
      </c>
      <c r="G400">
        <v>0.58402337655596781</v>
      </c>
      <c r="H400">
        <v>0.87544870259508134</v>
      </c>
      <c r="I400">
        <v>-2</v>
      </c>
      <c r="J400">
        <v>0.39010206537787379</v>
      </c>
      <c r="K400">
        <v>0.88685938249192342</v>
      </c>
      <c r="L400">
        <v>0.39010206537787379</v>
      </c>
    </row>
    <row r="401" spans="1:12" x14ac:dyDescent="0.25">
      <c r="A401" s="3">
        <f>DATE(2020,4,1)</f>
        <v>43922</v>
      </c>
      <c r="B401">
        <v>25</v>
      </c>
      <c r="C401">
        <v>7.2692109824856743E-6</v>
      </c>
      <c r="D401">
        <v>10.67404650393291</v>
      </c>
      <c r="E401">
        <v>4</v>
      </c>
      <c r="F401">
        <v>10.4239539327638</v>
      </c>
      <c r="G401">
        <v>0.55440043159667007</v>
      </c>
      <c r="H401">
        <v>0.45110457516933289</v>
      </c>
      <c r="I401">
        <v>-12</v>
      </c>
      <c r="J401">
        <v>0.33856569086868948</v>
      </c>
      <c r="K401">
        <v>0.45682296911424858</v>
      </c>
      <c r="L401">
        <v>0.33856569086868948</v>
      </c>
    </row>
    <row r="402" spans="1:12" x14ac:dyDescent="0.25">
      <c r="A402" s="3">
        <f>DATE(2020,5,1)</f>
        <v>43952</v>
      </c>
      <c r="B402">
        <v>25</v>
      </c>
      <c r="C402">
        <v>7.3010110099858139E-6</v>
      </c>
      <c r="D402">
        <v>10.720741389138571</v>
      </c>
      <c r="E402">
        <v>5</v>
      </c>
      <c r="F402">
        <v>10.563854595443869</v>
      </c>
      <c r="G402">
        <v>0.54479993746219246</v>
      </c>
      <c r="H402">
        <v>0.28797138712150983</v>
      </c>
      <c r="I402">
        <v>15</v>
      </c>
      <c r="J402">
        <v>0.47771390204348729</v>
      </c>
      <c r="K402">
        <v>0.29150146103416569</v>
      </c>
      <c r="L402">
        <v>0.47771390204348729</v>
      </c>
    </row>
    <row r="403" spans="1:12" x14ac:dyDescent="0.25">
      <c r="A403" s="3">
        <f>DATE(2020,6,1)</f>
        <v>43983</v>
      </c>
      <c r="B403">
        <v>25</v>
      </c>
      <c r="C403">
        <v>7.3625055847514886E-6</v>
      </c>
      <c r="D403">
        <v>10.81103949059275</v>
      </c>
      <c r="E403">
        <v>6</v>
      </c>
      <c r="F403">
        <v>10.3971239506839</v>
      </c>
      <c r="G403">
        <v>0.5168192025484809</v>
      </c>
      <c r="H403">
        <v>0.8008904039706608</v>
      </c>
      <c r="I403">
        <v>46</v>
      </c>
      <c r="J403">
        <v>0.63747666302195882</v>
      </c>
      <c r="K403">
        <v>0.81130093533608816</v>
      </c>
      <c r="L403">
        <v>0.63747666302195882</v>
      </c>
    </row>
    <row r="404" spans="1:12" x14ac:dyDescent="0.25">
      <c r="A404" s="3">
        <f>DATE(2020,7,1)</f>
        <v>44013</v>
      </c>
      <c r="B404">
        <v>25</v>
      </c>
      <c r="C404">
        <v>7.369737886619987E-6</v>
      </c>
      <c r="D404">
        <v>10.821659340073101</v>
      </c>
      <c r="E404">
        <v>7</v>
      </c>
      <c r="F404">
        <v>10.22014270149756</v>
      </c>
      <c r="G404">
        <v>0.60227454144232395</v>
      </c>
      <c r="H404">
        <v>0.99874159903061288</v>
      </c>
      <c r="I404">
        <v>55</v>
      </c>
      <c r="J404">
        <v>0.68385940008022483</v>
      </c>
      <c r="K404">
        <v>1.0118061687234789</v>
      </c>
      <c r="L404">
        <v>0.68385940008022483</v>
      </c>
    </row>
    <row r="405" spans="1:12" x14ac:dyDescent="0.25">
      <c r="A405" s="3">
        <f>DATE(2020,8,1)</f>
        <v>44044</v>
      </c>
      <c r="B405">
        <v>25</v>
      </c>
      <c r="C405">
        <v>7.3472074291203171E-6</v>
      </c>
      <c r="D405">
        <v>10.78857581124365</v>
      </c>
      <c r="E405">
        <v>8</v>
      </c>
      <c r="F405">
        <v>10.11625720624791</v>
      </c>
      <c r="G405">
        <v>0.63641538718728341</v>
      </c>
      <c r="H405">
        <v>1.056414754468985</v>
      </c>
      <c r="I405">
        <v>89</v>
      </c>
      <c r="J405">
        <v>0.85908307341145174</v>
      </c>
      <c r="K405">
        <v>1.0702529700574519</v>
      </c>
      <c r="L405">
        <v>0.85908307341145174</v>
      </c>
    </row>
    <row r="406" spans="1:12" x14ac:dyDescent="0.25">
      <c r="A406" s="3">
        <f>DATE(2020,9,1)</f>
        <v>44075</v>
      </c>
      <c r="B406">
        <v>25</v>
      </c>
      <c r="C406">
        <v>7.3227279244747479E-6</v>
      </c>
      <c r="D406">
        <v>10.75263031845089</v>
      </c>
      <c r="E406">
        <v>9</v>
      </c>
      <c r="F406">
        <v>10.16338429551746</v>
      </c>
      <c r="G406">
        <v>0.67320267224545405</v>
      </c>
      <c r="H406">
        <v>0.87528770640201425</v>
      </c>
      <c r="I406">
        <v>110</v>
      </c>
      <c r="J406">
        <v>0.96730945988073891</v>
      </c>
      <c r="K406">
        <v>0.88669622664514869</v>
      </c>
      <c r="L406">
        <v>0.96730945988073891</v>
      </c>
    </row>
    <row r="407" spans="1:12" x14ac:dyDescent="0.25">
      <c r="A407" s="3">
        <f>DATE(2020,10,1)</f>
        <v>44105</v>
      </c>
      <c r="B407">
        <v>25</v>
      </c>
      <c r="C407">
        <v>7.4188487815263224E-6</v>
      </c>
      <c r="D407">
        <v>10.89377335318167</v>
      </c>
      <c r="E407">
        <v>10</v>
      </c>
      <c r="F407">
        <v>10.12630033211884</v>
      </c>
      <c r="G407">
        <v>0.70316297472204004</v>
      </c>
      <c r="H407">
        <v>1.0914582374963759</v>
      </c>
      <c r="I407">
        <v>110</v>
      </c>
      <c r="J407">
        <v>0.96730945988073891</v>
      </c>
      <c r="K407">
        <v>1.1057665374179371</v>
      </c>
      <c r="L407">
        <v>0.96730945988073891</v>
      </c>
    </row>
    <row r="408" spans="1:12" x14ac:dyDescent="0.25">
      <c r="A408" s="3">
        <f>DATE(2020,11,1)</f>
        <v>44136</v>
      </c>
      <c r="B408">
        <v>25</v>
      </c>
      <c r="C408">
        <v>7.397939043585211E-6</v>
      </c>
      <c r="D408">
        <v>10.863069674927431</v>
      </c>
      <c r="E408">
        <v>11</v>
      </c>
      <c r="F408">
        <v>10.060733769865241</v>
      </c>
      <c r="G408">
        <v>0.67357937377392463</v>
      </c>
      <c r="H408">
        <v>1.1911527227546661</v>
      </c>
      <c r="I408">
        <v>117</v>
      </c>
      <c r="J408">
        <v>1.003384922037168</v>
      </c>
      <c r="K408">
        <v>1.2067983559424209</v>
      </c>
      <c r="L408">
        <v>1.003384922037168</v>
      </c>
    </row>
    <row r="409" spans="1:12" x14ac:dyDescent="0.25">
      <c r="A409" s="3">
        <f>DATE(2020,12,1)</f>
        <v>44166</v>
      </c>
      <c r="B409">
        <v>25</v>
      </c>
      <c r="C409">
        <v>6.8956865106883916E-6</v>
      </c>
      <c r="D409">
        <v>10.1255664017695</v>
      </c>
      <c r="E409">
        <v>12</v>
      </c>
      <c r="F409">
        <v>9.8125461093946242</v>
      </c>
      <c r="G409">
        <v>0.57745665677750224</v>
      </c>
      <c r="H409">
        <v>0.5420671641776309</v>
      </c>
      <c r="I409">
        <v>90</v>
      </c>
      <c r="J409">
        <v>0.86423671086237008</v>
      </c>
      <c r="K409">
        <v>0.54900575897863924</v>
      </c>
      <c r="L409">
        <v>0.86423671086237008</v>
      </c>
    </row>
    <row r="410" spans="1:12" x14ac:dyDescent="0.25">
      <c r="A410" s="3">
        <f>DATE(2021,1,1)</f>
        <v>44197</v>
      </c>
      <c r="B410">
        <v>25</v>
      </c>
      <c r="C410">
        <v>6.5237313719990198E-6</v>
      </c>
      <c r="D410">
        <v>9.579390694761809</v>
      </c>
      <c r="E410">
        <v>1</v>
      </c>
      <c r="F410">
        <v>9.6397912031521695</v>
      </c>
      <c r="G410">
        <v>0.58355710709482933</v>
      </c>
      <c r="H410">
        <v>-0.10350402326698981</v>
      </c>
      <c r="I410">
        <v>71</v>
      </c>
      <c r="J410">
        <v>0.76631759929491983</v>
      </c>
      <c r="K410">
        <v>-0.10522532397002</v>
      </c>
      <c r="L410">
        <v>0.76631759929491983</v>
      </c>
    </row>
    <row r="411" spans="1:12" x14ac:dyDescent="0.25">
      <c r="A411" s="3">
        <f>DATE(2021,2,1)</f>
        <v>44228</v>
      </c>
      <c r="B411">
        <v>25</v>
      </c>
      <c r="C411">
        <v>6.7564510572992731E-6</v>
      </c>
      <c r="D411">
        <v>9.9211142668607053</v>
      </c>
      <c r="E411">
        <v>2</v>
      </c>
      <c r="F411">
        <v>9.7375638364217298</v>
      </c>
      <c r="G411">
        <v>0.60243313708146806</v>
      </c>
      <c r="H411">
        <v>0.30468182963540003</v>
      </c>
      <c r="I411">
        <v>81</v>
      </c>
      <c r="J411">
        <v>0.81785397380410418</v>
      </c>
      <c r="K411">
        <v>0.30843606269395801</v>
      </c>
      <c r="L411">
        <v>0.81785397380410418</v>
      </c>
    </row>
    <row r="412" spans="1:12" x14ac:dyDescent="0.25">
      <c r="A412" s="3">
        <f>DATE(2021,3,1)</f>
        <v>44256</v>
      </c>
      <c r="B412">
        <v>25</v>
      </c>
      <c r="C412">
        <v>7.135718988138251E-6</v>
      </c>
      <c r="D412">
        <v>10.478028014581</v>
      </c>
      <c r="E412">
        <v>3</v>
      </c>
      <c r="F412">
        <v>10.102290150544111</v>
      </c>
      <c r="G412">
        <v>0.58402337655596781</v>
      </c>
      <c r="H412">
        <v>0.64336100080898628</v>
      </c>
      <c r="I412">
        <v>76</v>
      </c>
      <c r="J412">
        <v>0.79208578654951201</v>
      </c>
      <c r="K412">
        <v>0.65165838307989843</v>
      </c>
      <c r="L412">
        <v>0.79208578654951201</v>
      </c>
    </row>
    <row r="413" spans="1:12" x14ac:dyDescent="0.25">
      <c r="A413" s="3">
        <f>DATE(2021,4,1)</f>
        <v>44287</v>
      </c>
      <c r="B413">
        <v>25</v>
      </c>
      <c r="C413">
        <v>7.2252223617397249E-6</v>
      </c>
      <c r="D413">
        <v>10.60945399387681</v>
      </c>
      <c r="E413">
        <v>4</v>
      </c>
      <c r="F413">
        <v>10.4239539327638</v>
      </c>
      <c r="G413">
        <v>0.55440043159667007</v>
      </c>
      <c r="H413">
        <v>0.3345958093480767</v>
      </c>
      <c r="I413">
        <v>-40</v>
      </c>
      <c r="J413">
        <v>0.19426384224297319</v>
      </c>
      <c r="K413">
        <v>0.33875131796455887</v>
      </c>
      <c r="L413">
        <v>0.19426384224297319</v>
      </c>
    </row>
    <row r="414" spans="1:12" x14ac:dyDescent="0.25">
      <c r="A414" s="3">
        <f>DATE(2021,5,1)</f>
        <v>44317</v>
      </c>
      <c r="B414">
        <v>25</v>
      </c>
      <c r="C414">
        <v>6.9906236603856087E-6</v>
      </c>
      <c r="D414">
        <v>10.264971290864141</v>
      </c>
      <c r="E414">
        <v>5</v>
      </c>
      <c r="F414">
        <v>10.563854595443869</v>
      </c>
      <c r="G414">
        <v>0.54479993746219246</v>
      </c>
      <c r="H414">
        <v>-0.54861112130812606</v>
      </c>
      <c r="I414">
        <v>-167</v>
      </c>
      <c r="J414">
        <v>-0.46024811402366828</v>
      </c>
      <c r="K414">
        <v>-0.55630322899899565</v>
      </c>
      <c r="L414">
        <v>-0.46024811402366828</v>
      </c>
    </row>
    <row r="415" spans="1:12" x14ac:dyDescent="0.25">
      <c r="A415" s="3">
        <f>DATE(2021,6,1)</f>
        <v>44348</v>
      </c>
      <c r="B415">
        <v>25</v>
      </c>
      <c r="C415">
        <v>6.8829717747576069E-6</v>
      </c>
      <c r="D415">
        <v>10.106896193553309</v>
      </c>
      <c r="E415">
        <v>6</v>
      </c>
      <c r="F415">
        <v>10.3971239506839</v>
      </c>
      <c r="G415">
        <v>0.5168192025484809</v>
      </c>
      <c r="H415">
        <v>-0.56156535147969366</v>
      </c>
      <c r="I415">
        <v>-258</v>
      </c>
      <c r="J415">
        <v>-0.92922912205724595</v>
      </c>
      <c r="K415">
        <v>-0.5694312312994978</v>
      </c>
      <c r="L415">
        <v>-0.92922912205724595</v>
      </c>
    </row>
    <row r="416" spans="1:12" x14ac:dyDescent="0.25">
      <c r="A416" s="3">
        <f>DATE(2021,7,1)</f>
        <v>44378</v>
      </c>
      <c r="B416">
        <v>25</v>
      </c>
      <c r="C416">
        <v>6.766344540665159E-6</v>
      </c>
      <c r="D416">
        <v>9.9356417722237751</v>
      </c>
      <c r="E416">
        <v>7</v>
      </c>
      <c r="F416">
        <v>10.22014270149756</v>
      </c>
      <c r="G416">
        <v>0.60227454144232395</v>
      </c>
      <c r="H416">
        <v>-0.47237747853739348</v>
      </c>
      <c r="I416">
        <v>-297</v>
      </c>
      <c r="J416">
        <v>-1.1302209826430649</v>
      </c>
      <c r="K416">
        <v>-0.47904696410211162</v>
      </c>
      <c r="L416">
        <v>-1.1302209826430649</v>
      </c>
    </row>
    <row r="417" spans="1:12" x14ac:dyDescent="0.25">
      <c r="A417" s="3">
        <f>DATE(2021,8,1)</f>
        <v>44409</v>
      </c>
      <c r="B417">
        <v>25</v>
      </c>
      <c r="C417">
        <v>6.6485822571848976E-6</v>
      </c>
      <c r="D417">
        <v>9.7627206541951157</v>
      </c>
      <c r="E417">
        <v>8</v>
      </c>
      <c r="F417">
        <v>10.11625720624791</v>
      </c>
      <c r="G417">
        <v>0.63641538718728341</v>
      </c>
      <c r="H417">
        <v>-0.5555122631702778</v>
      </c>
      <c r="I417">
        <v>-319</v>
      </c>
      <c r="J417">
        <v>-1.243601006563271</v>
      </c>
      <c r="K417">
        <v>-0.56329694495451943</v>
      </c>
      <c r="L417">
        <v>-1.243601006563271</v>
      </c>
    </row>
    <row r="418" spans="1:12" x14ac:dyDescent="0.25">
      <c r="A418" s="3">
        <f>DATE(2021,9,1)</f>
        <v>44440</v>
      </c>
      <c r="B418">
        <v>25</v>
      </c>
      <c r="C418">
        <v>6.6810848693421576E-6</v>
      </c>
      <c r="D418">
        <v>9.810447208631599</v>
      </c>
      <c r="E418">
        <v>9</v>
      </c>
      <c r="F418">
        <v>10.16338429551746</v>
      </c>
      <c r="G418">
        <v>0.67320267224545405</v>
      </c>
      <c r="H418">
        <v>-0.52426572477593769</v>
      </c>
      <c r="I418">
        <v>-332</v>
      </c>
      <c r="J418">
        <v>-1.3105982934252101</v>
      </c>
      <c r="K418">
        <v>-0.53163125563984626</v>
      </c>
      <c r="L418">
        <v>-1.3105982934252101</v>
      </c>
    </row>
    <row r="419" spans="1:12" x14ac:dyDescent="0.25">
      <c r="A419" s="3">
        <f>DATE(2021,10,1)</f>
        <v>44470</v>
      </c>
      <c r="B419">
        <v>25</v>
      </c>
      <c r="C419">
        <v>6.6928450905834316E-6</v>
      </c>
      <c r="D419">
        <v>9.8277158157374256</v>
      </c>
      <c r="E419">
        <v>10</v>
      </c>
      <c r="F419">
        <v>10.12630033211884</v>
      </c>
      <c r="G419">
        <v>0.70316297472204004</v>
      </c>
      <c r="H419">
        <v>-0.42463060075005782</v>
      </c>
      <c r="I419">
        <v>-339</v>
      </c>
      <c r="J419">
        <v>-1.346673755581639</v>
      </c>
      <c r="K419">
        <v>-0.43065959463806541</v>
      </c>
      <c r="L419">
        <v>-1.346673755581639</v>
      </c>
    </row>
    <row r="420" spans="1:12" x14ac:dyDescent="0.25">
      <c r="A420" s="3">
        <f>DATE(2021,11,1)</f>
        <v>44501</v>
      </c>
      <c r="B420">
        <v>25</v>
      </c>
      <c r="C420">
        <v>6.671763003396336E-6</v>
      </c>
      <c r="D420">
        <v>9.796759061341767</v>
      </c>
      <c r="E420">
        <v>11</v>
      </c>
      <c r="F420">
        <v>10.060733769865241</v>
      </c>
      <c r="G420">
        <v>0.67357937377392463</v>
      </c>
      <c r="H420">
        <v>-0.39189844404598539</v>
      </c>
      <c r="I420">
        <v>-320</v>
      </c>
      <c r="J420">
        <v>-1.248754644014189</v>
      </c>
      <c r="K420">
        <v>-0.3974883584611294</v>
      </c>
      <c r="L420">
        <v>-1.248754644014189</v>
      </c>
    </row>
    <row r="421" spans="1:12" x14ac:dyDescent="0.25">
      <c r="A421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Indriana Hikmawati</cp:lastModifiedBy>
  <dcterms:created xsi:type="dcterms:W3CDTF">2025-08-01T06:46:54Z</dcterms:created>
  <dcterms:modified xsi:type="dcterms:W3CDTF">2025-08-01T06:53:48Z</dcterms:modified>
</cp:coreProperties>
</file>