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mc:AlternateContent xmlns:mc="http://schemas.openxmlformats.org/markup-compatibility/2006">
    <mc:Choice Requires="x15">
      <x15ac:absPath xmlns:x15ac="http://schemas.microsoft.com/office/spreadsheetml/2010/11/ac" url="C:\Users\ompra\Downloads\"/>
    </mc:Choice>
  </mc:AlternateContent>
  <xr:revisionPtr revIDLastSave="0" documentId="13_ncr:1_{EE30900D-4AB7-4987-B53E-3C01A262AC34}" xr6:coauthVersionLast="47" xr6:coauthVersionMax="47" xr10:uidLastSave="{00000000-0000-0000-0000-000000000000}"/>
  <bookViews>
    <workbookView xWindow="-108" yWindow="-108" windowWidth="23256" windowHeight="12456" xr2:uid="{00000000-000D-0000-FFFF-FFFF00000000}"/>
  </bookViews>
  <sheets>
    <sheet name="ASSIGNMENT WORK" sheetId="8" r:id="rId1"/>
    <sheet name="Profit &amp; Loss" sheetId="1" r:id="rId2"/>
    <sheet name="Quarters" sheetId="3" r:id="rId3"/>
    <sheet name="Balance Sheet" sheetId="2" r:id="rId4"/>
    <sheet name="Cash Flow" sheetId="4" r:id="rId5"/>
    <sheet name="Customization" sheetId="5" r:id="rId6"/>
    <sheet name="Data Sheet" sheetId="6" r:id="rId7"/>
  </sheets>
  <definedNames>
    <definedName name="UPDATE">'Data Sheet'!$E$1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7" i="8" l="1"/>
  <c r="G17" i="8"/>
  <c r="H17" i="8"/>
  <c r="I17" i="8"/>
  <c r="F11" i="8"/>
  <c r="F12" i="8"/>
  <c r="F16" i="8"/>
  <c r="F20" i="8"/>
  <c r="F21" i="8"/>
  <c r="F24" i="8"/>
  <c r="F25" i="8"/>
  <c r="F10" i="8"/>
  <c r="G10" i="8"/>
  <c r="H10" i="8"/>
  <c r="I10" i="8"/>
  <c r="E10" i="8"/>
  <c r="G11" i="8"/>
  <c r="H11" i="8"/>
  <c r="I11" i="8"/>
  <c r="G12" i="8"/>
  <c r="H12" i="8"/>
  <c r="I12" i="8"/>
  <c r="E11" i="8"/>
  <c r="G25" i="8" l="1"/>
  <c r="H25" i="8"/>
  <c r="I25" i="8"/>
  <c r="G24" i="8"/>
  <c r="H24" i="8"/>
  <c r="I24" i="8"/>
  <c r="G20" i="8"/>
  <c r="H20" i="8"/>
  <c r="I20" i="8"/>
  <c r="G16" i="8"/>
  <c r="H16" i="8"/>
  <c r="I16" i="8"/>
  <c r="E25" i="8"/>
  <c r="E24" i="8"/>
  <c r="G21" i="8"/>
  <c r="H21" i="8"/>
  <c r="I21" i="8"/>
  <c r="E21" i="8"/>
  <c r="E20" i="8"/>
  <c r="B4" i="2"/>
  <c r="E12" i="8"/>
  <c r="M17" i="8"/>
  <c r="E17" i="8"/>
  <c r="E16" i="8"/>
  <c r="D23" i="2"/>
  <c r="E23" i="2"/>
  <c r="F23" i="2"/>
  <c r="G23" i="2"/>
  <c r="H23" i="2"/>
  <c r="I23" i="2"/>
  <c r="J23" i="2"/>
  <c r="K23" i="2"/>
  <c r="C23" i="2"/>
  <c r="B23" i="2"/>
  <c r="D27" i="1"/>
  <c r="E27" i="1"/>
  <c r="F27" i="1"/>
  <c r="G27" i="1"/>
  <c r="H27" i="1"/>
  <c r="I27" i="1"/>
  <c r="J27" i="1"/>
  <c r="K27" i="1"/>
  <c r="C27" i="1"/>
  <c r="C6" i="3"/>
  <c r="D6" i="3"/>
  <c r="E6" i="3"/>
  <c r="F6" i="3"/>
  <c r="G6" i="3"/>
  <c r="H6" i="3"/>
  <c r="I6" i="3"/>
  <c r="J6" i="3"/>
  <c r="K6" i="3"/>
  <c r="B6" i="3"/>
  <c r="C5" i="1"/>
  <c r="D5" i="1"/>
  <c r="E5" i="1"/>
  <c r="F5" i="1"/>
  <c r="G5" i="1"/>
  <c r="H5" i="1"/>
  <c r="I5" i="1"/>
  <c r="J5" i="1"/>
  <c r="K5" i="1"/>
  <c r="B5" i="1"/>
  <c r="B6" i="6"/>
  <c r="C17" i="2"/>
  <c r="D17" i="2"/>
  <c r="E17" i="2"/>
  <c r="F17" i="2"/>
  <c r="G17" i="2"/>
  <c r="H17" i="2"/>
  <c r="I17" i="2"/>
  <c r="J17" i="2"/>
  <c r="K17" i="2"/>
  <c r="C18" i="2"/>
  <c r="D18" i="2"/>
  <c r="E18" i="2"/>
  <c r="F18" i="2"/>
  <c r="G18" i="2"/>
  <c r="H18" i="2"/>
  <c r="I18" i="2"/>
  <c r="J18" i="2"/>
  <c r="K18" i="2"/>
  <c r="B17" i="2"/>
  <c r="C4" i="2"/>
  <c r="D4" i="2"/>
  <c r="E4" i="2"/>
  <c r="E5" i="2"/>
  <c r="F4" i="2"/>
  <c r="G4" i="2"/>
  <c r="H4" i="2"/>
  <c r="I4" i="2"/>
  <c r="I5" i="2"/>
  <c r="J4" i="2"/>
  <c r="J5" i="2"/>
  <c r="K4" i="2"/>
  <c r="C5" i="2"/>
  <c r="D5" i="2"/>
  <c r="F5" i="2"/>
  <c r="G5" i="2"/>
  <c r="H5" i="2"/>
  <c r="K5" i="2"/>
  <c r="C6" i="2"/>
  <c r="D6" i="2"/>
  <c r="E6" i="2"/>
  <c r="F6" i="2"/>
  <c r="G6" i="2"/>
  <c r="H6" i="2"/>
  <c r="I6" i="2"/>
  <c r="J6" i="2"/>
  <c r="K6" i="2"/>
  <c r="C7" i="2"/>
  <c r="C16" i="2" s="1"/>
  <c r="D7" i="2"/>
  <c r="E7" i="2"/>
  <c r="F7" i="2"/>
  <c r="G7" i="2"/>
  <c r="G16" i="2" s="1"/>
  <c r="H7" i="2"/>
  <c r="I7" i="2"/>
  <c r="I16" i="2" s="1"/>
  <c r="J7" i="2"/>
  <c r="K7" i="2"/>
  <c r="K16" i="2" s="1"/>
  <c r="C8" i="2"/>
  <c r="D8" i="2"/>
  <c r="E8" i="2"/>
  <c r="F8" i="2"/>
  <c r="G8" i="2"/>
  <c r="H8" i="2"/>
  <c r="I8" i="2"/>
  <c r="J8" i="2"/>
  <c r="K8" i="2"/>
  <c r="C10" i="2"/>
  <c r="D10" i="2"/>
  <c r="E10" i="2"/>
  <c r="F10" i="2"/>
  <c r="G10" i="2"/>
  <c r="H10" i="2"/>
  <c r="I10" i="2"/>
  <c r="J10" i="2"/>
  <c r="K10" i="2"/>
  <c r="C11" i="2"/>
  <c r="D11" i="2"/>
  <c r="E11" i="2"/>
  <c r="F11" i="2"/>
  <c r="G11" i="2"/>
  <c r="H11" i="2"/>
  <c r="I11" i="2"/>
  <c r="J11" i="2"/>
  <c r="K11" i="2"/>
  <c r="C12" i="2"/>
  <c r="D12" i="2"/>
  <c r="E12" i="2"/>
  <c r="F12" i="2"/>
  <c r="G12" i="2"/>
  <c r="H12" i="2"/>
  <c r="I12" i="2"/>
  <c r="J12" i="2"/>
  <c r="K12" i="2"/>
  <c r="C13" i="2"/>
  <c r="D13" i="2"/>
  <c r="E13" i="2"/>
  <c r="F13" i="2"/>
  <c r="F16" i="2" s="1"/>
  <c r="G13" i="2"/>
  <c r="H13" i="2"/>
  <c r="I13" i="2"/>
  <c r="J13" i="2"/>
  <c r="J16" i="2" s="1"/>
  <c r="K13" i="2"/>
  <c r="C14" i="2"/>
  <c r="D14" i="2"/>
  <c r="E14" i="2"/>
  <c r="F14" i="2"/>
  <c r="G14" i="2"/>
  <c r="H14" i="2"/>
  <c r="I14" i="2"/>
  <c r="J14" i="2"/>
  <c r="K14" i="2"/>
  <c r="B14" i="2"/>
  <c r="B5" i="2"/>
  <c r="C4" i="4"/>
  <c r="D4" i="4"/>
  <c r="E4" i="4"/>
  <c r="F4" i="4"/>
  <c r="G4" i="4"/>
  <c r="H4" i="4"/>
  <c r="I4" i="4"/>
  <c r="J4" i="4"/>
  <c r="K4" i="4"/>
  <c r="C5" i="4"/>
  <c r="D5" i="4"/>
  <c r="E5" i="4"/>
  <c r="F5" i="4"/>
  <c r="G5" i="4"/>
  <c r="H5" i="4"/>
  <c r="I5" i="4"/>
  <c r="J5" i="4"/>
  <c r="K5" i="4"/>
  <c r="C6" i="4"/>
  <c r="D6" i="4"/>
  <c r="E6" i="4"/>
  <c r="F6" i="4"/>
  <c r="G6" i="4"/>
  <c r="H6" i="4"/>
  <c r="I6" i="4"/>
  <c r="J6" i="4"/>
  <c r="K6" i="4"/>
  <c r="C7" i="4"/>
  <c r="D7" i="4"/>
  <c r="E7" i="4"/>
  <c r="F7" i="4"/>
  <c r="G7" i="4"/>
  <c r="H7" i="4"/>
  <c r="I7" i="4"/>
  <c r="J7" i="4"/>
  <c r="K7" i="4"/>
  <c r="C4" i="3"/>
  <c r="C14" i="3" s="1"/>
  <c r="D4" i="3"/>
  <c r="D14" i="3" s="1"/>
  <c r="E4" i="3"/>
  <c r="E14" i="3" s="1"/>
  <c r="F4" i="3"/>
  <c r="G4" i="3"/>
  <c r="G14" i="3" s="1"/>
  <c r="H4" i="3"/>
  <c r="I4" i="3"/>
  <c r="J4" i="3"/>
  <c r="L4" i="1" s="1"/>
  <c r="K4" i="3"/>
  <c r="K14" i="3" s="1"/>
  <c r="C5" i="3"/>
  <c r="D5" i="3"/>
  <c r="E5" i="3"/>
  <c r="F5" i="3"/>
  <c r="G5" i="3"/>
  <c r="H5" i="3"/>
  <c r="I5" i="3"/>
  <c r="L5" i="1" s="1"/>
  <c r="J5" i="3"/>
  <c r="K5" i="3"/>
  <c r="C7" i="3"/>
  <c r="D7" i="3"/>
  <c r="E7" i="3"/>
  <c r="F7" i="3"/>
  <c r="G7" i="3"/>
  <c r="H7" i="3"/>
  <c r="I7" i="3"/>
  <c r="J7" i="3"/>
  <c r="K7" i="3"/>
  <c r="C8" i="3"/>
  <c r="D8" i="3"/>
  <c r="E8" i="3"/>
  <c r="F8" i="3"/>
  <c r="G8" i="3"/>
  <c r="H8" i="3"/>
  <c r="I8" i="3"/>
  <c r="J8" i="3"/>
  <c r="K8" i="3"/>
  <c r="C9" i="3"/>
  <c r="D9" i="3"/>
  <c r="E9" i="3"/>
  <c r="F9" i="3"/>
  <c r="G9" i="3"/>
  <c r="H9" i="3"/>
  <c r="I9" i="3"/>
  <c r="J9" i="3"/>
  <c r="K9" i="3"/>
  <c r="C10" i="3"/>
  <c r="D10" i="3"/>
  <c r="E10" i="3"/>
  <c r="F10" i="3"/>
  <c r="G10" i="3"/>
  <c r="H10" i="3"/>
  <c r="L10" i="1" s="1"/>
  <c r="I10" i="3"/>
  <c r="J10" i="3"/>
  <c r="K10" i="3"/>
  <c r="C11" i="3"/>
  <c r="D11" i="3"/>
  <c r="E11" i="3"/>
  <c r="F11" i="3"/>
  <c r="G11" i="3"/>
  <c r="H11" i="3"/>
  <c r="I11" i="3"/>
  <c r="J11" i="3"/>
  <c r="K11" i="3"/>
  <c r="C12" i="3"/>
  <c r="D12" i="3"/>
  <c r="E12" i="3"/>
  <c r="F12" i="3"/>
  <c r="G12" i="3"/>
  <c r="H12" i="3"/>
  <c r="I12" i="3"/>
  <c r="J12" i="3"/>
  <c r="K12" i="3"/>
  <c r="B5" i="3"/>
  <c r="C18" i="1"/>
  <c r="D18" i="1"/>
  <c r="E18" i="1"/>
  <c r="F18" i="1"/>
  <c r="G18" i="1"/>
  <c r="H18" i="1"/>
  <c r="I18" i="1"/>
  <c r="J18" i="1"/>
  <c r="K18" i="1"/>
  <c r="B18" i="1"/>
  <c r="C4" i="1"/>
  <c r="D4" i="1"/>
  <c r="E4" i="1"/>
  <c r="F4" i="1"/>
  <c r="F20" i="2" s="1"/>
  <c r="G4" i="1"/>
  <c r="G6" i="1" s="1"/>
  <c r="G19" i="1" s="1"/>
  <c r="H4" i="1"/>
  <c r="I4" i="1"/>
  <c r="J4" i="1"/>
  <c r="L23" i="1" s="1"/>
  <c r="K4" i="1"/>
  <c r="C7" i="1"/>
  <c r="D7" i="1"/>
  <c r="E7" i="1"/>
  <c r="F7" i="1"/>
  <c r="G7" i="1"/>
  <c r="H7" i="1"/>
  <c r="I7" i="1"/>
  <c r="J7" i="1"/>
  <c r="K7" i="1"/>
  <c r="C8" i="1"/>
  <c r="D8" i="1"/>
  <c r="E8" i="1"/>
  <c r="F8" i="1"/>
  <c r="G8" i="1"/>
  <c r="H8" i="1"/>
  <c r="I8" i="1"/>
  <c r="J8" i="1"/>
  <c r="K8" i="1"/>
  <c r="C9" i="1"/>
  <c r="D9" i="1"/>
  <c r="E9" i="1"/>
  <c r="F9" i="1"/>
  <c r="G9" i="1"/>
  <c r="H9" i="1"/>
  <c r="I9" i="1"/>
  <c r="J9" i="1"/>
  <c r="K9" i="1"/>
  <c r="C10" i="1"/>
  <c r="D10" i="1"/>
  <c r="E10" i="1"/>
  <c r="F10" i="1"/>
  <c r="G10" i="1"/>
  <c r="H10" i="1"/>
  <c r="I10" i="1"/>
  <c r="J10" i="1"/>
  <c r="K10" i="1"/>
  <c r="C11" i="1"/>
  <c r="D11" i="1"/>
  <c r="E11" i="1"/>
  <c r="F11" i="1"/>
  <c r="G11" i="1"/>
  <c r="H11" i="1"/>
  <c r="I11" i="1"/>
  <c r="J11" i="1"/>
  <c r="K11" i="1"/>
  <c r="C12" i="1"/>
  <c r="C13" i="1" s="1"/>
  <c r="D12" i="1"/>
  <c r="E12" i="1"/>
  <c r="F12" i="1"/>
  <c r="F13" i="1" s="1"/>
  <c r="F14" i="1" s="1"/>
  <c r="G12" i="1"/>
  <c r="G13" i="1" s="1"/>
  <c r="G14" i="1" s="1"/>
  <c r="H12" i="1"/>
  <c r="I12" i="1"/>
  <c r="J12" i="1"/>
  <c r="J13" i="1" s="1"/>
  <c r="K12" i="1"/>
  <c r="K13" i="1" s="1"/>
  <c r="K14" i="1" s="1"/>
  <c r="C15" i="1"/>
  <c r="C14" i="1" s="1"/>
  <c r="D15" i="1"/>
  <c r="E15" i="1"/>
  <c r="F15" i="1"/>
  <c r="G15" i="1"/>
  <c r="H15" i="1"/>
  <c r="H14" i="1" s="1"/>
  <c r="I15" i="1"/>
  <c r="J15" i="1"/>
  <c r="K15" i="1"/>
  <c r="B15" i="1"/>
  <c r="H13" i="1"/>
  <c r="I13" i="1"/>
  <c r="B7" i="1"/>
  <c r="B4" i="1"/>
  <c r="B20" i="2" s="1"/>
  <c r="A1" i="1"/>
  <c r="E1" i="6"/>
  <c r="H1" i="1" s="1"/>
  <c r="E1" i="2"/>
  <c r="E1" i="3"/>
  <c r="H16" i="2"/>
  <c r="D16" i="2"/>
  <c r="E6" i="1"/>
  <c r="E19" i="1"/>
  <c r="K6" i="1"/>
  <c r="K19" i="1" s="1"/>
  <c r="C6" i="1"/>
  <c r="C19" i="1"/>
  <c r="D6" i="1"/>
  <c r="D19" i="1"/>
  <c r="B6" i="1"/>
  <c r="B19" i="1" s="1"/>
  <c r="C3" i="4"/>
  <c r="D3" i="4"/>
  <c r="E3" i="4"/>
  <c r="F3" i="4"/>
  <c r="G3" i="4"/>
  <c r="H3" i="4"/>
  <c r="I3" i="4"/>
  <c r="J3" i="4"/>
  <c r="K3" i="4"/>
  <c r="C3" i="2"/>
  <c r="D3" i="2"/>
  <c r="E3" i="2"/>
  <c r="F3" i="2"/>
  <c r="G3" i="2"/>
  <c r="H3" i="2"/>
  <c r="I3" i="2"/>
  <c r="J3" i="2"/>
  <c r="K3" i="2"/>
  <c r="C3" i="3"/>
  <c r="D3" i="3"/>
  <c r="E3" i="3"/>
  <c r="F3" i="3"/>
  <c r="G3" i="3"/>
  <c r="H3" i="3"/>
  <c r="I3" i="3"/>
  <c r="J3" i="3"/>
  <c r="K3" i="3"/>
  <c r="C3" i="1"/>
  <c r="D3" i="1"/>
  <c r="E3" i="1"/>
  <c r="F3" i="1"/>
  <c r="G3" i="1"/>
  <c r="H3" i="1"/>
  <c r="I3" i="1"/>
  <c r="J3" i="1"/>
  <c r="K3" i="1"/>
  <c r="B7" i="4"/>
  <c r="B6" i="4"/>
  <c r="B5" i="4"/>
  <c r="B4" i="4"/>
  <c r="B3" i="4"/>
  <c r="K21" i="2"/>
  <c r="G21" i="2"/>
  <c r="F21" i="2"/>
  <c r="E21" i="2"/>
  <c r="D21" i="2"/>
  <c r="C21" i="2"/>
  <c r="B18" i="2"/>
  <c r="B21" i="2" s="1"/>
  <c r="B13" i="2"/>
  <c r="B16" i="2" s="1"/>
  <c r="B12" i="2"/>
  <c r="B11" i="2"/>
  <c r="B10" i="2"/>
  <c r="B8" i="2"/>
  <c r="B7" i="2"/>
  <c r="B6" i="2"/>
  <c r="B3" i="2"/>
  <c r="J14" i="3"/>
  <c r="H14" i="3"/>
  <c r="F14" i="3"/>
  <c r="B12" i="3"/>
  <c r="B11" i="3"/>
  <c r="B10" i="3"/>
  <c r="B9" i="3"/>
  <c r="B8" i="3"/>
  <c r="B7" i="3"/>
  <c r="B4" i="3"/>
  <c r="B14" i="3" s="1"/>
  <c r="B3" i="3"/>
  <c r="L15" i="1"/>
  <c r="B12" i="1"/>
  <c r="B13" i="1" s="1"/>
  <c r="B11" i="1"/>
  <c r="B10" i="1"/>
  <c r="B9" i="1"/>
  <c r="B8" i="1"/>
  <c r="B3" i="1"/>
  <c r="I14" i="3"/>
  <c r="G20" i="2"/>
  <c r="K20" i="2"/>
  <c r="D20" i="2"/>
  <c r="C20" i="2"/>
  <c r="E20" i="2"/>
  <c r="L12" i="1"/>
  <c r="L13" i="1" s="1"/>
  <c r="L14" i="1" s="1"/>
  <c r="L25" i="1" s="1"/>
  <c r="L11" i="1"/>
  <c r="L6" i="1"/>
  <c r="A1" i="3"/>
  <c r="A1" i="2"/>
  <c r="A1" i="4"/>
  <c r="H23" i="1"/>
  <c r="I23" i="1"/>
  <c r="J23" i="1"/>
  <c r="J14" i="1" l="1"/>
  <c r="N11" i="1"/>
  <c r="M11" i="1"/>
  <c r="K24" i="1"/>
  <c r="M24" i="1" s="1"/>
  <c r="L9" i="1"/>
  <c r="M9" i="1" s="1"/>
  <c r="L8" i="1"/>
  <c r="L7" i="1"/>
  <c r="E24" i="2"/>
  <c r="I21" i="2"/>
  <c r="J24" i="2"/>
  <c r="D24" i="2"/>
  <c r="I24" i="1"/>
  <c r="I24" i="2"/>
  <c r="J6" i="1"/>
  <c r="J19" i="1" s="1"/>
  <c r="B14" i="1"/>
  <c r="H24" i="1"/>
  <c r="I6" i="1"/>
  <c r="I19" i="1" s="1"/>
  <c r="H21" i="2"/>
  <c r="J20" i="2"/>
  <c r="J21" i="2"/>
  <c r="D14" i="1"/>
  <c r="I14" i="1"/>
  <c r="K25" i="1" s="1"/>
  <c r="M25" i="1" s="1"/>
  <c r="M14" i="1" s="1"/>
  <c r="C24" i="2"/>
  <c r="H24" i="2"/>
  <c r="G24" i="2"/>
  <c r="D13" i="1"/>
  <c r="E13" i="1" s="1"/>
  <c r="E14" i="1" s="1"/>
  <c r="E16" i="2"/>
  <c r="K24" i="2"/>
  <c r="L19" i="1"/>
  <c r="L24" i="1" s="1"/>
  <c r="F24" i="2"/>
  <c r="J25" i="1"/>
  <c r="N9" i="1"/>
  <c r="N8" i="1"/>
  <c r="M8" i="1"/>
  <c r="N23" i="1"/>
  <c r="N4" i="1" s="1"/>
  <c r="I20" i="2"/>
  <c r="J24" i="1"/>
  <c r="H20" i="2"/>
  <c r="K23" i="1"/>
  <c r="M23" i="1" s="1"/>
  <c r="M4" i="1" s="1"/>
  <c r="H6" i="1"/>
  <c r="H19" i="1" s="1"/>
  <c r="F6" i="1"/>
  <c r="F19" i="1" s="1"/>
  <c r="E1" i="4"/>
  <c r="H25" i="1" l="1"/>
  <c r="N25" i="1" s="1"/>
  <c r="N14" i="1" s="1"/>
  <c r="I25" i="1"/>
  <c r="N24" i="1"/>
  <c r="N6" i="1" s="1"/>
  <c r="M6" i="1"/>
  <c r="M10" i="1" s="1"/>
  <c r="M12" i="1" s="1"/>
  <c r="M13" i="1" s="1"/>
  <c r="M15" i="1" s="1"/>
  <c r="N10" i="1" l="1"/>
  <c r="N12" i="1" s="1"/>
  <c r="N13" i="1" s="1"/>
  <c r="N15" i="1" s="1"/>
  <c r="N5" i="1"/>
  <c r="M5" i="1"/>
</calcChain>
</file>

<file path=xl/sharedStrings.xml><?xml version="1.0" encoding="utf-8"?>
<sst xmlns="http://schemas.openxmlformats.org/spreadsheetml/2006/main" count="222" uniqueCount="158">
  <si>
    <t>COMPANY NAME</t>
  </si>
  <si>
    <t>SCREENER.IN</t>
  </si>
  <si>
    <t>Narration</t>
  </si>
  <si>
    <t>Trailing</t>
  </si>
  <si>
    <t>Best Case</t>
  </si>
  <si>
    <t>Worst Case</t>
  </si>
  <si>
    <t>Sales</t>
  </si>
  <si>
    <t>Expenses</t>
  </si>
  <si>
    <t>Operating Profit</t>
  </si>
  <si>
    <t>Other Income</t>
  </si>
  <si>
    <t>Depreciation</t>
  </si>
  <si>
    <t>Interest</t>
  </si>
  <si>
    <t>Profit before tax</t>
  </si>
  <si>
    <t>Tax</t>
  </si>
  <si>
    <t>Net profit</t>
  </si>
  <si>
    <t>RATIOS:</t>
  </si>
  <si>
    <t>Price to earning</t>
  </si>
  <si>
    <t>Dividend Payout</t>
  </si>
  <si>
    <t>OPM</t>
  </si>
  <si>
    <t>TRENDS:</t>
  </si>
  <si>
    <t>BEST</t>
  </si>
  <si>
    <t>WORST</t>
  </si>
  <si>
    <t>Sales Growth</t>
  </si>
  <si>
    <t>Price to Earning</t>
  </si>
  <si>
    <t>Equity Share Capital</t>
  </si>
  <si>
    <t>Reserves</t>
  </si>
  <si>
    <t>Total</t>
  </si>
  <si>
    <t>Net Block</t>
  </si>
  <si>
    <t>Capital Work in Progress</t>
  </si>
  <si>
    <t>Investments</t>
  </si>
  <si>
    <t>Working Capital</t>
  </si>
  <si>
    <t>Face Value</t>
  </si>
  <si>
    <t>Cash from Operating Activity</t>
  </si>
  <si>
    <t>Cash from Investing Activity</t>
  </si>
  <si>
    <t>Cash from Financing Activity</t>
  </si>
  <si>
    <t>Net Cash Flow</t>
  </si>
  <si>
    <t>PLEASE DO NOT MAKE ANY CHANGES TO THIS SHEET</t>
  </si>
  <si>
    <t>PROFIT &amp; LOSS</t>
  </si>
  <si>
    <t>Report Date</t>
  </si>
  <si>
    <t>Quarters</t>
  </si>
  <si>
    <t>BALANCE SHEET</t>
  </si>
  <si>
    <t>CASH FLOW:</t>
  </si>
  <si>
    <t>Number of shares</t>
  </si>
  <si>
    <t>Current Price</t>
  </si>
  <si>
    <t>Debtors</t>
  </si>
  <si>
    <t>Inventory</t>
  </si>
  <si>
    <t>Debtor Days</t>
  </si>
  <si>
    <t>Inventory Turnover</t>
  </si>
  <si>
    <t>You can customize this workbook as you want.</t>
  </si>
  <si>
    <t>Please don't edit the "Data Sheet" only.</t>
  </si>
  <si>
    <t>After customization, you can upload this back on Screener.</t>
  </si>
  <si>
    <t>Upload on:</t>
  </si>
  <si>
    <t>Download your customized workbooks now onwards.</t>
  </si>
  <si>
    <t>Now whenever you will "Export to excel" from Screener, it will export your customized file.</t>
  </si>
  <si>
    <t>TESTING:</t>
  </si>
  <si>
    <t>This is a testing feature currently.</t>
  </si>
  <si>
    <t>How to use it?</t>
  </si>
  <si>
    <t>EPS</t>
  </si>
  <si>
    <t>Price</t>
  </si>
  <si>
    <t>Return on Equity</t>
  </si>
  <si>
    <t>Return on Capital Emp</t>
  </si>
  <si>
    <t>LATEST VERSION</t>
  </si>
  <si>
    <t>CURRENT VERSION</t>
  </si>
  <si>
    <t>TECH MAHINDRA LTD</t>
  </si>
  <si>
    <t>META</t>
  </si>
  <si>
    <t>10 YEARS</t>
  </si>
  <si>
    <t>7 YEARS</t>
  </si>
  <si>
    <t>5 YEARS</t>
  </si>
  <si>
    <t>3 YEARS</t>
  </si>
  <si>
    <t>RECENT</t>
  </si>
  <si>
    <t>Dividend Amount</t>
  </si>
  <si>
    <t>Borrowings</t>
  </si>
  <si>
    <t>Other Liabilities</t>
  </si>
  <si>
    <t>Other Assets</t>
  </si>
  <si>
    <t>No. of Equity Shares</t>
  </si>
  <si>
    <t>New Bonus Shares</t>
  </si>
  <si>
    <t>DERIVED:</t>
  </si>
  <si>
    <t>PRICE:</t>
  </si>
  <si>
    <t>Receivables</t>
  </si>
  <si>
    <t>Market Capitalization</t>
  </si>
  <si>
    <t>Raw Material Cost</t>
  </si>
  <si>
    <t>Change in Inventory</t>
  </si>
  <si>
    <t>Power and Fuel</t>
  </si>
  <si>
    <t>Other Mfr. Exp</t>
  </si>
  <si>
    <t>Employee Cost</t>
  </si>
  <si>
    <t>Selling and admin</t>
  </si>
  <si>
    <t>Other Expenses</t>
  </si>
  <si>
    <t>Cash &amp; Bank</t>
  </si>
  <si>
    <t>Face value</t>
  </si>
  <si>
    <t>Adjusted Equity Shares in Cr</t>
  </si>
  <si>
    <t>You can add custom formating, add conditional formating, add your own formulas… do ANYTHING.</t>
  </si>
  <si>
    <t xml:space="preserve"> https://www.screener.in/excel/</t>
  </si>
  <si>
    <r>
      <t xml:space="preserve">You can report any formula errors on the worksheet at: </t>
    </r>
    <r>
      <rPr>
        <b/>
        <sz val="11"/>
        <color theme="1"/>
        <rFont val="Calibri"/>
        <family val="2"/>
        <scheme val="minor"/>
      </rPr>
      <t>support@screener.in</t>
    </r>
  </si>
  <si>
    <t>RATIO ANALYSIS</t>
  </si>
  <si>
    <t>PROFITABILITY RATIOS</t>
  </si>
  <si>
    <t>OPERATING PROFIT MARGIN</t>
  </si>
  <si>
    <t>NET PROFIT MARGIN</t>
  </si>
  <si>
    <t>RETURN ON ASSETS</t>
  </si>
  <si>
    <t>RETURN ON EQUITY</t>
  </si>
  <si>
    <t>LIQUIDITY RATIOS</t>
  </si>
  <si>
    <t>CURRENT RATIO</t>
  </si>
  <si>
    <t>QUICK RATIO</t>
  </si>
  <si>
    <t>LEVERAGE RATIOS</t>
  </si>
  <si>
    <t>DEBT TO EQUITY RATIO</t>
  </si>
  <si>
    <t>INTEREST COVERAGE RATIO</t>
  </si>
  <si>
    <t>EFFICIENCY RATIOS</t>
  </si>
  <si>
    <t>ASSET TURNOVER</t>
  </si>
  <si>
    <t>RECEIVABLES TURNOVER</t>
  </si>
  <si>
    <t>Net Income(EBT-TAX)</t>
  </si>
  <si>
    <t xml:space="preserve"> ANALYSIS</t>
  </si>
  <si>
    <t>INTERPRETATION</t>
  </si>
  <si>
    <t>TCS</t>
  </si>
  <si>
    <t>Infosys</t>
  </si>
  <si>
    <t>Wipro</t>
  </si>
  <si>
    <t>PEER COMPANIES</t>
  </si>
  <si>
    <t>Ratios</t>
  </si>
  <si>
    <t>Tech Mahindra</t>
  </si>
  <si>
    <t>Profitability Ratios</t>
  </si>
  <si>
    <t>Operating Profit Margin</t>
  </si>
  <si>
    <t>14% - 18%</t>
  </si>
  <si>
    <t>Higher than 18%</t>
  </si>
  <si>
    <t>~20%</t>
  </si>
  <si>
    <t>~17%</t>
  </si>
  <si>
    <t>Net Profit Margin</t>
  </si>
  <si>
    <t>10% - 12%</t>
  </si>
  <si>
    <t>~15%</t>
  </si>
  <si>
    <t>Return on Assets (ROA)</t>
  </si>
  <si>
    <t>11% - 13%</t>
  </si>
  <si>
    <t>Data unavailable</t>
  </si>
  <si>
    <t>Return on Equity (ROE)</t>
  </si>
  <si>
    <t>17% - 21%</t>
  </si>
  <si>
    <t>Liquidity Ratios</t>
  </si>
  <si>
    <t>Current Ratio</t>
  </si>
  <si>
    <t>1.68 - 2.38</t>
  </si>
  <si>
    <t>~2.0</t>
  </si>
  <si>
    <t>~1.9</t>
  </si>
  <si>
    <t>Quick Ratio</t>
  </si>
  <si>
    <t>0.39 - 0.48</t>
  </si>
  <si>
    <t>Leverage Ratios</t>
  </si>
  <si>
    <t>Debt to Equity Ratio</t>
  </si>
  <si>
    <t>0.06 - 0.13</t>
  </si>
  <si>
    <t>Low (&lt; 0.2)</t>
  </si>
  <si>
    <t>Low (&lt; 0.3)</t>
  </si>
  <si>
    <t>Interest Coverage Ratio</t>
  </si>
  <si>
    <t>30.96 - 53.36</t>
  </si>
  <si>
    <t>High (&gt; 40)</t>
  </si>
  <si>
    <t>High (&gt; 35)</t>
  </si>
  <si>
    <t>Efficiency Ratios</t>
  </si>
  <si>
    <t>Asset Turnover</t>
  </si>
  <si>
    <t>1.67 - 1.87</t>
  </si>
  <si>
    <t>~1.5</t>
  </si>
  <si>
    <t>~1.6</t>
  </si>
  <si>
    <t>~1.4</t>
  </si>
  <si>
    <t>Receivables Turnover</t>
  </si>
  <si>
    <t>4.35 - 5.46</t>
  </si>
  <si>
    <t>Debtor days ~45</t>
  </si>
  <si>
    <t>Debtor days ~7</t>
  </si>
  <si>
    <t>Debtor days ~62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</si>
</sst>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0.00_);_(* \(#,##0.00\);_(* &quot;-&quot;??_);_(@_)"/>
    <numFmt numFmtId="165" formatCode="[$-409]mmm\-yy;@"/>
  </numFmts>
  <fonts count="22" x14ac:knownFonts="1">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u/>
      <sz val="11"/>
      <color theme="10"/>
      <name val="Calibri"/>
      <family val="2"/>
    </font>
    <font>
      <sz val="11"/>
      <color theme="0"/>
      <name val="Calibri"/>
      <family val="2"/>
      <scheme val="minor"/>
    </font>
    <font>
      <b/>
      <u/>
      <sz val="11"/>
      <color theme="10"/>
      <name val="Calibri"/>
      <family val="2"/>
    </font>
    <font>
      <b/>
      <sz val="16"/>
      <color theme="1"/>
      <name val="Calibri"/>
      <family val="2"/>
      <scheme val="minor"/>
    </font>
    <font>
      <b/>
      <sz val="11"/>
      <color rgb="FFFF0000"/>
      <name val="Calibri"/>
      <family val="2"/>
      <scheme val="minor"/>
    </font>
    <font>
      <sz val="11"/>
      <name val="Calibri"/>
      <family val="2"/>
      <scheme val="minor"/>
    </font>
    <font>
      <b/>
      <sz val="20"/>
      <color theme="1"/>
      <name val="Calibri"/>
      <family val="2"/>
      <scheme val="minor"/>
    </font>
    <font>
      <b/>
      <sz val="14"/>
      <color theme="0"/>
      <name val="Calibri"/>
      <family val="2"/>
      <scheme val="minor"/>
    </font>
    <font>
      <b/>
      <sz val="26"/>
      <color theme="0"/>
      <name val="Calibri"/>
      <family val="2"/>
      <scheme val="minor"/>
    </font>
    <font>
      <sz val="11"/>
      <color rgb="FFFFC000"/>
      <name val="Calibri"/>
      <family val="2"/>
      <scheme val="minor"/>
    </font>
    <font>
      <b/>
      <sz val="18"/>
      <color rgb="FFFFC000"/>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b/>
      <i/>
      <sz val="11"/>
      <color theme="1"/>
      <name val="Calibri"/>
      <family val="2"/>
      <scheme val="minor"/>
    </font>
    <font>
      <b/>
      <sz val="16"/>
      <color rgb="FFFFC000"/>
      <name val="Calibri"/>
      <family val="2"/>
      <scheme val="minor"/>
    </font>
    <font>
      <b/>
      <i/>
      <u/>
      <sz val="11"/>
      <color theme="1"/>
      <name val="Calibri"/>
      <family val="2"/>
      <scheme val="minor"/>
    </font>
    <font>
      <b/>
      <sz val="18"/>
      <color theme="1"/>
      <name val="Calibri"/>
      <family val="2"/>
      <scheme val="minor"/>
    </font>
  </fonts>
  <fills count="13">
    <fill>
      <patternFill patternType="none"/>
    </fill>
    <fill>
      <patternFill patternType="gray125"/>
    </fill>
    <fill>
      <patternFill patternType="solid">
        <fgColor theme="4" tint="0.39997558519241921"/>
        <bgColor indexed="65"/>
      </patternFill>
    </fill>
    <fill>
      <patternFill patternType="solid">
        <fgColor theme="6" tint="0.39997558519241921"/>
        <bgColor indexed="65"/>
      </patternFill>
    </fill>
    <fill>
      <patternFill patternType="solid">
        <fgColor theme="9"/>
      </patternFill>
    </fill>
    <fill>
      <patternFill patternType="solid">
        <fgColor rgb="FF0275D8"/>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C000"/>
        <bgColor indexed="64"/>
      </patternFill>
    </fill>
    <fill>
      <patternFill patternType="solid">
        <fgColor rgb="FF002060"/>
        <bgColor indexed="64"/>
      </patternFill>
    </fill>
    <fill>
      <patternFill patternType="solid">
        <fgColor theme="2" tint="-0.749992370372631"/>
        <bgColor indexed="64"/>
      </patternFill>
    </fill>
    <fill>
      <patternFill patternType="solid">
        <fgColor theme="2" tint="-9.9978637043366805E-2"/>
        <bgColor indexed="64"/>
      </patternFill>
    </fill>
  </fills>
  <borders count="1">
    <border>
      <left/>
      <right/>
      <top/>
      <bottom/>
      <diagonal/>
    </border>
  </borders>
  <cellStyleXfs count="7">
    <xf numFmtId="0" fontId="0" fillId="0" borderId="0"/>
    <xf numFmtId="43" fontId="3" fillId="0" borderId="0" applyFont="0" applyFill="0" applyBorder="0" applyAlignment="0" applyProtection="0"/>
    <xf numFmtId="0" fontId="4" fillId="0" borderId="0" applyNumberFormat="0" applyFill="0" applyBorder="0" applyAlignment="0" applyProtection="0">
      <alignment vertical="top"/>
      <protection locked="0"/>
    </xf>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9" fontId="3" fillId="0" borderId="0" applyFont="0" applyFill="0" applyBorder="0" applyAlignment="0" applyProtection="0"/>
  </cellStyleXfs>
  <cellXfs count="64">
    <xf numFmtId="0" fontId="0" fillId="0" borderId="0" xfId="0"/>
    <xf numFmtId="43" fontId="1" fillId="0" borderId="0" xfId="1" applyFont="1" applyBorder="1"/>
    <xf numFmtId="0" fontId="1" fillId="0" borderId="0" xfId="0" applyFont="1"/>
    <xf numFmtId="0" fontId="8" fillId="0" borderId="0" xfId="0" applyFont="1"/>
    <xf numFmtId="43" fontId="0" fillId="0" borderId="0" xfId="1" applyFont="1" applyBorder="1"/>
    <xf numFmtId="10" fontId="0" fillId="0" borderId="0" xfId="0" applyNumberFormat="1"/>
    <xf numFmtId="43" fontId="3" fillId="0" borderId="0" xfId="1" applyFont="1" applyBorder="1"/>
    <xf numFmtId="9" fontId="3" fillId="0" borderId="0" xfId="1" applyNumberFormat="1" applyFont="1" applyBorder="1"/>
    <xf numFmtId="43" fontId="2" fillId="2" borderId="0" xfId="3" applyNumberFormat="1" applyFont="1" applyBorder="1"/>
    <xf numFmtId="43" fontId="2" fillId="3" borderId="0" xfId="4" applyNumberFormat="1" applyFont="1" applyBorder="1"/>
    <xf numFmtId="9" fontId="1" fillId="0" borderId="0" xfId="6" applyFont="1" applyBorder="1"/>
    <xf numFmtId="0" fontId="2" fillId="5" borderId="0" xfId="0" applyFont="1" applyFill="1"/>
    <xf numFmtId="165" fontId="2" fillId="5" borderId="0" xfId="0" applyNumberFormat="1" applyFont="1" applyFill="1" applyAlignment="1">
      <alignment horizontal="center"/>
    </xf>
    <xf numFmtId="0" fontId="2" fillId="5" borderId="0" xfId="0" applyFont="1" applyFill="1" applyAlignment="1">
      <alignment horizontal="center"/>
    </xf>
    <xf numFmtId="43" fontId="0" fillId="0" borderId="0" xfId="1" applyFont="1" applyBorder="1" applyAlignment="1">
      <alignment horizontal="center"/>
    </xf>
    <xf numFmtId="43" fontId="1" fillId="0" borderId="0" xfId="1" applyFont="1" applyBorder="1" applyAlignment="1">
      <alignment horizontal="center"/>
    </xf>
    <xf numFmtId="10" fontId="1" fillId="0" borderId="0" xfId="0" applyNumberFormat="1" applyFont="1"/>
    <xf numFmtId="165" fontId="2" fillId="5" borderId="0" xfId="1" applyNumberFormat="1" applyFont="1" applyFill="1" applyBorder="1"/>
    <xf numFmtId="165" fontId="9" fillId="0" borderId="0" xfId="1" applyNumberFormat="1" applyFont="1" applyFill="1" applyBorder="1"/>
    <xf numFmtId="0" fontId="7" fillId="0" borderId="0" xfId="0" applyFont="1"/>
    <xf numFmtId="0" fontId="0" fillId="0" borderId="0" xfId="0" applyAlignment="1">
      <alignment horizontal="left"/>
    </xf>
    <xf numFmtId="0" fontId="6" fillId="0" borderId="0" xfId="2" applyFont="1" applyBorder="1" applyAlignment="1" applyProtection="1">
      <alignment horizontal="left"/>
    </xf>
    <xf numFmtId="0" fontId="6" fillId="0" borderId="0" xfId="2" applyFont="1" applyBorder="1" applyAlignment="1" applyProtection="1"/>
    <xf numFmtId="0" fontId="9" fillId="0" borderId="0" xfId="0" applyFont="1"/>
    <xf numFmtId="164" fontId="0" fillId="0" borderId="0" xfId="1" applyNumberFormat="1" applyFont="1" applyBorder="1"/>
    <xf numFmtId="0" fontId="0" fillId="0" borderId="0" xfId="0" applyAlignment="1">
      <alignment horizontal="center"/>
    </xf>
    <xf numFmtId="9" fontId="0" fillId="0" borderId="0" xfId="6" applyFont="1"/>
    <xf numFmtId="0" fontId="2" fillId="6" borderId="0" xfId="0" applyFont="1" applyFill="1"/>
    <xf numFmtId="0" fontId="2" fillId="6" borderId="0" xfId="0" applyFont="1" applyFill="1" applyAlignment="1">
      <alignment horizontal="center"/>
    </xf>
    <xf numFmtId="17" fontId="2" fillId="6" borderId="0" xfId="0" applyNumberFormat="1" applyFont="1" applyFill="1"/>
    <xf numFmtId="43" fontId="0" fillId="0" borderId="0" xfId="0" applyNumberFormat="1"/>
    <xf numFmtId="9" fontId="0" fillId="0" borderId="0" xfId="0" applyNumberFormat="1"/>
    <xf numFmtId="0" fontId="7" fillId="7" borderId="0" xfId="0" applyFont="1" applyFill="1" applyAlignment="1">
      <alignment horizontal="left"/>
    </xf>
    <xf numFmtId="17" fontId="11" fillId="6" borderId="0" xfId="0" applyNumberFormat="1" applyFont="1" applyFill="1"/>
    <xf numFmtId="0" fontId="11" fillId="6" borderId="0" xfId="0" applyFont="1" applyFill="1" applyAlignment="1">
      <alignment horizontal="left"/>
    </xf>
    <xf numFmtId="0" fontId="2" fillId="8" borderId="0" xfId="0" applyFont="1" applyFill="1"/>
    <xf numFmtId="0" fontId="13" fillId="6" borderId="0" xfId="0" applyFont="1" applyFill="1"/>
    <xf numFmtId="0" fontId="13" fillId="8" borderId="0" xfId="0" applyFont="1" applyFill="1"/>
    <xf numFmtId="0" fontId="15" fillId="0" borderId="0" xfId="0" applyFont="1" applyAlignment="1">
      <alignment horizontal="left"/>
    </xf>
    <xf numFmtId="0" fontId="16" fillId="0" borderId="0" xfId="0" applyFont="1" applyAlignment="1">
      <alignment horizontal="center"/>
    </xf>
    <xf numFmtId="0" fontId="16" fillId="0" borderId="0" xfId="0" applyFont="1"/>
    <xf numFmtId="9" fontId="16" fillId="0" borderId="0" xfId="6" applyFont="1"/>
    <xf numFmtId="9" fontId="16" fillId="0" borderId="0" xfId="0" applyNumberFormat="1" applyFont="1"/>
    <xf numFmtId="9" fontId="16" fillId="0" borderId="0" xfId="6" applyFont="1" applyBorder="1"/>
    <xf numFmtId="2" fontId="16" fillId="0" borderId="0" xfId="0" applyNumberFormat="1" applyFont="1"/>
    <xf numFmtId="0" fontId="14" fillId="11" borderId="0" xfId="0" applyFont="1" applyFill="1"/>
    <xf numFmtId="17" fontId="11" fillId="6" borderId="0" xfId="0" applyNumberFormat="1" applyFont="1" applyFill="1" applyAlignment="1">
      <alignment horizontal="center"/>
    </xf>
    <xf numFmtId="9" fontId="16" fillId="0" borderId="0" xfId="6" applyFont="1" applyAlignment="1">
      <alignment horizontal="center"/>
    </xf>
    <xf numFmtId="9" fontId="16" fillId="0" borderId="0" xfId="0" applyNumberFormat="1" applyFont="1" applyAlignment="1">
      <alignment horizontal="center"/>
    </xf>
    <xf numFmtId="9" fontId="16" fillId="0" borderId="0" xfId="6" applyFont="1" applyBorder="1" applyAlignment="1">
      <alignment horizontal="center"/>
    </xf>
    <xf numFmtId="2" fontId="16" fillId="0" borderId="0" xfId="0" applyNumberFormat="1" applyFont="1" applyAlignment="1">
      <alignment horizontal="center"/>
    </xf>
    <xf numFmtId="43" fontId="16" fillId="0" borderId="0" xfId="0" applyNumberFormat="1" applyFont="1" applyAlignment="1">
      <alignment horizontal="center"/>
    </xf>
    <xf numFmtId="0" fontId="17" fillId="0" borderId="0" xfId="0" applyFont="1"/>
    <xf numFmtId="0" fontId="18" fillId="0" borderId="0" xfId="0" applyFont="1"/>
    <xf numFmtId="0" fontId="17" fillId="0" borderId="0" xfId="0" applyFont="1" applyAlignment="1">
      <alignment horizontal="center"/>
    </xf>
    <xf numFmtId="10" fontId="17" fillId="0" borderId="0" xfId="0" applyNumberFormat="1" applyFont="1" applyAlignment="1">
      <alignment horizontal="center"/>
    </xf>
    <xf numFmtId="0" fontId="19" fillId="6" borderId="0" xfId="0" applyFont="1" applyFill="1"/>
    <xf numFmtId="0" fontId="19" fillId="6" borderId="0" xfId="0" applyFont="1" applyFill="1" applyAlignment="1">
      <alignment horizontal="center"/>
    </xf>
    <xf numFmtId="0" fontId="20" fillId="0" borderId="0" xfId="0" applyFont="1"/>
    <xf numFmtId="0" fontId="21" fillId="12" borderId="0" xfId="0" applyFont="1" applyFill="1" applyAlignment="1">
      <alignment horizontal="center"/>
    </xf>
    <xf numFmtId="0" fontId="12" fillId="10" borderId="0" xfId="0" applyFont="1" applyFill="1" applyAlignment="1">
      <alignment horizontal="center"/>
    </xf>
    <xf numFmtId="0" fontId="10" fillId="9" borderId="0" xfId="0" applyFont="1" applyFill="1" applyAlignment="1">
      <alignment horizontal="center"/>
    </xf>
    <xf numFmtId="43" fontId="4" fillId="0" borderId="0" xfId="2" applyNumberFormat="1" applyBorder="1" applyAlignment="1" applyProtection="1">
      <alignment horizontal="center"/>
    </xf>
    <xf numFmtId="43" fontId="2" fillId="4" borderId="0" xfId="5" applyNumberFormat="1" applyFont="1" applyBorder="1" applyAlignment="1">
      <alignment horizontal="center"/>
    </xf>
  </cellXfs>
  <cellStyles count="7">
    <cellStyle name="60% - Accent1" xfId="3" builtinId="32"/>
    <cellStyle name="60% - Accent3" xfId="4" builtinId="40"/>
    <cellStyle name="Accent6" xfId="5" builtinId="49"/>
    <cellStyle name="Comma" xfId="1" builtinId="3"/>
    <cellStyle name="Hyperlink" xfId="2" builtinId="8"/>
    <cellStyle name="Normal" xfId="0" builtinId="0"/>
    <cellStyle name="Percent" xfId="6" builtinId="5"/>
  </cellStyles>
  <dxfs count="31">
    <dxf>
      <font>
        <b/>
        <i val="0"/>
        <color theme="0"/>
      </font>
      <fill>
        <patternFill>
          <bgColor theme="5"/>
        </patternFill>
      </fill>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style="thin">
          <color theme="4"/>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style="thin">
          <color theme="4"/>
        </right>
        <top/>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dxf>
  </dxfs>
  <tableStyles count="0" defaultTableStyle="TableStyleMedium9" defaultPivotStyle="PivotStyleLight16"/>
  <colors>
    <mruColors>
      <color rgb="FFF4EFD4"/>
      <color rgb="FF027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120806</xdr:colOff>
      <xdr:row>28</xdr:row>
      <xdr:rowOff>97109</xdr:rowOff>
    </xdr:from>
    <xdr:to>
      <xdr:col>14</xdr:col>
      <xdr:colOff>233</xdr:colOff>
      <xdr:row>51</xdr:row>
      <xdr:rowOff>130098</xdr:rowOff>
    </xdr:to>
    <xdr:sp macro="" textlink="">
      <xdr:nvSpPr>
        <xdr:cNvPr id="2" name="TextBox 1">
          <a:extLst>
            <a:ext uri="{FF2B5EF4-FFF2-40B4-BE49-F238E27FC236}">
              <a16:creationId xmlns:a16="http://schemas.microsoft.com/office/drawing/2014/main" id="{3DB9C069-4F7A-D28D-6831-A60D16822E75}"/>
            </a:ext>
          </a:extLst>
        </xdr:cNvPr>
        <xdr:cNvSpPr txBox="1"/>
      </xdr:nvSpPr>
      <xdr:spPr>
        <a:xfrm>
          <a:off x="120806" y="6276743"/>
          <a:ext cx="10333695" cy="4307623"/>
        </a:xfrm>
        <a:prstGeom prst="rect">
          <a:avLst/>
        </a:prstGeom>
        <a:solidFill>
          <a:srgbClr val="F4EFD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i="1" u="sng" kern="1200"/>
            <a:t>Profitability Ratios:</a:t>
          </a:r>
        </a:p>
        <a:p>
          <a:pPr algn="l"/>
          <a:r>
            <a:rPr lang="en-IN" sz="1400" b="1" kern="1200"/>
            <a:t>Operating Profit Margin</a:t>
          </a:r>
          <a:r>
            <a:rPr lang="en-IN" sz="1400" b="1" kern="1200" baseline="0"/>
            <a:t> </a:t>
          </a:r>
          <a:r>
            <a:rPr lang="en-IN" sz="1400" b="1" kern="1200"/>
            <a:t>Remains steady between </a:t>
          </a:r>
          <a:r>
            <a:rPr lang="en-IN" sz="1400" b="1" kern="1200">
              <a:solidFill>
                <a:srgbClr val="00B050"/>
              </a:solidFill>
            </a:rPr>
            <a:t>14%-18%</a:t>
          </a:r>
          <a:r>
            <a:rPr lang="en-IN" sz="1400" b="1" kern="1200"/>
            <a:t>. Peaks at 18% in Mar-19 but </a:t>
          </a:r>
          <a:r>
            <a:rPr lang="en-IN" sz="1400" b="1" kern="1200">
              <a:solidFill>
                <a:srgbClr val="FF0000"/>
              </a:solidFill>
            </a:rPr>
            <a:t>drops to 15% in Mar-19</a:t>
          </a:r>
          <a:r>
            <a:rPr lang="en-IN" sz="1400" b="1" kern="1200">
              <a:solidFill>
                <a:srgbClr val="00B050"/>
              </a:solidFill>
            </a:rPr>
            <a:t> </a:t>
          </a:r>
          <a:r>
            <a:rPr lang="en-IN" sz="1400" b="1" kern="1200"/>
            <a:t>which Indicates how well the company controls costs relative to sales.</a:t>
          </a:r>
          <a:r>
            <a:rPr lang="en-IN" sz="1400" b="1" kern="1200" baseline="0"/>
            <a:t> </a:t>
          </a:r>
          <a:r>
            <a:rPr lang="en-IN" sz="1400" b="1" kern="1200"/>
            <a:t>Net Profit Margin</a:t>
          </a:r>
          <a:r>
            <a:rPr lang="en-IN" sz="1400" b="1" kern="1200" baseline="0"/>
            <a:t> </a:t>
          </a:r>
          <a:r>
            <a:rPr lang="en-IN" sz="1400" b="1" kern="1200"/>
            <a:t>Ranges between 10%-12%, showing </a:t>
          </a:r>
          <a:r>
            <a:rPr lang="en-IN" sz="1400" b="1" kern="1200">
              <a:solidFill>
                <a:srgbClr val="00B050"/>
              </a:solidFill>
            </a:rPr>
            <a:t>stable profitability</a:t>
          </a:r>
          <a:r>
            <a:rPr lang="en-IN" sz="1400" b="1" kern="1200"/>
            <a:t>.</a:t>
          </a:r>
          <a:r>
            <a:rPr lang="en-IN" sz="1400" b="1" kern="1200" baseline="0"/>
            <a:t> </a:t>
          </a:r>
          <a:r>
            <a:rPr lang="en-IN" sz="1400" b="1" kern="1200"/>
            <a:t>Return on Assets (ROA)</a:t>
          </a:r>
          <a:r>
            <a:rPr lang="en-IN" sz="1400" b="1" kern="1200" baseline="0"/>
            <a:t> </a:t>
          </a:r>
          <a:r>
            <a:rPr lang="en-IN" sz="1400" b="1" kern="1200"/>
            <a:t>Fluctuates between 11%-13%, reflecting </a:t>
          </a:r>
          <a:r>
            <a:rPr lang="en-IN" sz="1400" b="1" kern="1200">
              <a:solidFill>
                <a:srgbClr val="00B050"/>
              </a:solidFill>
            </a:rPr>
            <a:t>moderate efficiency in utilizing assets </a:t>
          </a:r>
          <a:r>
            <a:rPr lang="en-IN" sz="1400" b="1" kern="1200"/>
            <a:t>to generate profit.</a:t>
          </a:r>
          <a:r>
            <a:rPr lang="en-IN" sz="1400" b="1" kern="1200" baseline="0"/>
            <a:t> </a:t>
          </a:r>
          <a:r>
            <a:rPr lang="en-IN" sz="1400" b="1" kern="1200"/>
            <a:t>Return on Equity (ROE)</a:t>
          </a:r>
          <a:r>
            <a:rPr lang="en-IN" sz="1400" b="1" kern="1200" baseline="0"/>
            <a:t> </a:t>
          </a:r>
          <a:r>
            <a:rPr lang="en-IN" sz="1400" b="1" kern="1200"/>
            <a:t>Consistently around 21% except for a dip to 17% in Mar-17, indicating </a:t>
          </a:r>
          <a:r>
            <a:rPr lang="en-IN" sz="1400" b="1" kern="1200">
              <a:solidFill>
                <a:srgbClr val="00B050"/>
              </a:solidFill>
            </a:rPr>
            <a:t>strong shareholder returns.</a:t>
          </a:r>
        </a:p>
        <a:p>
          <a:pPr algn="l"/>
          <a:endParaRPr lang="en-IN" sz="1400" b="1" u="sng" kern="1200"/>
        </a:p>
        <a:p>
          <a:pPr algn="l"/>
          <a:r>
            <a:rPr lang="en-IN" sz="1400" b="1" i="1" u="sng" kern="1200"/>
            <a:t>Liquidity Ratios</a:t>
          </a:r>
        </a:p>
        <a:p>
          <a:pPr algn="l"/>
          <a:r>
            <a:rPr lang="en-IN" sz="1400" b="1" kern="1200"/>
            <a:t>Current Ratio</a:t>
          </a:r>
          <a:r>
            <a:rPr lang="en-IN" sz="1400" b="1" kern="1200" baseline="0"/>
            <a:t> </a:t>
          </a:r>
          <a:r>
            <a:rPr lang="en-IN" sz="1400" b="1" kern="1200"/>
            <a:t>Declines steadily from </a:t>
          </a:r>
          <a:r>
            <a:rPr lang="en-IN" sz="1400" b="1" kern="1200">
              <a:solidFill>
                <a:srgbClr val="FF0000"/>
              </a:solidFill>
            </a:rPr>
            <a:t>2.38 in Mar-15 to 1.68 in Mar-19</a:t>
          </a:r>
          <a:r>
            <a:rPr lang="en-IN" sz="1400" b="1" kern="1200"/>
            <a:t>, showing reduced ability to cover short-term obligations.</a:t>
          </a:r>
        </a:p>
        <a:p>
          <a:pPr algn="l"/>
          <a:r>
            <a:rPr lang="en-IN" sz="1400" b="1" kern="1200"/>
            <a:t>Quick Ratio Remains relatively low (</a:t>
          </a:r>
          <a:r>
            <a:rPr lang="en-IN" sz="1400" b="1" kern="1200">
              <a:solidFill>
                <a:schemeClr val="tx1"/>
              </a:solidFill>
            </a:rPr>
            <a:t>around 0.4-0.48), </a:t>
          </a:r>
          <a:r>
            <a:rPr lang="en-IN" sz="1400" b="1" kern="1200"/>
            <a:t>indicating </a:t>
          </a:r>
          <a:r>
            <a:rPr lang="en-IN" sz="1400" b="1" kern="1200">
              <a:solidFill>
                <a:srgbClr val="FF0000"/>
              </a:solidFill>
            </a:rPr>
            <a:t>fewer liquid assets</a:t>
          </a:r>
          <a:r>
            <a:rPr lang="en-IN" sz="1400" b="1" kern="1200"/>
            <a:t> to meet immediate liabilities.</a:t>
          </a:r>
        </a:p>
        <a:p>
          <a:pPr algn="l"/>
          <a:endParaRPr lang="en-IN" sz="1400" b="1" u="sng" kern="1200"/>
        </a:p>
        <a:p>
          <a:pPr algn="l"/>
          <a:r>
            <a:rPr lang="en-IN" sz="1400" b="1" i="1" u="sng" kern="1200"/>
            <a:t>Leverage Ratios</a:t>
          </a:r>
        </a:p>
        <a:p>
          <a:pPr algn="l"/>
          <a:r>
            <a:rPr lang="en-IN" sz="1400" b="1" kern="1200"/>
            <a:t>Debt to Equity Ratio</a:t>
          </a:r>
          <a:r>
            <a:rPr lang="en-IN" sz="1400" b="1" kern="1200" baseline="0">
              <a:solidFill>
                <a:srgbClr val="FF0000"/>
              </a:solidFill>
            </a:rPr>
            <a:t> is</a:t>
          </a:r>
          <a:r>
            <a:rPr lang="en-IN" sz="1400" b="1" kern="1200">
              <a:solidFill>
                <a:srgbClr val="FF0000"/>
              </a:solidFill>
            </a:rPr>
            <a:t> Very low (0.06 to 0.13), </a:t>
          </a:r>
          <a:r>
            <a:rPr lang="en-IN" sz="1400" b="1" kern="1200"/>
            <a:t>suggesting minimal reliance on debt financing.</a:t>
          </a:r>
        </a:p>
        <a:p>
          <a:pPr algn="l"/>
          <a:r>
            <a:rPr lang="en-IN" sz="1400" b="1" kern="1200"/>
            <a:t>Interest Coverage Ratio</a:t>
          </a:r>
          <a:r>
            <a:rPr lang="en-IN" sz="1400" b="1" kern="1200" baseline="0"/>
            <a:t> </a:t>
          </a:r>
          <a:r>
            <a:rPr lang="en-IN" sz="1400" b="1" kern="1200"/>
            <a:t>Decreases from </a:t>
          </a:r>
          <a:r>
            <a:rPr lang="en-IN" sz="1400" b="1" kern="1200">
              <a:solidFill>
                <a:srgbClr val="00B050"/>
              </a:solidFill>
            </a:rPr>
            <a:t>53.36 in Mar-15 to 30.96 in Mar-17</a:t>
          </a:r>
          <a:r>
            <a:rPr lang="en-IN" sz="1400" b="1" kern="1200"/>
            <a:t>, then rises to </a:t>
          </a:r>
          <a:r>
            <a:rPr lang="en-IN" sz="1400" b="1" kern="1200">
              <a:solidFill>
                <a:srgbClr val="FF0000"/>
              </a:solidFill>
            </a:rPr>
            <a:t>42.62 in Mar-19</a:t>
          </a:r>
          <a:r>
            <a:rPr lang="en-IN" sz="1400" b="1" kern="1200"/>
            <a:t>, reflecting the company's ability to pay interest comfortably.</a:t>
          </a:r>
        </a:p>
        <a:p>
          <a:pPr algn="l"/>
          <a:endParaRPr lang="en-IN" sz="1400" b="1" u="sng" kern="1200"/>
        </a:p>
        <a:p>
          <a:pPr algn="l"/>
          <a:r>
            <a:rPr lang="en-IN" sz="1400" b="1" i="1" u="sng" kern="1200"/>
            <a:t>Efficiency Ratios</a:t>
          </a:r>
        </a:p>
        <a:p>
          <a:pPr algn="l"/>
          <a:r>
            <a:rPr lang="en-IN" sz="1400" b="1" kern="1200"/>
            <a:t>Asset Turnover</a:t>
          </a:r>
          <a:r>
            <a:rPr lang="en-IN" sz="1400" b="1" kern="1200" baseline="0"/>
            <a:t> </a:t>
          </a:r>
          <a:r>
            <a:rPr lang="en-IN" sz="1400" b="1" kern="1200"/>
            <a:t>Stays </a:t>
          </a:r>
          <a:r>
            <a:rPr lang="en-IN" sz="1400" b="1" kern="1200">
              <a:solidFill>
                <a:srgbClr val="00B050"/>
              </a:solidFill>
            </a:rPr>
            <a:t>stable between 1.67-1.87</a:t>
          </a:r>
          <a:r>
            <a:rPr lang="en-IN" sz="1400" b="1" kern="1200"/>
            <a:t>, showing consistency in using assets to generate revenue.</a:t>
          </a:r>
        </a:p>
        <a:p>
          <a:pPr algn="l"/>
          <a:r>
            <a:rPr lang="en-IN" sz="1400" b="1" kern="1200"/>
            <a:t>Receivables Turnover</a:t>
          </a:r>
          <a:r>
            <a:rPr lang="en-IN" sz="1400" b="1" kern="1200" baseline="0"/>
            <a:t> </a:t>
          </a:r>
          <a:r>
            <a:rPr lang="en-IN" sz="1400" b="1" kern="1200"/>
            <a:t>Improves from </a:t>
          </a:r>
          <a:r>
            <a:rPr lang="en-IN" sz="1400" b="1" kern="1200">
              <a:solidFill>
                <a:srgbClr val="00B050"/>
              </a:solidFill>
            </a:rPr>
            <a:t>4.35 in Mar-15 to 4.99 in Mar-19</a:t>
          </a:r>
          <a:r>
            <a:rPr lang="en-IN" sz="1400" b="1" kern="1200"/>
            <a:t>, indicating better collection efficiency over the years.</a:t>
          </a:r>
        </a:p>
      </xdr:txBody>
    </xdr:sp>
    <xdr:clientData/>
  </xdr:twoCellAnchor>
  <xdr:twoCellAnchor>
    <xdr:from>
      <xdr:col>0</xdr:col>
      <xdr:colOff>111511</xdr:colOff>
      <xdr:row>52</xdr:row>
      <xdr:rowOff>157976</xdr:rowOff>
    </xdr:from>
    <xdr:to>
      <xdr:col>14</xdr:col>
      <xdr:colOff>5343</xdr:colOff>
      <xdr:row>61</xdr:row>
      <xdr:rowOff>83634</xdr:rowOff>
    </xdr:to>
    <xdr:sp macro="" textlink="">
      <xdr:nvSpPr>
        <xdr:cNvPr id="3" name="TextBox 2">
          <a:extLst>
            <a:ext uri="{FF2B5EF4-FFF2-40B4-BE49-F238E27FC236}">
              <a16:creationId xmlns:a16="http://schemas.microsoft.com/office/drawing/2014/main" id="{6C2E8E9D-155D-6872-C7E4-B8E32492F1BC}"/>
            </a:ext>
          </a:extLst>
        </xdr:cNvPr>
        <xdr:cNvSpPr txBox="1"/>
      </xdr:nvSpPr>
      <xdr:spPr>
        <a:xfrm>
          <a:off x="111511" y="10798098"/>
          <a:ext cx="10348100" cy="1598341"/>
        </a:xfrm>
        <a:prstGeom prst="rect">
          <a:avLst/>
        </a:prstGeom>
        <a:solidFill>
          <a:srgbClr val="F4EFD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1" u="sng" kern="1200">
              <a:solidFill>
                <a:srgbClr val="FF0000"/>
              </a:solidFill>
            </a:rPr>
            <a:t>Conclusion</a:t>
          </a:r>
        </a:p>
        <a:p>
          <a:pPr algn="l"/>
          <a:r>
            <a:rPr lang="en-IN" sz="1400" b="1" kern="1200"/>
            <a:t>The company shows stable profitability, with strong shareholder returns and efficient asset utilization, though a dip in Operating Profit Margin in Mar-20 highlights the need for cost control. Liquidity is a concern, with a declining Current Ratio and low Quick Ratio, requiring better working capital management.Low Debt-to-Equity and improving Interest Coverage Ratio reflect minimal financial risk. Efficiency metrics like Receivables Turnover are improving, showing better operational efficiency. Overall, the company is financially stable but should address liquidity and margin sustainability for long-term growth.</a:t>
          </a:r>
        </a:p>
      </xdr:txBody>
    </xdr:sp>
    <xdr:clientData/>
  </xdr:twoCellAnchor>
  <xdr:twoCellAnchor>
    <xdr:from>
      <xdr:col>1</xdr:col>
      <xdr:colOff>0</xdr:colOff>
      <xdr:row>81</xdr:row>
      <xdr:rowOff>120316</xdr:rowOff>
    </xdr:from>
    <xdr:to>
      <xdr:col>14</xdr:col>
      <xdr:colOff>88232</xdr:colOff>
      <xdr:row>94</xdr:row>
      <xdr:rowOff>88231</xdr:rowOff>
    </xdr:to>
    <xdr:sp macro="" textlink="">
      <xdr:nvSpPr>
        <xdr:cNvPr id="4" name="TextBox 3">
          <a:extLst>
            <a:ext uri="{FF2B5EF4-FFF2-40B4-BE49-F238E27FC236}">
              <a16:creationId xmlns:a16="http://schemas.microsoft.com/office/drawing/2014/main" id="{10DFBF9A-0B01-6A4E-4ACA-3118A69CDBC0}"/>
            </a:ext>
          </a:extLst>
        </xdr:cNvPr>
        <xdr:cNvSpPr txBox="1"/>
      </xdr:nvSpPr>
      <xdr:spPr>
        <a:xfrm>
          <a:off x="128337" y="16138358"/>
          <a:ext cx="11871158" cy="2366210"/>
        </a:xfrm>
        <a:prstGeom prst="rect">
          <a:avLst/>
        </a:prstGeom>
        <a:solidFill>
          <a:srgbClr val="F4EFD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1" u="sng">
              <a:solidFill>
                <a:srgbClr val="FF0000"/>
              </a:solidFill>
            </a:rPr>
            <a:t>CONCLUSION</a:t>
          </a:r>
          <a:r>
            <a:rPr lang="en-IN" sz="1200" b="1" i="1" u="sng" baseline="0">
              <a:solidFill>
                <a:srgbClr val="FF0000"/>
              </a:solidFill>
            </a:rPr>
            <a:t> &amp; </a:t>
          </a:r>
          <a:r>
            <a:rPr lang="en-IN" sz="1200" b="1" i="1" u="sng">
              <a:solidFill>
                <a:srgbClr val="FF0000"/>
              </a:solidFill>
            </a:rPr>
            <a:t>RECOMMENDATIONS</a:t>
          </a:r>
        </a:p>
        <a:p>
          <a:r>
            <a:rPr lang="en-IN" sz="1200" b="1"/>
            <a:t>Strengths:</a:t>
          </a:r>
        </a:p>
        <a:p>
          <a:pPr>
            <a:buFont typeface="Arial" panose="020B0604020202020204" pitchFamily="34" charset="0"/>
            <a:buChar char="•"/>
          </a:pPr>
          <a:r>
            <a:rPr lang="en-IN" sz="1200"/>
            <a:t>Strong financial stability with low debt and high interest coverage.</a:t>
          </a:r>
        </a:p>
        <a:p>
          <a:pPr>
            <a:buFont typeface="Arial" panose="020B0604020202020204" pitchFamily="34" charset="0"/>
            <a:buChar char="•"/>
          </a:pPr>
          <a:r>
            <a:rPr lang="en-IN" sz="1200"/>
            <a:t>Competitive asset turnover and stable profitability ratios.</a:t>
          </a:r>
        </a:p>
        <a:p>
          <a:r>
            <a:rPr lang="en-IN" sz="1200" b="1"/>
            <a:t>Improvement Areas:</a:t>
          </a:r>
        </a:p>
        <a:p>
          <a:pPr>
            <a:buFont typeface="Arial" panose="020B0604020202020204" pitchFamily="34" charset="0"/>
            <a:buChar char="•"/>
          </a:pPr>
          <a:r>
            <a:rPr lang="en-IN" sz="1200"/>
            <a:t>Enhancing profitability to match TCS and Infosys.</a:t>
          </a:r>
        </a:p>
        <a:p>
          <a:pPr>
            <a:buFont typeface="Arial" panose="020B0604020202020204" pitchFamily="34" charset="0"/>
            <a:buChar char="•"/>
          </a:pPr>
          <a:r>
            <a:rPr lang="en-IN" sz="1200"/>
            <a:t>Improving receivables turnover and reducing debtor days to align with industry standards.</a:t>
          </a:r>
        </a:p>
        <a:p>
          <a:pPr>
            <a:buFont typeface="Arial" panose="020B0604020202020204" pitchFamily="34" charset="0"/>
            <a:buChar char="•"/>
          </a:pPr>
          <a:r>
            <a:rPr lang="en-IN" sz="1200"/>
            <a:t>Strengthening quick liquidity by focusing on cash-based assets.</a:t>
          </a:r>
        </a:p>
        <a:p>
          <a:r>
            <a:rPr lang="en-IN" sz="1200" b="1">
              <a:solidFill>
                <a:srgbClr val="00B050"/>
              </a:solidFill>
            </a:rPr>
            <a:t>Overall, Tech Mahindra is a reliable performer with consistent metrics, but targeted improvements in profitability and operational efficiency could elevate it to match the industry’s top performers</a:t>
          </a:r>
          <a:r>
            <a:rPr lang="en-IN" sz="1200"/>
            <a:t>.</a:t>
          </a:r>
        </a:p>
        <a:p>
          <a:endParaRPr lang="en-IN" sz="1100" kern="12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nual" displayName="Annual" ref="A3:N19" headerRowCount="0" totalsRowShown="0" headerRowDxfId="30">
  <tableColumns count="14">
    <tableColumn id="1" xr3:uid="{00000000-0010-0000-0000-000001000000}" name="Column1" headerRowDxfId="29" dataDxfId="28"/>
    <tableColumn id="2" xr3:uid="{00000000-0010-0000-0000-000002000000}" name="Column2" headerRowDxfId="27"/>
    <tableColumn id="3" xr3:uid="{00000000-0010-0000-0000-000003000000}" name="Column3" headerRowDxfId="26"/>
    <tableColumn id="4" xr3:uid="{00000000-0010-0000-0000-000004000000}" name="Column4" headerRowDxfId="25"/>
    <tableColumn id="5" xr3:uid="{00000000-0010-0000-0000-000005000000}" name="Column5" headerRowDxfId="24"/>
    <tableColumn id="6" xr3:uid="{00000000-0010-0000-0000-000006000000}" name="Column6" headerRowDxfId="23"/>
    <tableColumn id="7" xr3:uid="{00000000-0010-0000-0000-000007000000}" name="Column7" headerRowDxfId="22"/>
    <tableColumn id="8" xr3:uid="{00000000-0010-0000-0000-000008000000}" name="Column8" headerRowDxfId="21"/>
    <tableColumn id="9" xr3:uid="{00000000-0010-0000-0000-000009000000}" name="Column9" headerRowDxfId="20"/>
    <tableColumn id="10" xr3:uid="{00000000-0010-0000-0000-00000A000000}" name="Column10" headerRowDxfId="19"/>
    <tableColumn id="11" xr3:uid="{00000000-0010-0000-0000-00000B000000}" name="Column11" headerRowDxfId="18"/>
    <tableColumn id="12" xr3:uid="{00000000-0010-0000-0000-00000C000000}" name="Column12" headerRowDxfId="17"/>
    <tableColumn id="13" xr3:uid="{00000000-0010-0000-0000-00000D000000}" name="Column13" headerRowDxfId="16" dataDxfId="15"/>
    <tableColumn id="14" xr3:uid="{00000000-0010-0000-0000-00000E000000}" name="Column14" headerRowDxfId="14" dataDxfId="13"/>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Quarters" displayName="Quarters" ref="A3:K14" headerRowCount="0" totalsRowShown="0" headerRowDxfId="12">
  <tableColumns count="11">
    <tableColumn id="1" xr3:uid="{00000000-0010-0000-0100-000001000000}" name="Column1" headerRowDxfId="11"/>
    <tableColumn id="2" xr3:uid="{00000000-0010-0000-0100-000002000000}" name="Column2" headerRowDxfId="10"/>
    <tableColumn id="3" xr3:uid="{00000000-0010-0000-0100-000003000000}" name="Column3" headerRowDxfId="9"/>
    <tableColumn id="4" xr3:uid="{00000000-0010-0000-0100-000004000000}" name="Column4" headerRowDxfId="8"/>
    <tableColumn id="5" xr3:uid="{00000000-0010-0000-0100-000005000000}" name="Column5" headerRowDxfId="7"/>
    <tableColumn id="6" xr3:uid="{00000000-0010-0000-0100-000006000000}" name="Column6" headerRowDxfId="6"/>
    <tableColumn id="7" xr3:uid="{00000000-0010-0000-0100-000007000000}" name="Column7" headerRowDxfId="5"/>
    <tableColumn id="8" xr3:uid="{00000000-0010-0000-0100-000008000000}" name="Column8" headerRowDxfId="4"/>
    <tableColumn id="9" xr3:uid="{00000000-0010-0000-0100-000009000000}" name="Column9" headerRowDxfId="3"/>
    <tableColumn id="10" xr3:uid="{00000000-0010-0000-0100-00000A000000}" name="Column10" headerRowDxfId="2"/>
    <tableColumn id="11" xr3:uid="{00000000-0010-0000-0100-00000B000000}" name="Column11" headerRowDxfId="1"/>
  </tableColumns>
  <tableStyleInfo name="TableStyleLight1"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www.screener.in/"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hyperlink" Target="http://www.screener.i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creener.i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screener.i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screener.in/exce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screener.in/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941F1-0555-4CDE-8910-F22A496199A9}">
  <sheetPr>
    <tabColor rgb="FFFF0000"/>
  </sheetPr>
  <dimension ref="A2:N82"/>
  <sheetViews>
    <sheetView showGridLines="0" tabSelected="1" topLeftCell="A21" zoomScale="79" zoomScaleNormal="95" workbookViewId="0">
      <selection activeCell="D97" sqref="D97"/>
    </sheetView>
  </sheetViews>
  <sheetFormatPr defaultRowHeight="14.4" x14ac:dyDescent="0.3"/>
  <cols>
    <col min="1" max="1" width="1.88671875" customWidth="1"/>
    <col min="2" max="2" width="33.33203125" bestFit="1" customWidth="1"/>
    <col min="3" max="3" width="20" bestFit="1" customWidth="1"/>
    <col min="4" max="4" width="14.77734375" bestFit="1" customWidth="1"/>
    <col min="5" max="6" width="14.6640625" bestFit="1" customWidth="1"/>
    <col min="7" max="7" width="9.21875" bestFit="1" customWidth="1"/>
    <col min="8" max="9" width="10.44140625" bestFit="1" customWidth="1"/>
  </cols>
  <sheetData>
    <row r="2" spans="1:14" ht="25.8" customHeight="1" x14ac:dyDescent="0.3">
      <c r="B2" s="60" t="s">
        <v>63</v>
      </c>
      <c r="C2" s="60"/>
      <c r="D2" s="60"/>
      <c r="E2" s="60"/>
      <c r="F2" s="60"/>
      <c r="G2" s="60"/>
      <c r="H2" s="60"/>
      <c r="I2" s="60"/>
      <c r="J2" s="60"/>
      <c r="K2" s="60"/>
      <c r="L2" s="60"/>
      <c r="M2" s="60"/>
      <c r="N2" s="60"/>
    </row>
    <row r="3" spans="1:14" ht="14.4" customHeight="1" x14ac:dyDescent="0.3">
      <c r="B3" s="60"/>
      <c r="C3" s="60"/>
      <c r="D3" s="60"/>
      <c r="E3" s="60"/>
      <c r="F3" s="60"/>
      <c r="G3" s="60"/>
      <c r="H3" s="60"/>
      <c r="I3" s="60"/>
      <c r="J3" s="60"/>
      <c r="K3" s="60"/>
      <c r="L3" s="60"/>
      <c r="M3" s="60"/>
      <c r="N3" s="60"/>
    </row>
    <row r="4" spans="1:14" ht="14.4" customHeight="1" x14ac:dyDescent="0.3">
      <c r="B4" s="61" t="s">
        <v>93</v>
      </c>
      <c r="C4" s="61"/>
      <c r="D4" s="61"/>
      <c r="E4" s="61"/>
      <c r="F4" s="61"/>
      <c r="G4" s="61"/>
      <c r="H4" s="61"/>
      <c r="I4" s="61"/>
      <c r="J4" s="61"/>
      <c r="K4" s="61"/>
      <c r="L4" s="61"/>
      <c r="M4" s="61"/>
      <c r="N4" s="61"/>
    </row>
    <row r="5" spans="1:14" ht="14.4" customHeight="1" x14ac:dyDescent="0.3">
      <c r="B5" s="61"/>
      <c r="C5" s="61"/>
      <c r="D5" s="61"/>
      <c r="E5" s="61"/>
      <c r="F5" s="61"/>
      <c r="G5" s="61"/>
      <c r="H5" s="61"/>
      <c r="I5" s="61"/>
      <c r="J5" s="61"/>
      <c r="K5" s="61"/>
      <c r="L5" s="61"/>
      <c r="M5" s="61"/>
      <c r="N5" s="61"/>
    </row>
    <row r="6" spans="1:14" x14ac:dyDescent="0.3">
      <c r="B6" s="20"/>
      <c r="C6" s="25"/>
    </row>
    <row r="7" spans="1:14" ht="18" x14ac:dyDescent="0.35">
      <c r="A7" s="35"/>
      <c r="B7" s="34" t="s">
        <v>109</v>
      </c>
      <c r="C7" s="28"/>
      <c r="D7" s="27"/>
      <c r="E7" s="33">
        <v>42064</v>
      </c>
      <c r="F7" s="46">
        <v>42430</v>
      </c>
      <c r="G7" s="46">
        <v>42795</v>
      </c>
      <c r="H7" s="33">
        <v>43160</v>
      </c>
      <c r="I7" s="33">
        <v>43525</v>
      </c>
      <c r="J7" s="33"/>
      <c r="K7" s="29"/>
      <c r="L7" s="29"/>
      <c r="M7" s="29"/>
      <c r="N7" s="27"/>
    </row>
    <row r="8" spans="1:14" x14ac:dyDescent="0.3">
      <c r="B8" s="20"/>
      <c r="C8" s="25"/>
      <c r="F8" s="25"/>
    </row>
    <row r="9" spans="1:14" ht="21" x14ac:dyDescent="0.4">
      <c r="B9" s="32" t="s">
        <v>94</v>
      </c>
      <c r="C9" s="25"/>
    </row>
    <row r="10" spans="1:14" ht="18" x14ac:dyDescent="0.35">
      <c r="B10" s="38" t="s">
        <v>95</v>
      </c>
      <c r="C10" s="39"/>
      <c r="D10" s="40"/>
      <c r="E10" s="41">
        <f>('Profit &amp; Loss'!B6/'Profit &amp; Loss'!B4)</f>
        <v>0.18535627925892836</v>
      </c>
      <c r="F10" s="47">
        <f>('Profit &amp; Loss'!C6/'Profit &amp; Loss'!C4)</f>
        <v>0.16077858550173249</v>
      </c>
      <c r="G10" s="41">
        <f>('Profit &amp; Loss'!D6/'Profit &amp; Loss'!D4)</f>
        <v>0.14359248888156817</v>
      </c>
      <c r="H10" s="41">
        <f>('Profit &amp; Loss'!E6/'Profit &amp; Loss'!E4)</f>
        <v>0.15304374953286826</v>
      </c>
      <c r="I10" s="41">
        <f>('Profit &amp; Loss'!F6/'Profit &amp; Loss'!F4)</f>
        <v>0.18051297992925006</v>
      </c>
      <c r="J10" s="41"/>
      <c r="K10" s="26"/>
      <c r="L10" s="26"/>
      <c r="M10" s="26"/>
    </row>
    <row r="11" spans="1:14" ht="18" x14ac:dyDescent="0.35">
      <c r="B11" s="38" t="s">
        <v>96</v>
      </c>
      <c r="C11" s="39"/>
      <c r="D11" s="40"/>
      <c r="E11" s="41">
        <f>('Profit &amp; Loss'!B12/'Profit &amp; Loss'!B4)</f>
        <v>0.1161604328663693</v>
      </c>
      <c r="F11" s="47">
        <f>('Profit &amp; Loss'!C12/'Profit &amp; Loss'!C4)</f>
        <v>0.11296434691366412</v>
      </c>
      <c r="G11" s="41">
        <f>('Profit &amp; Loss'!D12/'Profit &amp; Loss'!D4)</f>
        <v>9.6527892164937137E-2</v>
      </c>
      <c r="H11" s="41">
        <f>('Profit &amp; Loss'!E12/'Profit &amp; Loss'!E4)</f>
        <v>0.12347877515606263</v>
      </c>
      <c r="I11" s="41">
        <f>('Profit &amp; Loss'!F12/'Profit &amp; Loss'!F4)</f>
        <v>0.1237000641872541</v>
      </c>
      <c r="J11" s="41"/>
      <c r="K11" s="26"/>
      <c r="L11" s="26"/>
      <c r="M11" s="26"/>
    </row>
    <row r="12" spans="1:14" ht="18" x14ac:dyDescent="0.35">
      <c r="B12" s="38" t="s">
        <v>97</v>
      </c>
      <c r="C12" s="39"/>
      <c r="D12" s="40"/>
      <c r="E12" s="42">
        <f>('Profit &amp; Loss'!B12/'Balance Sheet'!B14)</f>
        <v>0.13239050589225165</v>
      </c>
      <c r="F12" s="48">
        <f>('Profit &amp; Loss'!C12/'Balance Sheet'!C14)</f>
        <v>0.13287191394335995</v>
      </c>
      <c r="G12" s="42">
        <f>('Profit &amp; Loss'!D12/'Balance Sheet'!D14)</f>
        <v>0.10795179798134859</v>
      </c>
      <c r="H12" s="42">
        <f>('Profit &amp; Loss'!E12/'Balance Sheet'!E14)</f>
        <v>0.12486444922021334</v>
      </c>
      <c r="I12" s="42">
        <f>('Profit &amp; Loss'!F12/'Balance Sheet'!F14)</f>
        <v>0.12849445969299583</v>
      </c>
      <c r="J12" s="40"/>
    </row>
    <row r="13" spans="1:14" ht="18" x14ac:dyDescent="0.35">
      <c r="B13" s="38" t="s">
        <v>98</v>
      </c>
      <c r="C13" s="39"/>
      <c r="D13" s="40"/>
      <c r="E13" s="43">
        <v>0.21452538595302434</v>
      </c>
      <c r="F13" s="49">
        <v>0.20512100007538947</v>
      </c>
      <c r="G13" s="43">
        <v>0.17113011948507045</v>
      </c>
      <c r="H13" s="43">
        <v>0.20165792769652072</v>
      </c>
      <c r="I13" s="43">
        <v>0.21186724773717733</v>
      </c>
      <c r="J13" s="42"/>
      <c r="K13" s="31"/>
      <c r="L13" s="31"/>
      <c r="M13" s="31"/>
      <c r="N13" s="31"/>
    </row>
    <row r="14" spans="1:14" ht="14.4" customHeight="1" x14ac:dyDescent="0.3">
      <c r="B14" s="20"/>
      <c r="C14" s="25"/>
      <c r="F14" s="25"/>
    </row>
    <row r="15" spans="1:14" ht="21" x14ac:dyDescent="0.4">
      <c r="B15" s="32" t="s">
        <v>99</v>
      </c>
      <c r="C15" s="25"/>
      <c r="F15" s="25"/>
    </row>
    <row r="16" spans="1:14" ht="18" x14ac:dyDescent="0.35">
      <c r="B16" s="38" t="s">
        <v>100</v>
      </c>
      <c r="C16" s="39"/>
      <c r="D16" s="40"/>
      <c r="E16" s="44">
        <f>('Balance Sheet'!B13/'Balance Sheet'!B7)</f>
        <v>1.9052774999637634</v>
      </c>
      <c r="F16" s="50">
        <f>('Balance Sheet'!C13/'Balance Sheet'!C7)</f>
        <v>2.38040889096728</v>
      </c>
      <c r="G16" s="44">
        <f>('Balance Sheet'!D13/'Balance Sheet'!D7)</f>
        <v>2.0389284675777843</v>
      </c>
      <c r="H16" s="44">
        <f>('Balance Sheet'!E13/'Balance Sheet'!E7)</f>
        <v>1.9286771105308966</v>
      </c>
      <c r="I16" s="44">
        <f>('Balance Sheet'!F13/'Balance Sheet'!F7)</f>
        <v>1.6806885248837982</v>
      </c>
    </row>
    <row r="17" spans="1:14" ht="18" x14ac:dyDescent="0.35">
      <c r="B17" s="38" t="s">
        <v>101</v>
      </c>
      <c r="C17" s="39"/>
      <c r="D17" s="40"/>
      <c r="E17" s="51">
        <f>('Data Sheet'!E69+'Data Sheet'!E67)/'Balance Sheet'!B8</f>
        <v>0.48076138270161889</v>
      </c>
      <c r="F17" s="51">
        <f>('Data Sheet'!F69+'Data Sheet'!F67)/'Balance Sheet'!C8</f>
        <v>0.41364812849893667</v>
      </c>
      <c r="G17" s="51">
        <f>('Data Sheet'!G69+'Data Sheet'!G67)/'Balance Sheet'!D8</f>
        <v>0.4116168400046053</v>
      </c>
      <c r="H17" s="51">
        <f>('Data Sheet'!H69+'Data Sheet'!H67)/'Balance Sheet'!E8</f>
        <v>0.3899557693697957</v>
      </c>
      <c r="I17" s="51">
        <f>('Data Sheet'!I69+'Data Sheet'!I67)/'Balance Sheet'!F8</f>
        <v>0.47563221690017876</v>
      </c>
      <c r="J17" s="30"/>
      <c r="K17" s="30"/>
      <c r="L17" s="30"/>
      <c r="M17" s="30">
        <f>('Data Sheet'!M69+'Data Sheet'!M67)/'Balance Sheet'!J8</f>
        <v>0</v>
      </c>
    </row>
    <row r="18" spans="1:14" ht="18" x14ac:dyDescent="0.35">
      <c r="B18" s="38"/>
      <c r="C18" s="39"/>
      <c r="D18" s="40"/>
      <c r="E18" s="40"/>
      <c r="F18" s="40"/>
      <c r="G18" s="40"/>
      <c r="H18" s="40"/>
      <c r="I18" s="40"/>
    </row>
    <row r="19" spans="1:14" ht="21" x14ac:dyDescent="0.4">
      <c r="B19" s="32" t="s">
        <v>102</v>
      </c>
      <c r="C19" s="25"/>
    </row>
    <row r="20" spans="1:14" ht="18" x14ac:dyDescent="0.35">
      <c r="B20" s="38" t="s">
        <v>103</v>
      </c>
      <c r="C20" s="39"/>
      <c r="D20" s="40"/>
      <c r="E20" s="44">
        <f>'Balance Sheet'!B6/('Balance Sheet'!B4+'Balance Sheet'!B5)</f>
        <v>5.7156152797394055E-2</v>
      </c>
      <c r="F20" s="50">
        <f>'Balance Sheet'!C6/('Balance Sheet'!C4+'Balance Sheet'!C5)</f>
        <v>7.4765778670267097E-2</v>
      </c>
      <c r="G20" s="44">
        <f>'Balance Sheet'!D6/('Balance Sheet'!D4+'Balance Sheet'!D5)</f>
        <v>8.3116345849658088E-2</v>
      </c>
      <c r="H20" s="44">
        <f>'Balance Sheet'!E6/('Balance Sheet'!E4+'Balance Sheet'!E5)</f>
        <v>0.12718916509223682</v>
      </c>
      <c r="I20" s="44">
        <f>'Balance Sheet'!F6/('Balance Sheet'!F4+'Balance Sheet'!F5)</f>
        <v>9.8376091972155938E-2</v>
      </c>
    </row>
    <row r="21" spans="1:14" ht="18" x14ac:dyDescent="0.35">
      <c r="B21" s="38" t="s">
        <v>104</v>
      </c>
      <c r="C21" s="39"/>
      <c r="D21" s="40"/>
      <c r="E21" s="44">
        <f>('Profit &amp; Loss'!B10+'Profit &amp; Loss'!B9)/'Profit &amp; Loss'!B9</f>
        <v>53.360347322720699</v>
      </c>
      <c r="F21" s="50">
        <f>('Profit &amp; Loss'!C10+'Profit &amp; Loss'!C9)/'Profit &amp; Loss'!C9</f>
        <v>40.759793814432989</v>
      </c>
      <c r="G21" s="44">
        <f>('Profit &amp; Loss'!D10+'Profit &amp; Loss'!D9)/'Profit &amp; Loss'!D9</f>
        <v>30.961119751166407</v>
      </c>
      <c r="H21" s="44">
        <f>('Profit &amp; Loss'!E10+'Profit &amp; Loss'!E9)/'Profit &amp; Loss'!E9</f>
        <v>31.041871921182263</v>
      </c>
      <c r="I21" s="44">
        <f>('Profit &amp; Loss'!F10+'Profit &amp; Loss'!F9)/'Profit &amp; Loss'!F9</f>
        <v>42.615615615615617</v>
      </c>
    </row>
    <row r="22" spans="1:14" ht="18" x14ac:dyDescent="0.35">
      <c r="B22" s="38"/>
      <c r="C22" s="39"/>
      <c r="D22" s="40"/>
      <c r="E22" s="40"/>
      <c r="F22" s="40"/>
      <c r="G22" s="40"/>
      <c r="H22" s="40"/>
      <c r="I22" s="40"/>
    </row>
    <row r="23" spans="1:14" ht="21" x14ac:dyDescent="0.4">
      <c r="B23" s="32" t="s">
        <v>105</v>
      </c>
      <c r="C23" s="25"/>
    </row>
    <row r="24" spans="1:14" ht="18" x14ac:dyDescent="0.35">
      <c r="A24" s="2"/>
      <c r="B24" s="38" t="s">
        <v>106</v>
      </c>
      <c r="C24" s="39"/>
      <c r="D24" s="40"/>
      <c r="E24" s="44">
        <f>'Profit &amp; Loss'!B4/(('Balance Sheet'!B14+'Balance Sheet'!B17)/2)</f>
        <v>1.8058034645166441</v>
      </c>
      <c r="F24" s="50">
        <f>'Profit &amp; Loss'!C4/(('Balance Sheet'!C14+'Balance Sheet'!C17)/2)</f>
        <v>1.8726992564109814</v>
      </c>
      <c r="G24" s="44">
        <f>'Profit &amp; Loss'!D4/(('Balance Sheet'!D14+'Balance Sheet'!D17)/2)</f>
        <v>1.8564152548041548</v>
      </c>
      <c r="H24" s="44">
        <f>'Profit &amp; Loss'!E4/(('Balance Sheet'!E14+'Balance Sheet'!E17)/2)</f>
        <v>1.6665845277327216</v>
      </c>
      <c r="I24" s="44">
        <f>'Profit &amp; Loss'!F4/(('Balance Sheet'!F14+'Balance Sheet'!F17)/2)</f>
        <v>1.7197186445040638</v>
      </c>
    </row>
    <row r="25" spans="1:14" ht="18" x14ac:dyDescent="0.35">
      <c r="A25" s="2"/>
      <c r="B25" s="38" t="s">
        <v>107</v>
      </c>
      <c r="C25" s="39"/>
      <c r="D25" s="40"/>
      <c r="E25" s="44">
        <f>'Profit &amp; Loss'!B4/'Balance Sheet'!B17</f>
        <v>4.3453197333794353</v>
      </c>
      <c r="F25" s="50">
        <f>'Profit &amp; Loss'!C4/'Balance Sheet'!C17</f>
        <v>4.5913179100597867</v>
      </c>
      <c r="G25" s="44">
        <f>'Profit &amp; Loss'!D4/'Balance Sheet'!D17</f>
        <v>5.459430091612492</v>
      </c>
      <c r="H25" s="44">
        <f>'Profit &amp; Loss'!E4/'Balance Sheet'!E17</f>
        <v>4.7358223426029955</v>
      </c>
      <c r="I25" s="44">
        <f>'Profit &amp; Loss'!F4/'Balance Sheet'!F17</f>
        <v>4.9926853102635587</v>
      </c>
    </row>
    <row r="26" spans="1:14" ht="12.6" customHeight="1" x14ac:dyDescent="0.3">
      <c r="B26" s="20"/>
      <c r="C26" s="25"/>
    </row>
    <row r="27" spans="1:14" ht="9.6" hidden="1" customHeight="1" x14ac:dyDescent="0.45">
      <c r="B27" s="45" t="s">
        <v>110</v>
      </c>
      <c r="C27" s="45"/>
      <c r="D27" s="45"/>
      <c r="E27" s="45"/>
      <c r="F27" s="45"/>
      <c r="G27" s="45"/>
      <c r="H27" s="45"/>
      <c r="I27" s="45"/>
      <c r="J27" s="45"/>
      <c r="K27" s="45"/>
      <c r="L27" s="45"/>
      <c r="M27" s="45"/>
      <c r="N27" s="45"/>
    </row>
    <row r="28" spans="1:14" ht="23.4" customHeight="1" x14ac:dyDescent="0.45">
      <c r="B28" s="45"/>
      <c r="C28" s="45"/>
      <c r="D28" s="45"/>
      <c r="E28" s="45" t="s">
        <v>110</v>
      </c>
      <c r="F28" s="45"/>
      <c r="G28" s="45"/>
      <c r="H28" s="45"/>
      <c r="I28" s="45"/>
      <c r="J28" s="45"/>
      <c r="K28" s="45"/>
      <c r="L28" s="45"/>
      <c r="M28" s="45"/>
      <c r="N28" s="45"/>
    </row>
    <row r="29" spans="1:14" x14ac:dyDescent="0.3">
      <c r="B29" s="20"/>
      <c r="C29" s="20"/>
      <c r="D29" s="20"/>
      <c r="E29" s="20"/>
      <c r="F29" s="20"/>
      <c r="G29" s="20"/>
      <c r="H29" s="20"/>
      <c r="I29" s="20"/>
      <c r="J29" s="20"/>
      <c r="K29" s="20"/>
      <c r="L29" s="20"/>
      <c r="M29" s="20"/>
      <c r="N29" s="20"/>
    </row>
    <row r="63" spans="2:14" ht="14.4" customHeight="1" x14ac:dyDescent="0.3">
      <c r="B63" s="59" t="s">
        <v>114</v>
      </c>
      <c r="C63" s="59"/>
      <c r="D63" s="59"/>
      <c r="E63" s="59"/>
      <c r="F63" s="59"/>
      <c r="G63" s="59"/>
      <c r="H63" s="59"/>
      <c r="I63" s="59"/>
      <c r="J63" s="59"/>
      <c r="K63" s="59"/>
      <c r="L63" s="59"/>
      <c r="M63" s="59"/>
      <c r="N63" s="59"/>
    </row>
    <row r="64" spans="2:14" ht="14.4" customHeight="1" x14ac:dyDescent="0.3">
      <c r="B64" s="59"/>
      <c r="C64" s="59"/>
      <c r="D64" s="59"/>
      <c r="E64" s="59"/>
      <c r="F64" s="59"/>
      <c r="G64" s="59"/>
      <c r="H64" s="59"/>
      <c r="I64" s="59"/>
      <c r="J64" s="59"/>
      <c r="K64" s="59"/>
      <c r="L64" s="59"/>
      <c r="M64" s="59"/>
      <c r="N64" s="59"/>
    </row>
    <row r="65" spans="1:14" ht="14.4" customHeight="1" x14ac:dyDescent="0.3"/>
    <row r="66" spans="1:14" ht="21" x14ac:dyDescent="0.4">
      <c r="A66" s="37"/>
      <c r="B66" s="56" t="s">
        <v>115</v>
      </c>
      <c r="C66" s="56" t="s">
        <v>116</v>
      </c>
      <c r="D66" s="57" t="s">
        <v>111</v>
      </c>
      <c r="E66" s="57" t="s">
        <v>112</v>
      </c>
      <c r="F66" s="57" t="s">
        <v>113</v>
      </c>
      <c r="G66" s="56"/>
      <c r="H66" s="36"/>
      <c r="I66" s="36"/>
      <c r="J66" s="36"/>
      <c r="K66" s="36"/>
      <c r="L66" s="36"/>
      <c r="M66" s="36"/>
      <c r="N66" s="36"/>
    </row>
    <row r="67" spans="1:14" x14ac:dyDescent="0.3">
      <c r="B67" s="58" t="s">
        <v>117</v>
      </c>
    </row>
    <row r="68" spans="1:14" x14ac:dyDescent="0.3">
      <c r="B68" s="53" t="s">
        <v>118</v>
      </c>
      <c r="C68" s="52" t="s">
        <v>119</v>
      </c>
      <c r="D68" s="52" t="s">
        <v>120</v>
      </c>
      <c r="E68" s="54" t="s">
        <v>121</v>
      </c>
      <c r="F68" s="54" t="s">
        <v>122</v>
      </c>
    </row>
    <row r="69" spans="1:14" x14ac:dyDescent="0.3">
      <c r="B69" s="53" t="s">
        <v>123</v>
      </c>
      <c r="C69" s="52" t="s">
        <v>124</v>
      </c>
      <c r="D69" s="55">
        <v>0.18479999999999999</v>
      </c>
      <c r="E69" s="55">
        <v>0.1613</v>
      </c>
      <c r="F69" s="54" t="s">
        <v>125</v>
      </c>
    </row>
    <row r="70" spans="1:14" x14ac:dyDescent="0.3">
      <c r="B70" s="53" t="s">
        <v>126</v>
      </c>
      <c r="C70" s="52" t="s">
        <v>127</v>
      </c>
      <c r="D70" s="52" t="s">
        <v>128</v>
      </c>
      <c r="E70" s="52" t="s">
        <v>128</v>
      </c>
      <c r="F70" s="54" t="s">
        <v>128</v>
      </c>
    </row>
    <row r="71" spans="1:14" x14ac:dyDescent="0.3">
      <c r="B71" s="53" t="s">
        <v>129</v>
      </c>
      <c r="C71" s="52" t="s">
        <v>130</v>
      </c>
      <c r="D71" s="52" t="s">
        <v>128</v>
      </c>
      <c r="E71" s="52" t="s">
        <v>128</v>
      </c>
      <c r="F71" s="54" t="s">
        <v>128</v>
      </c>
    </row>
    <row r="72" spans="1:14" x14ac:dyDescent="0.3">
      <c r="B72" s="58" t="s">
        <v>131</v>
      </c>
      <c r="C72" s="52"/>
      <c r="D72" s="52"/>
      <c r="E72" s="52"/>
      <c r="F72" s="52"/>
    </row>
    <row r="73" spans="1:14" x14ac:dyDescent="0.3">
      <c r="B73" s="53" t="s">
        <v>132</v>
      </c>
      <c r="C73" s="52" t="s">
        <v>133</v>
      </c>
      <c r="D73" s="54" t="s">
        <v>134</v>
      </c>
      <c r="E73" s="54">
        <v>2.62</v>
      </c>
      <c r="F73" s="54" t="s">
        <v>135</v>
      </c>
    </row>
    <row r="74" spans="1:14" x14ac:dyDescent="0.3">
      <c r="B74" s="53" t="s">
        <v>136</v>
      </c>
      <c r="C74" s="52" t="s">
        <v>137</v>
      </c>
      <c r="D74" s="52" t="s">
        <v>128</v>
      </c>
      <c r="E74" s="52" t="s">
        <v>128</v>
      </c>
      <c r="F74" s="54" t="s">
        <v>128</v>
      </c>
    </row>
    <row r="75" spans="1:14" x14ac:dyDescent="0.3">
      <c r="B75" s="58" t="s">
        <v>138</v>
      </c>
      <c r="C75" s="52"/>
      <c r="D75" s="52"/>
      <c r="E75" s="52"/>
      <c r="F75" s="52"/>
    </row>
    <row r="76" spans="1:14" x14ac:dyDescent="0.3">
      <c r="B76" s="53" t="s">
        <v>139</v>
      </c>
      <c r="C76" s="52" t="s">
        <v>140</v>
      </c>
      <c r="D76" s="54" t="s">
        <v>141</v>
      </c>
      <c r="E76" s="54" t="s">
        <v>141</v>
      </c>
      <c r="F76" s="54" t="s">
        <v>142</v>
      </c>
    </row>
    <row r="77" spans="1:14" x14ac:dyDescent="0.3">
      <c r="B77" s="53" t="s">
        <v>143</v>
      </c>
      <c r="C77" s="52" t="s">
        <v>144</v>
      </c>
      <c r="D77" s="54" t="s">
        <v>145</v>
      </c>
      <c r="E77" s="54" t="s">
        <v>145</v>
      </c>
      <c r="F77" s="54" t="s">
        <v>146</v>
      </c>
    </row>
    <row r="78" spans="1:14" x14ac:dyDescent="0.3">
      <c r="B78" s="58" t="s">
        <v>147</v>
      </c>
      <c r="C78" s="52"/>
      <c r="D78" s="54"/>
      <c r="E78" s="52"/>
      <c r="F78" s="52"/>
    </row>
    <row r="79" spans="1:14" x14ac:dyDescent="0.3">
      <c r="B79" s="53" t="s">
        <v>148</v>
      </c>
      <c r="C79" s="52" t="s">
        <v>149</v>
      </c>
      <c r="D79" s="54" t="s">
        <v>150</v>
      </c>
      <c r="E79" s="54" t="s">
        <v>151</v>
      </c>
      <c r="F79" s="54" t="s">
        <v>152</v>
      </c>
    </row>
    <row r="80" spans="1:14" x14ac:dyDescent="0.3">
      <c r="B80" s="53" t="s">
        <v>153</v>
      </c>
      <c r="C80" s="52" t="s">
        <v>154</v>
      </c>
      <c r="D80" s="54" t="s">
        <v>155</v>
      </c>
      <c r="E80" s="54" t="s">
        <v>156</v>
      </c>
      <c r="F80" s="54" t="s">
        <v>157</v>
      </c>
    </row>
    <row r="81" spans="2:6" ht="14.4" customHeight="1" x14ac:dyDescent="0.3">
      <c r="B81" s="53"/>
      <c r="C81" s="52"/>
      <c r="D81" s="52"/>
      <c r="E81" s="52"/>
      <c r="F81" s="52"/>
    </row>
    <row r="82" spans="2:6" ht="14.4" customHeight="1" x14ac:dyDescent="0.3"/>
  </sheetData>
  <mergeCells count="3">
    <mergeCell ref="B63:N64"/>
    <mergeCell ref="B2:N3"/>
    <mergeCell ref="B4:N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27"/>
  <sheetViews>
    <sheetView zoomScale="75" zoomScaleNormal="120" zoomScaleSheetLayoutView="100" zoomScalePageLayoutView="120" workbookViewId="0">
      <pane xSplit="1" ySplit="4" topLeftCell="B5" activePane="bottomRight" state="frozen"/>
      <selection activeCell="I2" sqref="I2"/>
      <selection pane="topRight" activeCell="I2" sqref="I2"/>
      <selection pane="bottomLeft" activeCell="I2" sqref="I2"/>
      <selection pane="bottomRight" activeCell="C4" sqref="C4"/>
    </sheetView>
  </sheetViews>
  <sheetFormatPr defaultColWidth="8.77734375" defaultRowHeight="14.4" x14ac:dyDescent="0.3"/>
  <cols>
    <col min="1" max="1" width="20.6640625" customWidth="1"/>
    <col min="2" max="6" width="13.44140625" customWidth="1"/>
    <col min="7" max="7" width="14.77734375" bestFit="1" customWidth="1"/>
    <col min="8" max="11" width="13.44140625" customWidth="1"/>
    <col min="12" max="12" width="13.33203125" customWidth="1"/>
    <col min="13" max="14" width="12.109375" customWidth="1"/>
  </cols>
  <sheetData>
    <row r="1" spans="1:14" s="2" customFormat="1" x14ac:dyDescent="0.3">
      <c r="A1" s="2" t="str">
        <f>'Data Sheet'!B1</f>
        <v>TECH MAHINDRA LTD</v>
      </c>
      <c r="H1" t="str">
        <f>UPDATE</f>
        <v/>
      </c>
      <c r="J1" s="3"/>
      <c r="K1" s="3"/>
      <c r="M1" s="2" t="s">
        <v>1</v>
      </c>
    </row>
    <row r="3" spans="1:14" s="2" customFormat="1" x14ac:dyDescent="0.3">
      <c r="A3" s="11" t="s">
        <v>2</v>
      </c>
      <c r="B3" s="12">
        <f>'Data Sheet'!B16</f>
        <v>42094</v>
      </c>
      <c r="C3" s="12">
        <f>'Data Sheet'!C16</f>
        <v>42460</v>
      </c>
      <c r="D3" s="12">
        <f>'Data Sheet'!D16</f>
        <v>42825</v>
      </c>
      <c r="E3" s="12">
        <f>'Data Sheet'!E16</f>
        <v>43190</v>
      </c>
      <c r="F3" s="12">
        <f>'Data Sheet'!F16</f>
        <v>43555</v>
      </c>
      <c r="G3" s="12">
        <f>'Data Sheet'!G16</f>
        <v>43921</v>
      </c>
      <c r="H3" s="12">
        <f>'Data Sheet'!H16</f>
        <v>44286</v>
      </c>
      <c r="I3" s="12">
        <f>'Data Sheet'!I16</f>
        <v>44651</v>
      </c>
      <c r="J3" s="12">
        <f>'Data Sheet'!J16</f>
        <v>45016</v>
      </c>
      <c r="K3" s="12">
        <f>'Data Sheet'!K16</f>
        <v>45382</v>
      </c>
      <c r="L3" s="13" t="s">
        <v>3</v>
      </c>
      <c r="M3" s="13" t="s">
        <v>4</v>
      </c>
      <c r="N3" s="13" t="s">
        <v>5</v>
      </c>
    </row>
    <row r="4" spans="1:14" s="2" customFormat="1" x14ac:dyDescent="0.3">
      <c r="A4" s="2" t="s">
        <v>6</v>
      </c>
      <c r="B4" s="1">
        <f>'Data Sheet'!B17</f>
        <v>22621.3</v>
      </c>
      <c r="C4" s="1">
        <f>'Data Sheet'!C17</f>
        <v>26494.2</v>
      </c>
      <c r="D4" s="1">
        <f>'Data Sheet'!D17</f>
        <v>29140.799999999999</v>
      </c>
      <c r="E4" s="1">
        <f>'Data Sheet'!E17</f>
        <v>30772.9</v>
      </c>
      <c r="F4" s="1">
        <f>'Data Sheet'!F17</f>
        <v>34742.1</v>
      </c>
      <c r="G4" s="1">
        <f>'Data Sheet'!G17</f>
        <v>36867.699999999997</v>
      </c>
      <c r="H4" s="1">
        <f>'Data Sheet'!H17</f>
        <v>37855.1</v>
      </c>
      <c r="I4" s="1">
        <f>'Data Sheet'!I17</f>
        <v>44646</v>
      </c>
      <c r="J4" s="1">
        <f>'Data Sheet'!J17</f>
        <v>53290.2</v>
      </c>
      <c r="K4" s="1">
        <f>'Data Sheet'!K17</f>
        <v>51995.5</v>
      </c>
      <c r="L4" s="1">
        <f>SUM(Quarters!H4:K4)</f>
        <v>52291.3</v>
      </c>
      <c r="M4" s="1">
        <f>$K4+M23*K4</f>
        <v>57798.009118203816</v>
      </c>
      <c r="N4" s="1">
        <f>$K4+N23*L4</f>
        <v>52292.982792549359</v>
      </c>
    </row>
    <row r="5" spans="1:14" x14ac:dyDescent="0.3">
      <c r="A5" t="s">
        <v>7</v>
      </c>
      <c r="B5" s="6">
        <f>SUM('Data Sheet'!B18,'Data Sheet'!B20:B24, -1*'Data Sheet'!B19)</f>
        <v>18428.300000000003</v>
      </c>
      <c r="C5" s="6">
        <f>SUM('Data Sheet'!C18,'Data Sheet'!C20:C24, -1*'Data Sheet'!C19)</f>
        <v>22234.5</v>
      </c>
      <c r="D5" s="6">
        <f>SUM('Data Sheet'!D18,'Data Sheet'!D20:D24, -1*'Data Sheet'!D19)</f>
        <v>24956.399999999998</v>
      </c>
      <c r="E5" s="6">
        <f>SUM('Data Sheet'!E18,'Data Sheet'!E20:E24, -1*'Data Sheet'!E19)</f>
        <v>26063.3</v>
      </c>
      <c r="F5" s="6">
        <f>SUM('Data Sheet'!F18,'Data Sheet'!F20:F24, -1*'Data Sheet'!F19)</f>
        <v>28470.7</v>
      </c>
      <c r="G5" s="6">
        <f>SUM('Data Sheet'!G18,'Data Sheet'!G20:G24, -1*'Data Sheet'!G19)</f>
        <v>31364.6</v>
      </c>
      <c r="H5" s="6">
        <f>SUM('Data Sheet'!H18,'Data Sheet'!H20:H24, -1*'Data Sheet'!H19)</f>
        <v>31058.799999999999</v>
      </c>
      <c r="I5" s="6">
        <f>SUM('Data Sheet'!I18,'Data Sheet'!I20:I24, -1*'Data Sheet'!I19)</f>
        <v>36625.999999999993</v>
      </c>
      <c r="J5" s="6">
        <f>SUM('Data Sheet'!J18,'Data Sheet'!J20:J24, -1*'Data Sheet'!J19)</f>
        <v>45527.399999999994</v>
      </c>
      <c r="K5" s="6">
        <f>SUM('Data Sheet'!K18,'Data Sheet'!K20:K24, -1*'Data Sheet'!K19)</f>
        <v>47489.2</v>
      </c>
      <c r="L5" s="6">
        <f>SUM(Quarters!H5:K5)</f>
        <v>46731.1</v>
      </c>
      <c r="M5" s="6">
        <f t="shared" ref="M5:N5" si="0">M4-M6</f>
        <v>49976.650547600337</v>
      </c>
      <c r="N5" s="6">
        <f t="shared" si="0"/>
        <v>46732.603859091345</v>
      </c>
    </row>
    <row r="6" spans="1:14" s="2" customFormat="1" x14ac:dyDescent="0.3">
      <c r="A6" s="2" t="s">
        <v>8</v>
      </c>
      <c r="B6" s="1">
        <f>B4-B5</f>
        <v>4192.9999999999964</v>
      </c>
      <c r="C6" s="1">
        <f t="shared" ref="C6:K6" si="1">C4-C5</f>
        <v>4259.7000000000007</v>
      </c>
      <c r="D6" s="1">
        <f t="shared" si="1"/>
        <v>4184.4000000000015</v>
      </c>
      <c r="E6" s="1">
        <f t="shared" si="1"/>
        <v>4709.6000000000022</v>
      </c>
      <c r="F6" s="1">
        <f t="shared" si="1"/>
        <v>6271.3999999999978</v>
      </c>
      <c r="G6" s="1">
        <f t="shared" si="1"/>
        <v>5503.0999999999985</v>
      </c>
      <c r="H6" s="1">
        <f t="shared" si="1"/>
        <v>6796.2999999999993</v>
      </c>
      <c r="I6" s="1">
        <f t="shared" si="1"/>
        <v>8020.0000000000073</v>
      </c>
      <c r="J6" s="1">
        <f t="shared" si="1"/>
        <v>7762.8000000000029</v>
      </c>
      <c r="K6" s="1">
        <f t="shared" si="1"/>
        <v>4506.3000000000029</v>
      </c>
      <c r="L6" s="1">
        <f>SUM(Quarters!H6:K6)</f>
        <v>5560.2</v>
      </c>
      <c r="M6" s="1">
        <f>M4*M24</f>
        <v>7821.3585706034792</v>
      </c>
      <c r="N6" s="1">
        <f>N4*N24</f>
        <v>5560.3789334580115</v>
      </c>
    </row>
    <row r="7" spans="1:14" x14ac:dyDescent="0.3">
      <c r="A7" t="s">
        <v>9</v>
      </c>
      <c r="B7" s="6">
        <f>'Data Sheet'!B25</f>
        <v>105.6</v>
      </c>
      <c r="C7" s="6">
        <f>'Data Sheet'!C25</f>
        <v>452.9</v>
      </c>
      <c r="D7" s="6">
        <f>'Data Sheet'!D25</f>
        <v>775.3</v>
      </c>
      <c r="E7" s="6">
        <f>'Data Sheet'!E25</f>
        <v>1416.6</v>
      </c>
      <c r="F7" s="6">
        <f>'Data Sheet'!F25</f>
        <v>534.20000000000005</v>
      </c>
      <c r="G7" s="6">
        <f>'Data Sheet'!G25</f>
        <v>1192.4000000000001</v>
      </c>
      <c r="H7" s="6">
        <f>'Data Sheet'!H25</f>
        <v>788.3</v>
      </c>
      <c r="I7" s="6">
        <f>'Data Sheet'!I25</f>
        <v>1115.0999999999999</v>
      </c>
      <c r="J7" s="6">
        <f>'Data Sheet'!J25</f>
        <v>965</v>
      </c>
      <c r="K7" s="6">
        <f>'Data Sheet'!K25</f>
        <v>927.4</v>
      </c>
      <c r="L7" s="6">
        <f>SUM(Quarters!H7:K7)</f>
        <v>1141.5999999999999</v>
      </c>
      <c r="M7" s="6">
        <v>0</v>
      </c>
      <c r="N7" s="6">
        <v>0</v>
      </c>
    </row>
    <row r="8" spans="1:14" x14ac:dyDescent="0.3">
      <c r="A8" t="s">
        <v>10</v>
      </c>
      <c r="B8" s="6">
        <f>'Data Sheet'!B26</f>
        <v>611.4</v>
      </c>
      <c r="C8" s="6">
        <f>'Data Sheet'!C26</f>
        <v>758.9</v>
      </c>
      <c r="D8" s="6">
        <f>'Data Sheet'!D26</f>
        <v>978.1</v>
      </c>
      <c r="E8" s="6">
        <f>'Data Sheet'!E26</f>
        <v>1085</v>
      </c>
      <c r="F8" s="6">
        <f>'Data Sheet'!F26</f>
        <v>1129.2</v>
      </c>
      <c r="G8" s="6">
        <f>'Data Sheet'!G26</f>
        <v>1445.8</v>
      </c>
      <c r="H8" s="6">
        <f>'Data Sheet'!H26</f>
        <v>1457.7</v>
      </c>
      <c r="I8" s="6">
        <f>'Data Sheet'!I26</f>
        <v>1520.4</v>
      </c>
      <c r="J8" s="6">
        <f>'Data Sheet'!J26</f>
        <v>1956.7</v>
      </c>
      <c r="K8" s="6">
        <f>'Data Sheet'!K26</f>
        <v>1817.1</v>
      </c>
      <c r="L8" s="6">
        <f>SUM(Quarters!H8:K8)</f>
        <v>1836.8</v>
      </c>
      <c r="M8" s="6">
        <f>+$L8</f>
        <v>1836.8</v>
      </c>
      <c r="N8" s="6">
        <f>+$L8</f>
        <v>1836.8</v>
      </c>
    </row>
    <row r="9" spans="1:14" x14ac:dyDescent="0.3">
      <c r="A9" t="s">
        <v>11</v>
      </c>
      <c r="B9" s="6">
        <f>'Data Sheet'!B27</f>
        <v>69.099999999999994</v>
      </c>
      <c r="C9" s="6">
        <f>'Data Sheet'!C27</f>
        <v>97</v>
      </c>
      <c r="D9" s="6">
        <f>'Data Sheet'!D27</f>
        <v>128.6</v>
      </c>
      <c r="E9" s="6">
        <f>'Data Sheet'!E27</f>
        <v>162.4</v>
      </c>
      <c r="F9" s="6">
        <f>'Data Sheet'!F27</f>
        <v>133.19999999999999</v>
      </c>
      <c r="G9" s="6">
        <f>'Data Sheet'!G27</f>
        <v>191.9</v>
      </c>
      <c r="H9" s="6">
        <f>'Data Sheet'!H27</f>
        <v>174</v>
      </c>
      <c r="I9" s="6">
        <f>'Data Sheet'!I27</f>
        <v>162.6</v>
      </c>
      <c r="J9" s="6">
        <f>'Data Sheet'!J27</f>
        <v>325.60000000000002</v>
      </c>
      <c r="K9" s="6">
        <f>'Data Sheet'!K27</f>
        <v>392.2</v>
      </c>
      <c r="L9" s="6">
        <f>SUM(Quarters!H9:K9)</f>
        <v>335.5</v>
      </c>
      <c r="M9" s="6">
        <f>+$L9</f>
        <v>335.5</v>
      </c>
      <c r="N9" s="6">
        <f>+$L9</f>
        <v>335.5</v>
      </c>
    </row>
    <row r="10" spans="1:14" x14ac:dyDescent="0.3">
      <c r="A10" t="s">
        <v>12</v>
      </c>
      <c r="B10" s="6">
        <f>'Data Sheet'!B28</f>
        <v>3618.1</v>
      </c>
      <c r="C10" s="6">
        <f>'Data Sheet'!C28</f>
        <v>3856.7</v>
      </c>
      <c r="D10" s="6">
        <f>'Data Sheet'!D28</f>
        <v>3853</v>
      </c>
      <c r="E10" s="6">
        <f>'Data Sheet'!E28</f>
        <v>4878.8</v>
      </c>
      <c r="F10" s="6">
        <f>'Data Sheet'!F28</f>
        <v>5543.2</v>
      </c>
      <c r="G10" s="6">
        <f>'Data Sheet'!G28</f>
        <v>5057.8</v>
      </c>
      <c r="H10" s="6">
        <f>'Data Sheet'!H28</f>
        <v>5952.9</v>
      </c>
      <c r="I10" s="6">
        <f>'Data Sheet'!I28</f>
        <v>7452.1</v>
      </c>
      <c r="J10" s="6">
        <f>'Data Sheet'!J28</f>
        <v>6445.5</v>
      </c>
      <c r="K10" s="6">
        <f>'Data Sheet'!K28</f>
        <v>3224.4</v>
      </c>
      <c r="L10" s="6">
        <f>SUM(Quarters!H10:K10)</f>
        <v>4529.5</v>
      </c>
      <c r="M10" s="6">
        <f>M6+M7-SUM(M8:M9)</f>
        <v>5649.058570603479</v>
      </c>
      <c r="N10" s="6">
        <f>N6+N7-SUM(N8:N9)</f>
        <v>3388.0789334580113</v>
      </c>
    </row>
    <row r="11" spans="1:14" x14ac:dyDescent="0.3">
      <c r="A11" t="s">
        <v>13</v>
      </c>
      <c r="B11" s="6">
        <f>'Data Sheet'!B29</f>
        <v>959.5</v>
      </c>
      <c r="C11" s="6">
        <f>'Data Sheet'!C29</f>
        <v>830.1</v>
      </c>
      <c r="D11" s="6">
        <f>'Data Sheet'!D29</f>
        <v>1002.1</v>
      </c>
      <c r="E11" s="6">
        <f>'Data Sheet'!E29</f>
        <v>1092.5999999999999</v>
      </c>
      <c r="F11" s="6">
        <f>'Data Sheet'!F29</f>
        <v>1254.4000000000001</v>
      </c>
      <c r="G11" s="6">
        <f>'Data Sheet'!G29</f>
        <v>1160.4000000000001</v>
      </c>
      <c r="H11" s="6">
        <f>'Data Sheet'!H29</f>
        <v>1599.9</v>
      </c>
      <c r="I11" s="6">
        <f>'Data Sheet'!I29</f>
        <v>1822</v>
      </c>
      <c r="J11" s="6">
        <f>'Data Sheet'!J29</f>
        <v>1588.5</v>
      </c>
      <c r="K11" s="6">
        <f>'Data Sheet'!K29</f>
        <v>827.6</v>
      </c>
      <c r="L11" s="6">
        <f>SUM(Quarters!H11:K11)</f>
        <v>1219.3</v>
      </c>
      <c r="M11" s="7">
        <f>IF($L10&gt;0,$L11/$L10,0)</f>
        <v>0.26919085991831326</v>
      </c>
      <c r="N11" s="7">
        <f>IF($L10&gt;0,$L11/$L10,0)</f>
        <v>0.26919085991831326</v>
      </c>
    </row>
    <row r="12" spans="1:14" s="2" customFormat="1" x14ac:dyDescent="0.3">
      <c r="A12" s="2" t="s">
        <v>14</v>
      </c>
      <c r="B12" s="1">
        <f>'Data Sheet'!B30</f>
        <v>2627.7</v>
      </c>
      <c r="C12" s="1">
        <f>'Data Sheet'!C30</f>
        <v>2992.9</v>
      </c>
      <c r="D12" s="1">
        <f>'Data Sheet'!D30</f>
        <v>2812.9</v>
      </c>
      <c r="E12" s="1">
        <f>'Data Sheet'!E30</f>
        <v>3799.8</v>
      </c>
      <c r="F12" s="1">
        <f>'Data Sheet'!F30</f>
        <v>4297.6000000000004</v>
      </c>
      <c r="G12" s="1">
        <f>'Data Sheet'!G30</f>
        <v>4033</v>
      </c>
      <c r="H12" s="1">
        <f>'Data Sheet'!H30</f>
        <v>4428</v>
      </c>
      <c r="I12" s="1">
        <f>'Data Sheet'!I30</f>
        <v>5566.1</v>
      </c>
      <c r="J12" s="1">
        <f>'Data Sheet'!J30</f>
        <v>4831.3</v>
      </c>
      <c r="K12" s="1">
        <f>'Data Sheet'!K30</f>
        <v>2357.8000000000002</v>
      </c>
      <c r="L12" s="1">
        <f>SUM(Quarters!H12:K12)</f>
        <v>3273</v>
      </c>
      <c r="M12" s="1">
        <f>M10-M11*M10</f>
        <v>4128.3836362538113</v>
      </c>
      <c r="N12" s="1">
        <f>N10-N11*N10</f>
        <v>2476.0390518893273</v>
      </c>
    </row>
    <row r="13" spans="1:14" x14ac:dyDescent="0.3">
      <c r="A13" t="s">
        <v>57</v>
      </c>
      <c r="B13" s="6">
        <f>IF('Data Sheet'!B93&gt;0,B12/'Data Sheet'!B93,0)</f>
        <v>27.349084096586175</v>
      </c>
      <c r="C13" s="6">
        <f>IF('Data Sheet'!C93&gt;0,C12/'Data Sheet'!C93,0)</f>
        <v>30.924777846662533</v>
      </c>
      <c r="D13" s="6">
        <f>IF('Data Sheet'!D93&gt;0,D12/'Data Sheet'!D93,0)</f>
        <v>28.876912021353046</v>
      </c>
      <c r="E13" s="6">
        <f>IF('Data Sheet'!E93&gt;0,E12/'Data Sheet'!E93,0)</f>
        <v>38.785342451770951</v>
      </c>
      <c r="F13" s="6">
        <f>IF('Data Sheet'!F93&gt;0,F12/'Data Sheet'!F93,0)</f>
        <v>43.701443969900346</v>
      </c>
      <c r="G13" s="6">
        <f>IF('Data Sheet'!G93&gt;0,G12/'Data Sheet'!G93,0)</f>
        <v>41.753804741691688</v>
      </c>
      <c r="H13" s="6">
        <f>IF('Data Sheet'!H93&gt;0,H12/'Data Sheet'!H93,0)</f>
        <v>45.729629247134156</v>
      </c>
      <c r="I13" s="6">
        <f>IF('Data Sheet'!I93&gt;0,I12/'Data Sheet'!I93,0)</f>
        <v>57.276188516155585</v>
      </c>
      <c r="J13" s="6">
        <f>IF('Data Sheet'!J93&gt;0,J12/'Data Sheet'!J93,0)</f>
        <v>49.597577250795609</v>
      </c>
      <c r="K13" s="6">
        <f>IF('Data Sheet'!K93&gt;0,K12/'Data Sheet'!K93,0)</f>
        <v>24.138001638001636</v>
      </c>
      <c r="L13" s="6">
        <f>IF('Data Sheet'!$B6&gt;0,'Profit &amp; Loss'!L12/'Data Sheet'!$B6,0)</f>
        <v>33.445011620330519</v>
      </c>
      <c r="M13" s="6">
        <f>IF('Data Sheet'!$B6&gt;0,'Profit &amp; Loss'!M12/'Data Sheet'!$B6,0)</f>
        <v>42.185713011821292</v>
      </c>
      <c r="N13" s="6">
        <f>IF('Data Sheet'!$B6&gt;0,'Profit &amp; Loss'!N12/'Data Sheet'!$B6,0)</f>
        <v>25.301299988643667</v>
      </c>
    </row>
    <row r="14" spans="1:14" x14ac:dyDescent="0.3">
      <c r="A14" t="s">
        <v>16</v>
      </c>
      <c r="B14" s="6">
        <f>IF(B15&gt;0,B15/B13,"")</f>
        <v>23.024537047608177</v>
      </c>
      <c r="C14" s="6">
        <f t="shared" ref="C14:K14" si="2">IF(C15&gt;0,C15/C13,"")</f>
        <v>15.358234822413044</v>
      </c>
      <c r="D14" s="6">
        <f t="shared" si="2"/>
        <v>15.900245831703934</v>
      </c>
      <c r="E14" s="6">
        <f t="shared" si="2"/>
        <v>16.467561187430917</v>
      </c>
      <c r="F14" s="6">
        <f t="shared" si="2"/>
        <v>17.754562081161577</v>
      </c>
      <c r="G14" s="6">
        <f t="shared" si="2"/>
        <v>13.543675923630051</v>
      </c>
      <c r="H14" s="6">
        <f t="shared" si="2"/>
        <v>21.68069184733514</v>
      </c>
      <c r="I14" s="6">
        <f t="shared" si="2"/>
        <v>26.179290885898567</v>
      </c>
      <c r="J14" s="6">
        <f t="shared" si="2"/>
        <v>22.215802889491439</v>
      </c>
      <c r="K14" s="6">
        <f t="shared" si="2"/>
        <v>51.706848757316145</v>
      </c>
      <c r="L14" s="6">
        <f t="shared" ref="L14" si="3">IF(L13&gt;0,L15/L13,0)</f>
        <v>52.611732355637038</v>
      </c>
      <c r="M14" s="6">
        <f>M25</f>
        <v>52.611732355637038</v>
      </c>
      <c r="N14" s="6">
        <f>N25</f>
        <v>25.131198511784188</v>
      </c>
    </row>
    <row r="15" spans="1:14" s="2" customFormat="1" x14ac:dyDescent="0.3">
      <c r="A15" s="2" t="s">
        <v>58</v>
      </c>
      <c r="B15" s="1">
        <f>'Data Sheet'!B90</f>
        <v>629.70000000000005</v>
      </c>
      <c r="C15" s="1">
        <f>'Data Sheet'!C90</f>
        <v>474.95</v>
      </c>
      <c r="D15" s="1">
        <f>'Data Sheet'!D90</f>
        <v>459.15</v>
      </c>
      <c r="E15" s="1">
        <f>'Data Sheet'!E90</f>
        <v>638.70000000000005</v>
      </c>
      <c r="F15" s="1">
        <f>'Data Sheet'!F90</f>
        <v>775.9</v>
      </c>
      <c r="G15" s="1">
        <f>'Data Sheet'!G90</f>
        <v>565.5</v>
      </c>
      <c r="H15" s="1">
        <f>'Data Sheet'!H90</f>
        <v>991.45</v>
      </c>
      <c r="I15" s="1">
        <f>'Data Sheet'!I90</f>
        <v>1499.45</v>
      </c>
      <c r="J15" s="1">
        <f>'Data Sheet'!J90</f>
        <v>1101.8499999999999</v>
      </c>
      <c r="K15" s="1">
        <f>'Data Sheet'!K90</f>
        <v>1248.0999999999999</v>
      </c>
      <c r="L15" s="1">
        <f>'Data Sheet'!B8</f>
        <v>1759.6</v>
      </c>
      <c r="M15" s="8">
        <f>M13*M14</f>
        <v>2219.4634422096565</v>
      </c>
      <c r="N15" s="9">
        <f>N13*N14</f>
        <v>635.85199262080698</v>
      </c>
    </row>
    <row r="17" spans="1:14" s="2" customFormat="1" x14ac:dyDescent="0.3">
      <c r="A17" s="2" t="s">
        <v>15</v>
      </c>
    </row>
    <row r="18" spans="1:14" x14ac:dyDescent="0.3">
      <c r="A18" t="s">
        <v>17</v>
      </c>
      <c r="B18" s="5">
        <f>IF('Data Sheet'!B30&gt;0, 'Data Sheet'!B31/'Data Sheet'!B30, 0)</f>
        <v>0.21938577463180731</v>
      </c>
      <c r="C18" s="5">
        <f>IF('Data Sheet'!C30&gt;0, 'Data Sheet'!C31/'Data Sheet'!C30, 0)</f>
        <v>0.34922650272311134</v>
      </c>
      <c r="D18" s="5">
        <f>IF('Data Sheet'!D30&gt;0, 'Data Sheet'!D31/'Data Sheet'!D30, 0)</f>
        <v>0.28079206512851507</v>
      </c>
      <c r="E18" s="5">
        <f>IF('Data Sheet'!E30&gt;0, 'Data Sheet'!E31/'Data Sheet'!E30, 0)</f>
        <v>0.32548028843623344</v>
      </c>
      <c r="F18" s="5">
        <f>IF('Data Sheet'!F30&gt;0, 'Data Sheet'!F31/'Data Sheet'!F30, 0)</f>
        <v>0.28908227848101259</v>
      </c>
      <c r="G18" s="5">
        <f>IF('Data Sheet'!G30&gt;0, 'Data Sheet'!G31/'Data Sheet'!G30, 0)</f>
        <v>0.32424993801140589</v>
      </c>
      <c r="H18" s="5">
        <f>IF('Data Sheet'!H30&gt;0, 'Data Sheet'!H31/'Data Sheet'!H30, 0)</f>
        <v>0.88821138211382111</v>
      </c>
      <c r="I18" s="5">
        <f>IF('Data Sheet'!I30&gt;0, 'Data Sheet'!I31/'Data Sheet'!I30, 0)</f>
        <v>0.47300623416755</v>
      </c>
      <c r="J18" s="5">
        <f>IF('Data Sheet'!J30&gt;0, 'Data Sheet'!J31/'Data Sheet'!J30, 0)</f>
        <v>0.91072796141825174</v>
      </c>
      <c r="K18" s="5">
        <f>IF('Data Sheet'!K30&gt;0, 'Data Sheet'!K31/'Data Sheet'!K30, 0)</f>
        <v>1.4973280176435659</v>
      </c>
    </row>
    <row r="19" spans="1:14" x14ac:dyDescent="0.3">
      <c r="A19" t="s">
        <v>18</v>
      </c>
      <c r="B19" s="5">
        <f t="shared" ref="B19:L19" si="4">IF(B6&gt;0,B6/B4,0)</f>
        <v>0.18535627925892836</v>
      </c>
      <c r="C19" s="5">
        <f t="shared" ref="C19:K19" si="5">IF(C6&gt;0,C6/C4,0)</f>
        <v>0.16077858550173249</v>
      </c>
      <c r="D19" s="5">
        <f t="shared" si="5"/>
        <v>0.14359248888156817</v>
      </c>
      <c r="E19" s="5">
        <f t="shared" si="5"/>
        <v>0.15304374953286826</v>
      </c>
      <c r="F19" s="5">
        <f t="shared" si="5"/>
        <v>0.18051297992925006</v>
      </c>
      <c r="G19" s="5">
        <f t="shared" si="5"/>
        <v>0.14926615980926392</v>
      </c>
      <c r="H19" s="5">
        <f t="shared" si="5"/>
        <v>0.17953459375354971</v>
      </c>
      <c r="I19" s="5">
        <f t="shared" si="5"/>
        <v>0.17963535367110173</v>
      </c>
      <c r="J19" s="5">
        <f t="shared" si="5"/>
        <v>0.14567031086391125</v>
      </c>
      <c r="K19" s="5">
        <f t="shared" si="5"/>
        <v>8.6667115423450167E-2</v>
      </c>
      <c r="L19" s="5">
        <f t="shared" si="4"/>
        <v>0.10633126351802306</v>
      </c>
    </row>
    <row r="20" spans="1:14" x14ac:dyDescent="0.3">
      <c r="B20" s="5"/>
      <c r="C20" s="5"/>
      <c r="D20" s="5"/>
      <c r="E20" s="5"/>
      <c r="F20" s="5"/>
      <c r="G20" s="5"/>
      <c r="H20" s="5"/>
      <c r="I20" s="5"/>
      <c r="J20" s="5"/>
      <c r="K20" s="5"/>
      <c r="L20" s="5"/>
    </row>
    <row r="21" spans="1:14" x14ac:dyDescent="0.3">
      <c r="B21" s="5"/>
      <c r="C21" s="5"/>
      <c r="D21" s="5"/>
      <c r="E21" s="5"/>
      <c r="F21" s="5"/>
      <c r="G21" s="5"/>
      <c r="H21" s="5"/>
      <c r="I21" s="5"/>
      <c r="J21" s="5"/>
      <c r="K21" s="5"/>
      <c r="L21" s="5"/>
    </row>
    <row r="22" spans="1:14" s="2" customFormat="1" x14ac:dyDescent="0.3">
      <c r="A22" s="11"/>
      <c r="B22" s="12"/>
      <c r="C22" s="12"/>
      <c r="D22" s="12"/>
      <c r="E22" s="12"/>
      <c r="F22" s="12"/>
      <c r="G22" s="12" t="s">
        <v>19</v>
      </c>
      <c r="H22" s="12" t="s">
        <v>65</v>
      </c>
      <c r="I22" s="12" t="s">
        <v>66</v>
      </c>
      <c r="J22" s="12" t="s">
        <v>67</v>
      </c>
      <c r="K22" s="12" t="s">
        <v>68</v>
      </c>
      <c r="L22" s="13" t="s">
        <v>69</v>
      </c>
      <c r="M22" s="13" t="s">
        <v>20</v>
      </c>
      <c r="N22" s="13" t="s">
        <v>21</v>
      </c>
    </row>
    <row r="23" spans="1:14" s="2" customFormat="1" x14ac:dyDescent="0.3">
      <c r="A23"/>
      <c r="B23"/>
      <c r="C23"/>
      <c r="D23"/>
      <c r="E23"/>
      <c r="F23"/>
      <c r="G23" t="s">
        <v>22</v>
      </c>
      <c r="H23" s="5">
        <f>IF(B4=0,"",POWER($K4/B4,1/9)-1)</f>
        <v>9.688452908511791E-2</v>
      </c>
      <c r="I23" s="5">
        <f>IF(D4=0,"",POWER($K4/D4,1/7)-1)</f>
        <v>8.6234193490841715E-2</v>
      </c>
      <c r="J23" s="5">
        <f>IF(F4=0,"",POWER($K4/F4,1/5)-1)</f>
        <v>8.3981670419977172E-2</v>
      </c>
      <c r="K23" s="5">
        <f>IF(H4=0,"",POWER($K4/H4, 1/3)-1)</f>
        <v>0.11159637118988797</v>
      </c>
      <c r="L23" s="5">
        <f>IF(ISERROR(MAX(IF(J4=0,"",(K4-J4)/J4),IF(K4=0,"",(L4-K4)/K4))),"",MAX(IF(J4=0,"",(K4-J4)/J4),IF(K4=0,"",(L4-K4)/K4)))</f>
        <v>5.68895385177569E-3</v>
      </c>
      <c r="M23" s="16">
        <f>MAX(K23:L23)</f>
        <v>0.11159637118988797</v>
      </c>
      <c r="N23" s="16">
        <f>MIN(H23:L23)</f>
        <v>5.68895385177569E-3</v>
      </c>
    </row>
    <row r="24" spans="1:14" x14ac:dyDescent="0.3">
      <c r="G24" t="s">
        <v>18</v>
      </c>
      <c r="H24" s="5">
        <f>IF(SUM(B4:$K$4)=0,"",SUMPRODUCT(B19:$K$19,B4:$K$4)/SUM(B4:$K$4))</f>
        <v>0.15255880559939075</v>
      </c>
      <c r="I24" s="5">
        <f>IF(SUM(E4:$K$4)=0,"",SUMPRODUCT(E19:$K$19,E4:$K$4)/SUM(E4:$K$4))</f>
        <v>0.15015189397920875</v>
      </c>
      <c r="J24" s="5">
        <f>IF(SUM(G4:$K$4)=0,"",SUMPRODUCT(G19:$K$19,G4:$K$4)/SUM(G4:$K$4))</f>
        <v>0.14506052627479091</v>
      </c>
      <c r="K24" s="5">
        <f>IF(SUM(I4:$K$4)=0, "", SUMPRODUCT(I19:$K$19,I4:$K$4)/SUM(I4:$K$4))</f>
        <v>0.13532228341304747</v>
      </c>
      <c r="L24" s="5">
        <f>L19</f>
        <v>0.10633126351802306</v>
      </c>
      <c r="M24" s="16">
        <f>MAX(K24:L24)</f>
        <v>0.13532228341304747</v>
      </c>
      <c r="N24" s="16">
        <f>MIN(H24:L24)</f>
        <v>0.10633126351802306</v>
      </c>
    </row>
    <row r="25" spans="1:14" x14ac:dyDescent="0.3">
      <c r="G25" t="s">
        <v>23</v>
      </c>
      <c r="H25" s="6">
        <f>IF(ISERROR(AVERAGEIF(B14:$L14,"&gt;0")),"",AVERAGEIF(B14:$L14,"&gt;0"))</f>
        <v>25.131198511784188</v>
      </c>
      <c r="I25" s="6">
        <f>IF(ISERROR(AVERAGEIF(E14:$L14,"&gt;0")),"",AVERAGEIF(E14:$L14,"&gt;0"))</f>
        <v>27.770020740987608</v>
      </c>
      <c r="J25" s="6">
        <f>IF(ISERROR(AVERAGEIF(G14:$L14,"&gt;0")),"",AVERAGEIF(G14:$L14,"&gt;0"))</f>
        <v>31.323007109884728</v>
      </c>
      <c r="K25" s="6">
        <f>IF(ISERROR(AVERAGEIF(I14:$L14,"&gt;0")),"",AVERAGEIF(I14:$L14,"&gt;0"))</f>
        <v>38.178418722085794</v>
      </c>
      <c r="L25" s="6">
        <f>L14</f>
        <v>52.611732355637038</v>
      </c>
      <c r="M25" s="1">
        <f>MAX(K25:L25)</f>
        <v>52.611732355637038</v>
      </c>
      <c r="N25" s="1">
        <f>MIN(H25:L25)</f>
        <v>25.131198511784188</v>
      </c>
    </row>
    <row r="27" spans="1:14" x14ac:dyDescent="0.3">
      <c r="A27" t="s">
        <v>108</v>
      </c>
      <c r="C27" s="30">
        <f>(C10-C11)</f>
        <v>3026.6</v>
      </c>
      <c r="D27" s="30">
        <f t="shared" ref="D27:K27" si="6">(D10-D11)</f>
        <v>2850.9</v>
      </c>
      <c r="E27" s="30">
        <f t="shared" si="6"/>
        <v>3786.2000000000003</v>
      </c>
      <c r="F27" s="30">
        <f t="shared" si="6"/>
        <v>4288.7999999999993</v>
      </c>
      <c r="G27" s="30">
        <f t="shared" si="6"/>
        <v>3897.4</v>
      </c>
      <c r="H27" s="30">
        <f t="shared" si="6"/>
        <v>4353</v>
      </c>
      <c r="I27" s="30">
        <f t="shared" si="6"/>
        <v>5630.1</v>
      </c>
      <c r="J27" s="30">
        <f t="shared" si="6"/>
        <v>4857</v>
      </c>
      <c r="K27" s="30">
        <f t="shared" si="6"/>
        <v>2396.8000000000002</v>
      </c>
    </row>
  </sheetData>
  <hyperlinks>
    <hyperlink ref="M1" r:id="rId1" xr:uid="{00000000-0004-0000-0000-000000000000}"/>
  </hyperlinks>
  <printOptions gridLines="1"/>
  <pageMargins left="0.7" right="0.7" top="0.75" bottom="0.75" header="0.3" footer="0.3"/>
  <pageSetup paperSize="9" orientation="landscape" horizontalDpi="300" verticalDpi="30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K22"/>
  <sheetViews>
    <sheetView zoomScale="150" workbookViewId="0">
      <pane xSplit="1" ySplit="3" topLeftCell="D4" activePane="bottomRight" state="frozen"/>
      <selection pane="topRight" activeCell="B1" sqref="B1"/>
      <selection pane="bottomLeft" activeCell="A4" sqref="A4"/>
      <selection pane="bottomRight" activeCell="K5" sqref="K5"/>
    </sheetView>
  </sheetViews>
  <sheetFormatPr defaultColWidth="8.77734375" defaultRowHeight="14.4" x14ac:dyDescent="0.3"/>
  <cols>
    <col min="1" max="1" width="20.6640625" customWidth="1"/>
    <col min="2" max="11" width="13.44140625" bestFit="1" customWidth="1"/>
  </cols>
  <sheetData>
    <row r="1" spans="1:11" s="2" customFormat="1" x14ac:dyDescent="0.3">
      <c r="A1" s="2" t="str">
        <f>'Profit &amp; Loss'!A1</f>
        <v>TECH MAHINDRA LTD</v>
      </c>
      <c r="E1" t="str">
        <f>UPDATE</f>
        <v/>
      </c>
      <c r="J1" s="2" t="s">
        <v>1</v>
      </c>
    </row>
    <row r="3" spans="1:11" s="2" customFormat="1" x14ac:dyDescent="0.3">
      <c r="A3" s="11" t="s">
        <v>2</v>
      </c>
      <c r="B3" s="12">
        <f>'Data Sheet'!B41</f>
        <v>44742</v>
      </c>
      <c r="C3" s="12">
        <f>'Data Sheet'!C41</f>
        <v>44834</v>
      </c>
      <c r="D3" s="12">
        <f>'Data Sheet'!D41</f>
        <v>44926</v>
      </c>
      <c r="E3" s="12">
        <f>'Data Sheet'!E41</f>
        <v>45016</v>
      </c>
      <c r="F3" s="12">
        <f>'Data Sheet'!F41</f>
        <v>45107</v>
      </c>
      <c r="G3" s="12">
        <f>'Data Sheet'!G41</f>
        <v>45199</v>
      </c>
      <c r="H3" s="12">
        <f>'Data Sheet'!H41</f>
        <v>45291</v>
      </c>
      <c r="I3" s="12">
        <f>'Data Sheet'!I41</f>
        <v>45382</v>
      </c>
      <c r="J3" s="12">
        <f>'Data Sheet'!J41</f>
        <v>45473</v>
      </c>
      <c r="K3" s="12">
        <f>'Data Sheet'!K41</f>
        <v>45565</v>
      </c>
    </row>
    <row r="4" spans="1:11" s="2" customFormat="1" x14ac:dyDescent="0.3">
      <c r="A4" s="2" t="s">
        <v>6</v>
      </c>
      <c r="B4" s="1">
        <f>'Data Sheet'!B42</f>
        <v>12707.9</v>
      </c>
      <c r="C4" s="1">
        <f>'Data Sheet'!C42</f>
        <v>13129.5</v>
      </c>
      <c r="D4" s="1">
        <f>'Data Sheet'!D42</f>
        <v>13734.6</v>
      </c>
      <c r="E4" s="1">
        <f>'Data Sheet'!E42</f>
        <v>13718.2</v>
      </c>
      <c r="F4" s="1">
        <f>'Data Sheet'!F42</f>
        <v>13159</v>
      </c>
      <c r="G4" s="1">
        <f>'Data Sheet'!G42</f>
        <v>12863.9</v>
      </c>
      <c r="H4" s="1">
        <f>'Data Sheet'!H42</f>
        <v>13101.3</v>
      </c>
      <c r="I4" s="1">
        <f>'Data Sheet'!I42</f>
        <v>12871.3</v>
      </c>
      <c r="J4" s="1">
        <f>'Data Sheet'!J42</f>
        <v>13005.5</v>
      </c>
      <c r="K4" s="1">
        <f>'Data Sheet'!K42</f>
        <v>13313.2</v>
      </c>
    </row>
    <row r="5" spans="1:11" x14ac:dyDescent="0.3">
      <c r="A5" t="s">
        <v>7</v>
      </c>
      <c r="B5" s="6">
        <f>'Data Sheet'!B43</f>
        <v>10827.8</v>
      </c>
      <c r="C5" s="6">
        <f>'Data Sheet'!C43</f>
        <v>11185.1</v>
      </c>
      <c r="D5" s="6">
        <f>'Data Sheet'!D43</f>
        <v>11599.6</v>
      </c>
      <c r="E5" s="6">
        <f>'Data Sheet'!E43</f>
        <v>11915.2</v>
      </c>
      <c r="F5" s="6">
        <f>'Data Sheet'!F43</f>
        <v>11821</v>
      </c>
      <c r="G5" s="6">
        <f>'Data Sheet'!G43</f>
        <v>11949.6</v>
      </c>
      <c r="H5" s="6">
        <f>'Data Sheet'!H43</f>
        <v>11954.9</v>
      </c>
      <c r="I5" s="6">
        <f>'Data Sheet'!I43</f>
        <v>11772.2</v>
      </c>
      <c r="J5" s="6">
        <f>'Data Sheet'!J43</f>
        <v>11441</v>
      </c>
      <c r="K5" s="6">
        <f>'Data Sheet'!K43</f>
        <v>11563</v>
      </c>
    </row>
    <row r="6" spans="1:11" s="2" customFormat="1" x14ac:dyDescent="0.3">
      <c r="A6" s="2" t="s">
        <v>8</v>
      </c>
      <c r="B6" s="1">
        <f>'Data Sheet'!B50</f>
        <v>1880.1</v>
      </c>
      <c r="C6" s="1">
        <f>'Data Sheet'!C50</f>
        <v>1944.4</v>
      </c>
      <c r="D6" s="1">
        <f>'Data Sheet'!D50</f>
        <v>2135</v>
      </c>
      <c r="E6" s="1">
        <f>'Data Sheet'!E50</f>
        <v>1803</v>
      </c>
      <c r="F6" s="1">
        <f>'Data Sheet'!F50</f>
        <v>1338</v>
      </c>
      <c r="G6" s="1">
        <f>'Data Sheet'!G50</f>
        <v>914.3</v>
      </c>
      <c r="H6" s="1">
        <f>'Data Sheet'!H50</f>
        <v>1146.4000000000001</v>
      </c>
      <c r="I6" s="1">
        <f>'Data Sheet'!I50</f>
        <v>1099.0999999999999</v>
      </c>
      <c r="J6" s="1">
        <f>'Data Sheet'!J50</f>
        <v>1564.5</v>
      </c>
      <c r="K6" s="1">
        <f>'Data Sheet'!K50</f>
        <v>1750.2</v>
      </c>
    </row>
    <row r="7" spans="1:11" x14ac:dyDescent="0.3">
      <c r="A7" t="s">
        <v>9</v>
      </c>
      <c r="B7" s="6">
        <f>'Data Sheet'!B44</f>
        <v>122.4</v>
      </c>
      <c r="C7" s="6">
        <f>'Data Sheet'!C44</f>
        <v>290.2</v>
      </c>
      <c r="D7" s="6">
        <f>'Data Sheet'!D44</f>
        <v>247.2</v>
      </c>
      <c r="E7" s="6">
        <f>'Data Sheet'!E44</f>
        <v>305.5</v>
      </c>
      <c r="F7" s="6">
        <f>'Data Sheet'!F44</f>
        <v>199.5</v>
      </c>
      <c r="G7" s="6">
        <f>'Data Sheet'!G44</f>
        <v>264.2</v>
      </c>
      <c r="H7" s="6">
        <f>'Data Sheet'!H44</f>
        <v>92.3</v>
      </c>
      <c r="I7" s="6">
        <f>'Data Sheet'!I44</f>
        <v>379.9</v>
      </c>
      <c r="J7" s="6">
        <f>'Data Sheet'!J44</f>
        <v>147.30000000000001</v>
      </c>
      <c r="K7" s="6">
        <f>'Data Sheet'!K44</f>
        <v>522.1</v>
      </c>
    </row>
    <row r="8" spans="1:11" x14ac:dyDescent="0.3">
      <c r="A8" t="s">
        <v>10</v>
      </c>
      <c r="B8" s="6">
        <f>'Data Sheet'!B45</f>
        <v>476.7</v>
      </c>
      <c r="C8" s="6">
        <f>'Data Sheet'!C45</f>
        <v>491.7</v>
      </c>
      <c r="D8" s="6">
        <f>'Data Sheet'!D45</f>
        <v>498.1</v>
      </c>
      <c r="E8" s="6">
        <f>'Data Sheet'!E45</f>
        <v>490.2</v>
      </c>
      <c r="F8" s="6">
        <f>'Data Sheet'!F45</f>
        <v>446.6</v>
      </c>
      <c r="G8" s="6">
        <f>'Data Sheet'!G45</f>
        <v>465.7</v>
      </c>
      <c r="H8" s="6">
        <f>'Data Sheet'!H45</f>
        <v>443.4</v>
      </c>
      <c r="I8" s="6">
        <f>'Data Sheet'!I45</f>
        <v>461.4</v>
      </c>
      <c r="J8" s="6">
        <f>'Data Sheet'!J45</f>
        <v>462.2</v>
      </c>
      <c r="K8" s="6">
        <f>'Data Sheet'!K45</f>
        <v>469.8</v>
      </c>
    </row>
    <row r="9" spans="1:11" x14ac:dyDescent="0.3">
      <c r="A9" t="s">
        <v>11</v>
      </c>
      <c r="B9" s="6">
        <f>'Data Sheet'!B46</f>
        <v>40.299999999999997</v>
      </c>
      <c r="C9" s="6">
        <f>'Data Sheet'!C46</f>
        <v>79</v>
      </c>
      <c r="D9" s="6">
        <f>'Data Sheet'!D46</f>
        <v>112.9</v>
      </c>
      <c r="E9" s="6">
        <f>'Data Sheet'!E46</f>
        <v>93.4</v>
      </c>
      <c r="F9" s="6">
        <f>'Data Sheet'!F46</f>
        <v>119.7</v>
      </c>
      <c r="G9" s="6">
        <f>'Data Sheet'!G46</f>
        <v>97.5</v>
      </c>
      <c r="H9" s="6">
        <f>'Data Sheet'!H46</f>
        <v>116.5</v>
      </c>
      <c r="I9" s="6">
        <f>'Data Sheet'!I46</f>
        <v>58.5</v>
      </c>
      <c r="J9" s="6">
        <f>'Data Sheet'!J46</f>
        <v>71.5</v>
      </c>
      <c r="K9" s="6">
        <f>'Data Sheet'!K46</f>
        <v>89</v>
      </c>
    </row>
    <row r="10" spans="1:11" x14ac:dyDescent="0.3">
      <c r="A10" t="s">
        <v>12</v>
      </c>
      <c r="B10" s="6">
        <f>'Data Sheet'!B47</f>
        <v>1485.5</v>
      </c>
      <c r="C10" s="6">
        <f>'Data Sheet'!C47</f>
        <v>1663.9</v>
      </c>
      <c r="D10" s="6">
        <f>'Data Sheet'!D47</f>
        <v>1771.2</v>
      </c>
      <c r="E10" s="6">
        <f>'Data Sheet'!E47</f>
        <v>1524.9</v>
      </c>
      <c r="F10" s="6">
        <f>'Data Sheet'!F47</f>
        <v>971.2</v>
      </c>
      <c r="G10" s="6">
        <f>'Data Sheet'!G47</f>
        <v>615.29999999999995</v>
      </c>
      <c r="H10" s="6">
        <f>'Data Sheet'!H47</f>
        <v>678.8</v>
      </c>
      <c r="I10" s="6">
        <f>'Data Sheet'!I47</f>
        <v>959.1</v>
      </c>
      <c r="J10" s="6">
        <f>'Data Sheet'!J47</f>
        <v>1178.0999999999999</v>
      </c>
      <c r="K10" s="6">
        <f>'Data Sheet'!K47</f>
        <v>1713.5</v>
      </c>
    </row>
    <row r="11" spans="1:11" x14ac:dyDescent="0.3">
      <c r="A11" t="s">
        <v>13</v>
      </c>
      <c r="B11" s="6">
        <f>'Data Sheet'!B48</f>
        <v>338</v>
      </c>
      <c r="C11" s="6">
        <f>'Data Sheet'!C48</f>
        <v>364.7</v>
      </c>
      <c r="D11" s="6">
        <f>'Data Sheet'!D48</f>
        <v>485.9</v>
      </c>
      <c r="E11" s="6">
        <f>'Data Sheet'!E48</f>
        <v>399.9</v>
      </c>
      <c r="F11" s="6">
        <f>'Data Sheet'!F48</f>
        <v>267.60000000000002</v>
      </c>
      <c r="G11" s="6">
        <f>'Data Sheet'!G48</f>
        <v>110</v>
      </c>
      <c r="H11" s="6">
        <f>'Data Sheet'!H48</f>
        <v>155.1</v>
      </c>
      <c r="I11" s="6">
        <f>'Data Sheet'!I48</f>
        <v>294.89999999999998</v>
      </c>
      <c r="J11" s="6">
        <f>'Data Sheet'!J48</f>
        <v>313.3</v>
      </c>
      <c r="K11" s="6">
        <f>'Data Sheet'!K48</f>
        <v>456</v>
      </c>
    </row>
    <row r="12" spans="1:11" s="2" customFormat="1" x14ac:dyDescent="0.3">
      <c r="A12" s="2" t="s">
        <v>14</v>
      </c>
      <c r="B12" s="1">
        <f>'Data Sheet'!B49</f>
        <v>1131.5999999999999</v>
      </c>
      <c r="C12" s="1">
        <f>'Data Sheet'!C49</f>
        <v>1285.4000000000001</v>
      </c>
      <c r="D12" s="1">
        <f>'Data Sheet'!D49</f>
        <v>1296.5999999999999</v>
      </c>
      <c r="E12" s="1">
        <f>'Data Sheet'!E49</f>
        <v>1117.7</v>
      </c>
      <c r="F12" s="1">
        <f>'Data Sheet'!F49</f>
        <v>692.5</v>
      </c>
      <c r="G12" s="1">
        <f>'Data Sheet'!G49</f>
        <v>493.9</v>
      </c>
      <c r="H12" s="1">
        <f>'Data Sheet'!H49</f>
        <v>510.4</v>
      </c>
      <c r="I12" s="1">
        <f>'Data Sheet'!I49</f>
        <v>661</v>
      </c>
      <c r="J12" s="1">
        <f>'Data Sheet'!J49</f>
        <v>851.5</v>
      </c>
      <c r="K12" s="1">
        <f>'Data Sheet'!K49</f>
        <v>1250.0999999999999</v>
      </c>
    </row>
    <row r="14" spans="1:11" s="2" customFormat="1" x14ac:dyDescent="0.3">
      <c r="A14" s="2" t="s">
        <v>18</v>
      </c>
      <c r="B14" s="10">
        <f>IF(B4&gt;0,B6/B4,"")</f>
        <v>0.14794733984371927</v>
      </c>
      <c r="C14" s="10">
        <f t="shared" ref="C14:K14" si="0">IF(C4&gt;0,C6/C4,"")</f>
        <v>0.14809398682356525</v>
      </c>
      <c r="D14" s="10">
        <f t="shared" si="0"/>
        <v>0.15544682771977342</v>
      </c>
      <c r="E14" s="10">
        <f t="shared" si="0"/>
        <v>0.13143123733434414</v>
      </c>
      <c r="F14" s="10">
        <f t="shared" si="0"/>
        <v>0.10167945892545026</v>
      </c>
      <c r="G14" s="10">
        <f t="shared" si="0"/>
        <v>7.1074868430258314E-2</v>
      </c>
      <c r="H14" s="10">
        <f t="shared" si="0"/>
        <v>8.7502766900994566E-2</v>
      </c>
      <c r="I14" s="10">
        <f t="shared" si="0"/>
        <v>8.5391529993085385E-2</v>
      </c>
      <c r="J14" s="10">
        <f t="shared" si="0"/>
        <v>0.12029525969782015</v>
      </c>
      <c r="K14" s="10">
        <f t="shared" si="0"/>
        <v>0.13146350989994893</v>
      </c>
    </row>
    <row r="22" s="23" customFormat="1" x14ac:dyDescent="0.3"/>
  </sheetData>
  <hyperlinks>
    <hyperlink ref="J1" r:id="rId1" xr:uid="{00000000-0004-0000-0100-000000000000}"/>
  </hyperlinks>
  <printOptions gridLines="1"/>
  <pageMargins left="0.7" right="0.7" top="0.75" bottom="0.75" header="0.3" footer="0.3"/>
  <pageSetup paperSize="9" scale="83" orientation="landscape"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K24"/>
  <sheetViews>
    <sheetView zoomScale="76" workbookViewId="0">
      <pane xSplit="1" ySplit="3" topLeftCell="B4" activePane="bottomRight" state="frozen"/>
      <selection activeCell="C4" sqref="C4"/>
      <selection pane="topRight" activeCell="C4" sqref="C4"/>
      <selection pane="bottomLeft" activeCell="C4" sqref="C4"/>
      <selection pane="bottomRight" activeCell="D28" sqref="D28"/>
    </sheetView>
  </sheetViews>
  <sheetFormatPr defaultColWidth="8.77734375" defaultRowHeight="14.4" x14ac:dyDescent="0.3"/>
  <cols>
    <col min="1" max="1" width="22.77734375" bestFit="1" customWidth="1"/>
    <col min="2" max="2" width="13.44140625" customWidth="1"/>
    <col min="3" max="11" width="15.44140625" customWidth="1"/>
  </cols>
  <sheetData>
    <row r="1" spans="1:11" s="2" customFormat="1" x14ac:dyDescent="0.3">
      <c r="A1" s="2" t="str">
        <f>'Profit &amp; Loss'!A1</f>
        <v>TECH MAHINDRA LTD</v>
      </c>
      <c r="E1" t="str">
        <f>UPDATE</f>
        <v/>
      </c>
      <c r="G1"/>
      <c r="J1" s="2" t="s">
        <v>1</v>
      </c>
    </row>
    <row r="2" spans="1:11" x14ac:dyDescent="0.3">
      <c r="G2" s="2"/>
      <c r="H2" s="2"/>
    </row>
    <row r="3" spans="1:11" x14ac:dyDescent="0.3">
      <c r="A3" s="11" t="s">
        <v>2</v>
      </c>
      <c r="B3" s="12">
        <f>'Data Sheet'!B56</f>
        <v>42094</v>
      </c>
      <c r="C3" s="12">
        <f>'Data Sheet'!C56</f>
        <v>42460</v>
      </c>
      <c r="D3" s="12">
        <f>'Data Sheet'!D56</f>
        <v>42825</v>
      </c>
      <c r="E3" s="12">
        <f>'Data Sheet'!E56</f>
        <v>43190</v>
      </c>
      <c r="F3" s="12">
        <f>'Data Sheet'!F56</f>
        <v>43555</v>
      </c>
      <c r="G3" s="12">
        <f>'Data Sheet'!G56</f>
        <v>43921</v>
      </c>
      <c r="H3" s="12">
        <f>'Data Sheet'!H56</f>
        <v>44286</v>
      </c>
      <c r="I3" s="12">
        <f>'Data Sheet'!I56</f>
        <v>44651</v>
      </c>
      <c r="J3" s="12">
        <f>'Data Sheet'!J56</f>
        <v>45016</v>
      </c>
      <c r="K3" s="12">
        <f>'Data Sheet'!K56</f>
        <v>45382</v>
      </c>
    </row>
    <row r="4" spans="1:11" x14ac:dyDescent="0.3">
      <c r="A4" t="s">
        <v>24</v>
      </c>
      <c r="B4" s="14">
        <f>'Data Sheet'!B57</f>
        <v>480.4</v>
      </c>
      <c r="C4" s="14">
        <f>'Data Sheet'!C57</f>
        <v>435.5</v>
      </c>
      <c r="D4" s="14">
        <f>'Data Sheet'!D57</f>
        <v>438.8</v>
      </c>
      <c r="E4" s="14">
        <f>'Data Sheet'!E57</f>
        <v>441.7</v>
      </c>
      <c r="F4" s="14">
        <f>'Data Sheet'!F57</f>
        <v>443.7</v>
      </c>
      <c r="G4" s="14">
        <f>'Data Sheet'!G57</f>
        <v>435.9</v>
      </c>
      <c r="H4" s="14">
        <f>'Data Sheet'!H57</f>
        <v>437</v>
      </c>
      <c r="I4" s="14">
        <f>'Data Sheet'!I57</f>
        <v>438.8</v>
      </c>
      <c r="J4" s="14">
        <f>'Data Sheet'!J57</f>
        <v>440</v>
      </c>
      <c r="K4" s="14">
        <f>'Data Sheet'!K57</f>
        <v>441.3</v>
      </c>
    </row>
    <row r="5" spans="1:11" x14ac:dyDescent="0.3">
      <c r="A5" t="s">
        <v>25</v>
      </c>
      <c r="B5" s="14">
        <f>'Data Sheet'!B58</f>
        <v>11768.5</v>
      </c>
      <c r="C5" s="14">
        <f>'Data Sheet'!C58</f>
        <v>14155.4</v>
      </c>
      <c r="D5" s="14">
        <f>'Data Sheet'!D58</f>
        <v>15998.4</v>
      </c>
      <c r="E5" s="14">
        <f>'Data Sheet'!E58</f>
        <v>18401.099999999999</v>
      </c>
      <c r="F5" s="14">
        <f>'Data Sheet'!F58</f>
        <v>19840.7</v>
      </c>
      <c r="G5" s="14">
        <f>'Data Sheet'!G58</f>
        <v>21377.200000000001</v>
      </c>
      <c r="H5" s="14">
        <f>'Data Sheet'!H58</f>
        <v>24428</v>
      </c>
      <c r="I5" s="14">
        <f>'Data Sheet'!I58</f>
        <v>26446.9</v>
      </c>
      <c r="J5" s="14">
        <f>'Data Sheet'!J58</f>
        <v>27484.5</v>
      </c>
      <c r="K5" s="14">
        <f>'Data Sheet'!K58</f>
        <v>26228.1</v>
      </c>
    </row>
    <row r="6" spans="1:11" x14ac:dyDescent="0.3">
      <c r="A6" t="s">
        <v>71</v>
      </c>
      <c r="B6" s="14">
        <f>'Data Sheet'!B59</f>
        <v>700.1</v>
      </c>
      <c r="C6" s="14">
        <f>'Data Sheet'!C59</f>
        <v>1090.9000000000001</v>
      </c>
      <c r="D6" s="14">
        <f>'Data Sheet'!D59</f>
        <v>1366.2</v>
      </c>
      <c r="E6" s="14">
        <f>'Data Sheet'!E59</f>
        <v>2396.6</v>
      </c>
      <c r="F6" s="14">
        <f>'Data Sheet'!F59</f>
        <v>1995.5</v>
      </c>
      <c r="G6" s="14">
        <f>'Data Sheet'!G59</f>
        <v>3670.5</v>
      </c>
      <c r="H6" s="14">
        <f>'Data Sheet'!H59</f>
        <v>2900.8</v>
      </c>
      <c r="I6" s="14">
        <f>'Data Sheet'!I59</f>
        <v>2618.4</v>
      </c>
      <c r="J6" s="14">
        <f>'Data Sheet'!J59</f>
        <v>2740.2</v>
      </c>
      <c r="K6" s="14">
        <f>'Data Sheet'!K59</f>
        <v>2536.6999999999998</v>
      </c>
    </row>
    <row r="7" spans="1:11" x14ac:dyDescent="0.3">
      <c r="A7" t="s">
        <v>72</v>
      </c>
      <c r="B7" s="14">
        <f>'Data Sheet'!B60</f>
        <v>6899.1</v>
      </c>
      <c r="C7" s="14">
        <f>'Data Sheet'!C60</f>
        <v>6842.9</v>
      </c>
      <c r="D7" s="14">
        <f>'Data Sheet'!D60</f>
        <v>8253.6</v>
      </c>
      <c r="E7" s="14">
        <f>'Data Sheet'!E60</f>
        <v>9192</v>
      </c>
      <c r="F7" s="14">
        <f>'Data Sheet'!F60</f>
        <v>11165.9</v>
      </c>
      <c r="G7" s="14">
        <f>'Data Sheet'!G60</f>
        <v>11834.3</v>
      </c>
      <c r="H7" s="14">
        <f>'Data Sheet'!H60</f>
        <v>11836.1</v>
      </c>
      <c r="I7" s="14">
        <f>'Data Sheet'!I60</f>
        <v>14911.4</v>
      </c>
      <c r="J7" s="14">
        <f>'Data Sheet'!J60</f>
        <v>15162.5</v>
      </c>
      <c r="K7" s="14">
        <f>'Data Sheet'!K60</f>
        <v>13943</v>
      </c>
    </row>
    <row r="8" spans="1:11" s="2" customFormat="1" x14ac:dyDescent="0.3">
      <c r="A8" s="2" t="s">
        <v>26</v>
      </c>
      <c r="B8" s="15">
        <f>'Data Sheet'!B61</f>
        <v>19848.099999999999</v>
      </c>
      <c r="C8" s="15">
        <f>'Data Sheet'!C61</f>
        <v>22524.7</v>
      </c>
      <c r="D8" s="15">
        <f>'Data Sheet'!D61</f>
        <v>26057</v>
      </c>
      <c r="E8" s="15">
        <f>'Data Sheet'!E61</f>
        <v>30431.4</v>
      </c>
      <c r="F8" s="15">
        <f>'Data Sheet'!F61</f>
        <v>33445.800000000003</v>
      </c>
      <c r="G8" s="15">
        <f>'Data Sheet'!G61</f>
        <v>37317.9</v>
      </c>
      <c r="H8" s="15">
        <f>'Data Sheet'!H61</f>
        <v>39601.9</v>
      </c>
      <c r="I8" s="15">
        <f>'Data Sheet'!I61</f>
        <v>44415.5</v>
      </c>
      <c r="J8" s="15">
        <f>'Data Sheet'!J61</f>
        <v>45827.199999999997</v>
      </c>
      <c r="K8" s="15">
        <f>'Data Sheet'!K61</f>
        <v>43149.1</v>
      </c>
    </row>
    <row r="9" spans="1:11" s="2" customFormat="1" x14ac:dyDescent="0.3">
      <c r="B9" s="15"/>
      <c r="C9" s="15"/>
      <c r="D9" s="15"/>
      <c r="E9" s="15"/>
      <c r="F9" s="15"/>
      <c r="G9" s="15"/>
      <c r="H9" s="15"/>
      <c r="I9" s="15"/>
      <c r="J9" s="15"/>
      <c r="K9" s="15"/>
    </row>
    <row r="10" spans="1:11" x14ac:dyDescent="0.3">
      <c r="A10" t="s">
        <v>27</v>
      </c>
      <c r="B10" s="14">
        <f>'Data Sheet'!B62</f>
        <v>4032.9</v>
      </c>
      <c r="C10" s="14">
        <f>'Data Sheet'!C62</f>
        <v>4309.3</v>
      </c>
      <c r="D10" s="14">
        <f>'Data Sheet'!D62</f>
        <v>6460.1</v>
      </c>
      <c r="E10" s="14">
        <f>'Data Sheet'!E62</f>
        <v>7622.4</v>
      </c>
      <c r="F10" s="14">
        <f>'Data Sheet'!F62</f>
        <v>7061.2</v>
      </c>
      <c r="G10" s="14">
        <f>'Data Sheet'!G62</f>
        <v>8872</v>
      </c>
      <c r="H10" s="14">
        <f>'Data Sheet'!H62</f>
        <v>9018.5</v>
      </c>
      <c r="I10" s="14">
        <f>'Data Sheet'!I62</f>
        <v>14783.6</v>
      </c>
      <c r="J10" s="14">
        <f>'Data Sheet'!J62</f>
        <v>14931.5</v>
      </c>
      <c r="K10" s="14">
        <f>'Data Sheet'!K62</f>
        <v>13903</v>
      </c>
    </row>
    <row r="11" spans="1:11" x14ac:dyDescent="0.3">
      <c r="A11" t="s">
        <v>28</v>
      </c>
      <c r="B11" s="14">
        <f>'Data Sheet'!B63</f>
        <v>567.70000000000005</v>
      </c>
      <c r="C11" s="14">
        <f>'Data Sheet'!C63</f>
        <v>629.4</v>
      </c>
      <c r="D11" s="14">
        <f>'Data Sheet'!D63</f>
        <v>372.9</v>
      </c>
      <c r="E11" s="14">
        <f>'Data Sheet'!E63</f>
        <v>239.9</v>
      </c>
      <c r="F11" s="14">
        <f>'Data Sheet'!F63</f>
        <v>276.3</v>
      </c>
      <c r="G11" s="14">
        <f>'Data Sheet'!G63</f>
        <v>50.1</v>
      </c>
      <c r="H11" s="14">
        <f>'Data Sheet'!H63</f>
        <v>118.3</v>
      </c>
      <c r="I11" s="14">
        <f>'Data Sheet'!I63</f>
        <v>165.1</v>
      </c>
      <c r="J11" s="14">
        <f>'Data Sheet'!J63</f>
        <v>119.7</v>
      </c>
      <c r="K11" s="14">
        <f>'Data Sheet'!K63</f>
        <v>133.19999999999999</v>
      </c>
    </row>
    <row r="12" spans="1:11" x14ac:dyDescent="0.3">
      <c r="A12" t="s">
        <v>29</v>
      </c>
      <c r="B12" s="14">
        <f>'Data Sheet'!B64</f>
        <v>2102.8000000000002</v>
      </c>
      <c r="C12" s="14">
        <f>'Data Sheet'!C64</f>
        <v>1297.0999999999999</v>
      </c>
      <c r="D12" s="14">
        <f>'Data Sheet'!D64</f>
        <v>2395.5</v>
      </c>
      <c r="E12" s="14">
        <f>'Data Sheet'!E64</f>
        <v>4840.7</v>
      </c>
      <c r="F12" s="14">
        <f>'Data Sheet'!F64</f>
        <v>7341.9</v>
      </c>
      <c r="G12" s="14">
        <f>'Data Sheet'!G64</f>
        <v>5848.3</v>
      </c>
      <c r="H12" s="14">
        <f>'Data Sheet'!H64</f>
        <v>10237.6</v>
      </c>
      <c r="I12" s="14">
        <f>'Data Sheet'!I64</f>
        <v>4883.8</v>
      </c>
      <c r="J12" s="14">
        <f>'Data Sheet'!J64</f>
        <v>3388.1</v>
      </c>
      <c r="K12" s="14">
        <f>'Data Sheet'!K64</f>
        <v>3237.7</v>
      </c>
    </row>
    <row r="13" spans="1:11" x14ac:dyDescent="0.3">
      <c r="A13" t="s">
        <v>73</v>
      </c>
      <c r="B13" s="14">
        <f>'Data Sheet'!B65</f>
        <v>13144.7</v>
      </c>
      <c r="C13" s="14">
        <f>'Data Sheet'!C65</f>
        <v>16288.9</v>
      </c>
      <c r="D13" s="14">
        <f>'Data Sheet'!D65</f>
        <v>16828.5</v>
      </c>
      <c r="E13" s="14">
        <f>'Data Sheet'!E65</f>
        <v>17728.400000000001</v>
      </c>
      <c r="F13" s="14">
        <f>'Data Sheet'!F65</f>
        <v>18766.400000000001</v>
      </c>
      <c r="G13" s="14">
        <f>'Data Sheet'!G65</f>
        <v>22547.5</v>
      </c>
      <c r="H13" s="14">
        <f>'Data Sheet'!H65</f>
        <v>20227.5</v>
      </c>
      <c r="I13" s="14">
        <f>'Data Sheet'!I65</f>
        <v>24583</v>
      </c>
      <c r="J13" s="14">
        <f>'Data Sheet'!J65</f>
        <v>27387.9</v>
      </c>
      <c r="K13" s="14">
        <f>'Data Sheet'!K65</f>
        <v>25875.200000000001</v>
      </c>
    </row>
    <row r="14" spans="1:11" s="2" customFormat="1" x14ac:dyDescent="0.3">
      <c r="A14" s="2" t="s">
        <v>26</v>
      </c>
      <c r="B14" s="14">
        <f>'Data Sheet'!B66</f>
        <v>19848.099999999999</v>
      </c>
      <c r="C14" s="14">
        <f>'Data Sheet'!C66</f>
        <v>22524.7</v>
      </c>
      <c r="D14" s="14">
        <f>'Data Sheet'!D66</f>
        <v>26057</v>
      </c>
      <c r="E14" s="14">
        <f>'Data Sheet'!E66</f>
        <v>30431.4</v>
      </c>
      <c r="F14" s="14">
        <f>'Data Sheet'!F66</f>
        <v>33445.800000000003</v>
      </c>
      <c r="G14" s="14">
        <f>'Data Sheet'!G66</f>
        <v>37317.9</v>
      </c>
      <c r="H14" s="14">
        <f>'Data Sheet'!H66</f>
        <v>39601.9</v>
      </c>
      <c r="I14" s="14">
        <f>'Data Sheet'!I66</f>
        <v>44415.5</v>
      </c>
      <c r="J14" s="14">
        <f>'Data Sheet'!J66</f>
        <v>45827.199999999997</v>
      </c>
      <c r="K14" s="14">
        <f>'Data Sheet'!K66</f>
        <v>43149.1</v>
      </c>
    </row>
    <row r="15" spans="1:11" x14ac:dyDescent="0.3">
      <c r="B15" s="4"/>
      <c r="C15" s="4"/>
      <c r="D15" s="4"/>
      <c r="E15" s="4"/>
      <c r="F15" s="4"/>
      <c r="G15" s="4"/>
      <c r="H15" s="4"/>
      <c r="I15" s="4"/>
      <c r="J15" s="4"/>
      <c r="K15" s="4"/>
    </row>
    <row r="16" spans="1:11" x14ac:dyDescent="0.3">
      <c r="A16" t="s">
        <v>30</v>
      </c>
      <c r="B16" s="4">
        <f>B13-B7</f>
        <v>6245.6</v>
      </c>
      <c r="C16" s="4">
        <f t="shared" ref="C16:K16" si="0">C13-C7</f>
        <v>9446</v>
      </c>
      <c r="D16" s="4">
        <f t="shared" si="0"/>
        <v>8574.9</v>
      </c>
      <c r="E16" s="4">
        <f t="shared" si="0"/>
        <v>8536.4000000000015</v>
      </c>
      <c r="F16" s="4">
        <f t="shared" si="0"/>
        <v>7600.5000000000018</v>
      </c>
      <c r="G16" s="4">
        <f t="shared" si="0"/>
        <v>10713.2</v>
      </c>
      <c r="H16" s="4">
        <f t="shared" si="0"/>
        <v>8391.4</v>
      </c>
      <c r="I16" s="4">
        <f t="shared" si="0"/>
        <v>9671.6</v>
      </c>
      <c r="J16" s="4">
        <f t="shared" si="0"/>
        <v>12225.400000000001</v>
      </c>
      <c r="K16" s="4">
        <f t="shared" si="0"/>
        <v>11932.2</v>
      </c>
    </row>
    <row r="17" spans="1:11" x14ac:dyDescent="0.3">
      <c r="A17" t="s">
        <v>44</v>
      </c>
      <c r="B17" s="4">
        <f>'Data Sheet'!B67</f>
        <v>5205.8999999999996</v>
      </c>
      <c r="C17" s="4">
        <f>'Data Sheet'!C67</f>
        <v>5770.5</v>
      </c>
      <c r="D17" s="4">
        <f>'Data Sheet'!D67</f>
        <v>5337.7</v>
      </c>
      <c r="E17" s="4">
        <f>'Data Sheet'!E67</f>
        <v>6497.9</v>
      </c>
      <c r="F17" s="4">
        <f>'Data Sheet'!F67</f>
        <v>6958.6</v>
      </c>
      <c r="G17" s="4">
        <f>'Data Sheet'!G67</f>
        <v>7577.2</v>
      </c>
      <c r="H17" s="4">
        <f>'Data Sheet'!H67</f>
        <v>9031.7000000000007</v>
      </c>
      <c r="I17" s="4">
        <f>'Data Sheet'!I67</f>
        <v>11933.4</v>
      </c>
      <c r="J17" s="4">
        <f>'Data Sheet'!J67</f>
        <v>12881.6</v>
      </c>
      <c r="K17" s="4">
        <f>'Data Sheet'!K67</f>
        <v>11401.1</v>
      </c>
    </row>
    <row r="18" spans="1:11" x14ac:dyDescent="0.3">
      <c r="A18" t="s">
        <v>45</v>
      </c>
      <c r="B18" s="4">
        <f>'Data Sheet'!B68</f>
        <v>24.5</v>
      </c>
      <c r="C18" s="4">
        <f>'Data Sheet'!C68</f>
        <v>40.299999999999997</v>
      </c>
      <c r="D18" s="4">
        <f>'Data Sheet'!D68</f>
        <v>61.1</v>
      </c>
      <c r="E18" s="4">
        <f>'Data Sheet'!E68</f>
        <v>65.900000000000006</v>
      </c>
      <c r="F18" s="4">
        <f>'Data Sheet'!F68</f>
        <v>75.2</v>
      </c>
      <c r="G18" s="4">
        <f>'Data Sheet'!G68</f>
        <v>35.799999999999997</v>
      </c>
      <c r="H18" s="4">
        <f>'Data Sheet'!H68</f>
        <v>24.2</v>
      </c>
      <c r="I18" s="4">
        <f>'Data Sheet'!I68</f>
        <v>40.5</v>
      </c>
      <c r="J18" s="4">
        <f>'Data Sheet'!J68</f>
        <v>23.6</v>
      </c>
      <c r="K18" s="4">
        <f>'Data Sheet'!K68</f>
        <v>37.5</v>
      </c>
    </row>
    <row r="20" spans="1:11" x14ac:dyDescent="0.3">
      <c r="A20" t="s">
        <v>46</v>
      </c>
      <c r="B20" s="4">
        <f>IF('Profit &amp; Loss'!B4&gt;0,'Balance Sheet'!B17/('Profit &amp; Loss'!B4/365),0)</f>
        <v>83.998421841361889</v>
      </c>
      <c r="C20" s="4">
        <f>IF('Profit &amp; Loss'!C4&gt;0,'Balance Sheet'!C17/('Profit &amp; Loss'!C4/365),0)</f>
        <v>79.497871232194214</v>
      </c>
      <c r="D20" s="4">
        <f>IF('Profit &amp; Loss'!D4&gt;0,'Balance Sheet'!D17/('Profit &amp; Loss'!D4/365),0)</f>
        <v>66.856795283588639</v>
      </c>
      <c r="E20" s="4">
        <f>IF('Profit &amp; Loss'!E4&gt;0,'Balance Sheet'!E17/('Profit &amp; Loss'!E4/365),0)</f>
        <v>77.072147896363361</v>
      </c>
      <c r="F20" s="4">
        <f>IF('Profit &amp; Loss'!F4&gt;0,'Balance Sheet'!F17/('Profit &amp; Loss'!F4/365),0)</f>
        <v>73.10695093273003</v>
      </c>
      <c r="G20" s="4">
        <f>IF('Profit &amp; Loss'!G4&gt;0,'Balance Sheet'!G17/('Profit &amp; Loss'!G4/365),0)</f>
        <v>75.016287970228689</v>
      </c>
      <c r="H20" s="4">
        <f>IF('Profit &amp; Loss'!H4&gt;0,'Balance Sheet'!H17/('Profit &amp; Loss'!H4/365),0)</f>
        <v>87.083920000211336</v>
      </c>
      <c r="I20" s="4">
        <f>IF('Profit &amp; Loss'!I4&gt;0,'Balance Sheet'!I17/('Profit &amp; Loss'!I4/365),0)</f>
        <v>97.560610133046637</v>
      </c>
      <c r="J20" s="4">
        <f>IF('Profit &amp; Loss'!J4&gt;0,'Balance Sheet'!J17/('Profit &amp; Loss'!J4/365),0)</f>
        <v>88.229805855485623</v>
      </c>
      <c r="K20" s="4">
        <f>IF('Profit &amp; Loss'!K4&gt;0,'Balance Sheet'!K17/('Profit &amp; Loss'!K4/365),0)</f>
        <v>80.033877931744101</v>
      </c>
    </row>
    <row r="21" spans="1:11" x14ac:dyDescent="0.3">
      <c r="A21" t="s">
        <v>47</v>
      </c>
      <c r="B21" s="4">
        <f>IF('Balance Sheet'!B18&gt;0,'Profit &amp; Loss'!B4/'Balance Sheet'!B18,0)</f>
        <v>923.31836734693877</v>
      </c>
      <c r="C21" s="4">
        <f>IF('Balance Sheet'!C18&gt;0,'Profit &amp; Loss'!C4/'Balance Sheet'!C18,0)</f>
        <v>657.42431761786611</v>
      </c>
      <c r="D21" s="4">
        <f>IF('Balance Sheet'!D18&gt;0,'Profit &amp; Loss'!D4/'Balance Sheet'!D18,0)</f>
        <v>476.93617021276594</v>
      </c>
      <c r="E21" s="4">
        <f>IF('Balance Sheet'!E18&gt;0,'Profit &amp; Loss'!E4/'Balance Sheet'!E18,0)</f>
        <v>466.9635811836115</v>
      </c>
      <c r="F21" s="4">
        <f>IF('Balance Sheet'!F18&gt;0,'Profit &amp; Loss'!F4/'Balance Sheet'!F18,0)</f>
        <v>461.99601063829783</v>
      </c>
      <c r="G21" s="4">
        <f>IF('Balance Sheet'!G18&gt;0,'Profit &amp; Loss'!G4/'Balance Sheet'!G18,0)</f>
        <v>1029.8240223463688</v>
      </c>
      <c r="H21" s="4">
        <f>IF('Balance Sheet'!H18&gt;0,'Profit &amp; Loss'!H4/'Balance Sheet'!H18,0)</f>
        <v>1564.2603305785124</v>
      </c>
      <c r="I21" s="4">
        <f>IF('Balance Sheet'!I18&gt;0,'Profit &amp; Loss'!I4/'Balance Sheet'!I18,0)</f>
        <v>1102.3703703703704</v>
      </c>
      <c r="J21" s="4">
        <f>IF('Balance Sheet'!J18&gt;0,'Profit &amp; Loss'!J4/'Balance Sheet'!J18,0)</f>
        <v>2258.0593220338978</v>
      </c>
      <c r="K21" s="4">
        <f>IF('Balance Sheet'!K18&gt;0,'Profit &amp; Loss'!K4/'Balance Sheet'!K18,0)</f>
        <v>1386.5466666666666</v>
      </c>
    </row>
    <row r="23" spans="1:11" s="2" customFormat="1" x14ac:dyDescent="0.3">
      <c r="A23" s="2" t="s">
        <v>59</v>
      </c>
      <c r="B23" s="10">
        <f>IF(SUM('Balance Sheet'!B4:B5)&gt;0,'Profit &amp; Loss'!B12/SUM('Balance Sheet'!B4:B5),"")</f>
        <v>0.21452538595302434</v>
      </c>
      <c r="C23" s="10">
        <f>IF(SUM('Balance Sheet'!C4:C5)&gt;0,'Profit &amp; Loss'!C12/SUM('Balance Sheet'!C4:C5),"")</f>
        <v>0.20512100007538947</v>
      </c>
      <c r="D23" s="10">
        <f>IF(SUM('Balance Sheet'!D4:D5)&gt;0,'Profit &amp; Loss'!D12/SUM('Balance Sheet'!D4:D5),"")</f>
        <v>0.17113011948507045</v>
      </c>
      <c r="E23" s="10">
        <f>IF(SUM('Balance Sheet'!E4:E5)&gt;0,'Profit &amp; Loss'!E12/SUM('Balance Sheet'!E4:E5),"")</f>
        <v>0.20165792769652072</v>
      </c>
      <c r="F23" s="10">
        <f>IF(SUM('Balance Sheet'!F4:F5)&gt;0,'Profit &amp; Loss'!F12/SUM('Balance Sheet'!F4:F5),"")</f>
        <v>0.21186724773717733</v>
      </c>
      <c r="G23" s="10">
        <f>IF(SUM('Balance Sheet'!G4:G5)&gt;0,'Profit &amp; Loss'!G12/SUM('Balance Sheet'!G4:G5),"")</f>
        <v>0.1848888970389353</v>
      </c>
      <c r="H23" s="10">
        <f>IF(SUM('Balance Sheet'!H4:H5)&gt;0,'Profit &amp; Loss'!H12/SUM('Balance Sheet'!H4:H5),"")</f>
        <v>0.17808164086064748</v>
      </c>
      <c r="I23" s="10">
        <f>IF(SUM('Balance Sheet'!I4:I5)&gt;0,'Profit &amp; Loss'!I12/SUM('Balance Sheet'!I4:I5),"")</f>
        <v>0.20702827153468201</v>
      </c>
      <c r="J23" s="10">
        <f>IF(SUM('Balance Sheet'!J4:J5)&gt;0,'Profit &amp; Loss'!J12/SUM('Balance Sheet'!J4:J5),"")</f>
        <v>0.17301294562122868</v>
      </c>
      <c r="K23" s="10">
        <f>IF(SUM('Balance Sheet'!K4:K5)&gt;0,'Profit &amp; Loss'!K12/SUM('Balance Sheet'!K4:K5),"")</f>
        <v>8.8408438135091166E-2</v>
      </c>
    </row>
    <row r="24" spans="1:11" s="2" customFormat="1" x14ac:dyDescent="0.3">
      <c r="A24" s="2" t="s">
        <v>60</v>
      </c>
      <c r="B24" s="10">
        <v>0.26</v>
      </c>
      <c r="C24" s="10">
        <f>IF((B4+B5+B6+C4+C5+C6)&gt;0,('Profit &amp; Loss'!C10+'Profit &amp; Loss'!C9)*2/(B4+B5+B6+C4+C5+C6),"")</f>
        <v>0.27618508738840686</v>
      </c>
      <c r="D24" s="10">
        <f>IF((C4+C5+C6+D4+D5+D6)&gt;0,('Profit &amp; Loss'!D10+'Profit &amp; Loss'!D9)*2/(C4+C5+C6+D4+D5+D6),"")</f>
        <v>0.23781252613094742</v>
      </c>
      <c r="E24" s="10">
        <f>IF((D4+D5+D6+E4+E5+E6)&gt;0,('Profit &amp; Loss'!E10+'Profit &amp; Loss'!E9)*2/(D4+D5+D6+E4+E5+E6),"")</f>
        <v>0.25823967543311444</v>
      </c>
      <c r="F24" s="10">
        <f>IF((E4+E5+E6+F4+F5+F6)&gt;0,('Profit &amp; Loss'!F10+'Profit &amp; Loss'!F9)*2/(E4+E5+E6+F4+F5+F6),"")</f>
        <v>0.26086816653760514</v>
      </c>
      <c r="G24" s="10">
        <f>IF((F4+F5+F6+G4+G5+G6)&gt;0,('Profit &amp; Loss'!G10+'Profit &amp; Loss'!G9)*2/(F4+F5+F6+G4+G5+G6),"")</f>
        <v>0.21982057428789764</v>
      </c>
      <c r="H24" s="10">
        <f>IF((G4+G5+G6+H4+H5+H6)&gt;0,('Profit &amp; Loss'!H10+'Profit &amp; Loss'!H9)*2/(G4+G5+G6+H4+H5+H6),"")</f>
        <v>0.23012090277073538</v>
      </c>
      <c r="I24" s="10">
        <f>IF((H4+H5+H6+I4+I5+I6)&gt;0,('Profit &amp; Loss'!I10+'Profit &amp; Loss'!I9)*2/(H4+H5+H6+I4+I5+I6),"")</f>
        <v>0.26592328605427984</v>
      </c>
      <c r="J24" s="10">
        <f>IF((I4+I5+I6+J4+J5+J6)&gt;0,('Profit &amp; Loss'!J10+'Profit &amp; Loss'!J9)*2/(I4+I5+I6+J4+J5+J6),"")</f>
        <v>0.22507013601733789</v>
      </c>
      <c r="K24" s="10">
        <f>IF((J4+J5+J6+K4+K5+K6)&gt;0,('Profit &amp; Loss'!K10+'Profit &amp; Loss'!K9)*2/(J4+J5+J6+K4+K5+K6),"")</f>
        <v>0.12081348503778136</v>
      </c>
    </row>
  </sheetData>
  <hyperlinks>
    <hyperlink ref="J1" r:id="rId1" xr:uid="{00000000-0004-0000-0200-000000000000}"/>
  </hyperlinks>
  <printOptions gridLines="1"/>
  <pageMargins left="0.7" right="0.7" top="0.75" bottom="0.75" header="0.3" footer="0.3"/>
  <pageSetup paperSize="9" orientation="landscape"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K8"/>
  <sheetViews>
    <sheetView zoomScale="150" zoomScaleNormal="150" zoomScalePageLayoutView="150" workbookViewId="0">
      <pane xSplit="1" ySplit="3" topLeftCell="E4" activePane="bottomRight" state="frozen"/>
      <selection pane="topRight" activeCell="B1" sqref="B1"/>
      <selection pane="bottomLeft" activeCell="A4" sqref="A4"/>
      <selection pane="bottomRight" activeCell="A6" sqref="A6"/>
    </sheetView>
  </sheetViews>
  <sheetFormatPr defaultColWidth="8.77734375" defaultRowHeight="14.4" x14ac:dyDescent="0.3"/>
  <cols>
    <col min="1" max="1" width="26.77734375" bestFit="1" customWidth="1"/>
    <col min="2" max="6" width="13.44140625" customWidth="1"/>
    <col min="7" max="11" width="13.44140625" bestFit="1" customWidth="1"/>
  </cols>
  <sheetData>
    <row r="1" spans="1:11" s="2" customFormat="1" x14ac:dyDescent="0.3">
      <c r="A1" s="2" t="str">
        <f>'Balance Sheet'!A1</f>
        <v>TECH MAHINDRA LTD</v>
      </c>
      <c r="E1" t="str">
        <f>UPDATE</f>
        <v/>
      </c>
      <c r="F1"/>
      <c r="J1" s="2" t="s">
        <v>1</v>
      </c>
    </row>
    <row r="3" spans="1:11" s="2" customFormat="1" x14ac:dyDescent="0.3">
      <c r="A3" s="11" t="s">
        <v>2</v>
      </c>
      <c r="B3" s="12">
        <f>'Data Sheet'!B81</f>
        <v>42094</v>
      </c>
      <c r="C3" s="12">
        <f>'Data Sheet'!C81</f>
        <v>42460</v>
      </c>
      <c r="D3" s="12">
        <f>'Data Sheet'!D81</f>
        <v>42825</v>
      </c>
      <c r="E3" s="12">
        <f>'Data Sheet'!E81</f>
        <v>43190</v>
      </c>
      <c r="F3" s="12">
        <f>'Data Sheet'!F81</f>
        <v>43555</v>
      </c>
      <c r="G3" s="12">
        <f>'Data Sheet'!G81</f>
        <v>43921</v>
      </c>
      <c r="H3" s="12">
        <f>'Data Sheet'!H81</f>
        <v>44286</v>
      </c>
      <c r="I3" s="12">
        <f>'Data Sheet'!I81</f>
        <v>44651</v>
      </c>
      <c r="J3" s="12">
        <f>'Data Sheet'!J81</f>
        <v>45016</v>
      </c>
      <c r="K3" s="12">
        <f>'Data Sheet'!K81</f>
        <v>45382</v>
      </c>
    </row>
    <row r="4" spans="1:11" s="2" customFormat="1" x14ac:dyDescent="0.3">
      <c r="A4" s="2" t="s">
        <v>32</v>
      </c>
      <c r="B4" s="1">
        <f>'Data Sheet'!B82</f>
        <v>2447.9</v>
      </c>
      <c r="C4" s="1">
        <f>'Data Sheet'!C82</f>
        <v>3137</v>
      </c>
      <c r="D4" s="1">
        <f>'Data Sheet'!D82</f>
        <v>4071.4</v>
      </c>
      <c r="E4" s="1">
        <f>'Data Sheet'!E82</f>
        <v>3553.5</v>
      </c>
      <c r="F4" s="1">
        <f>'Data Sheet'!F82</f>
        <v>4432</v>
      </c>
      <c r="G4" s="1">
        <f>'Data Sheet'!G82</f>
        <v>4358.1000000000004</v>
      </c>
      <c r="H4" s="1">
        <f>'Data Sheet'!H82</f>
        <v>8093.8</v>
      </c>
      <c r="I4" s="1">
        <f>'Data Sheet'!I82</f>
        <v>5285.3</v>
      </c>
      <c r="J4" s="1">
        <f>'Data Sheet'!J82</f>
        <v>5572</v>
      </c>
      <c r="K4" s="1">
        <f>'Data Sheet'!K82</f>
        <v>6376.4</v>
      </c>
    </row>
    <row r="5" spans="1:11" x14ac:dyDescent="0.3">
      <c r="A5" t="s">
        <v>33</v>
      </c>
      <c r="B5" s="6">
        <f>'Data Sheet'!B83</f>
        <v>-1865.2</v>
      </c>
      <c r="C5" s="6">
        <f>'Data Sheet'!C83</f>
        <v>-1453.2</v>
      </c>
      <c r="D5" s="6">
        <f>'Data Sheet'!D83</f>
        <v>-2893</v>
      </c>
      <c r="E5" s="6">
        <f>'Data Sheet'!E83</f>
        <v>-3319.3</v>
      </c>
      <c r="F5" s="6">
        <f>'Data Sheet'!F83</f>
        <v>-2104.1999999999998</v>
      </c>
      <c r="G5" s="6">
        <f>'Data Sheet'!G83</f>
        <v>1081.4000000000001</v>
      </c>
      <c r="H5" s="6">
        <f>'Data Sheet'!H83</f>
        <v>-5433.2</v>
      </c>
      <c r="I5" s="6">
        <f>'Data Sheet'!I83</f>
        <v>479.8</v>
      </c>
      <c r="J5" s="6">
        <f>'Data Sheet'!J83</f>
        <v>-226.5</v>
      </c>
      <c r="K5" s="6">
        <f>'Data Sheet'!K83</f>
        <v>-1318.4</v>
      </c>
    </row>
    <row r="6" spans="1:11" x14ac:dyDescent="0.3">
      <c r="A6" t="s">
        <v>34</v>
      </c>
      <c r="B6" s="6">
        <f>'Data Sheet'!B84</f>
        <v>-829</v>
      </c>
      <c r="C6" s="6">
        <f>'Data Sheet'!C84</f>
        <v>-496.1</v>
      </c>
      <c r="D6" s="6">
        <f>'Data Sheet'!D84</f>
        <v>-1570.9</v>
      </c>
      <c r="E6" s="6">
        <f>'Data Sheet'!E84</f>
        <v>-269.39999999999998</v>
      </c>
      <c r="F6" s="6">
        <f>'Data Sheet'!F84</f>
        <v>-2251.1999999999998</v>
      </c>
      <c r="G6" s="6">
        <f>'Data Sheet'!G84</f>
        <v>-4465.5</v>
      </c>
      <c r="H6" s="6">
        <f>'Data Sheet'!H84</f>
        <v>-2986.9</v>
      </c>
      <c r="I6" s="6">
        <f>'Data Sheet'!I84</f>
        <v>-4666.6000000000004</v>
      </c>
      <c r="J6" s="6">
        <f>'Data Sheet'!J84</f>
        <v>-5078.1000000000004</v>
      </c>
      <c r="K6" s="6">
        <f>'Data Sheet'!K84</f>
        <v>-4767.2</v>
      </c>
    </row>
    <row r="7" spans="1:11" s="2" customFormat="1" x14ac:dyDescent="0.3">
      <c r="A7" s="2" t="s">
        <v>35</v>
      </c>
      <c r="B7" s="1">
        <f>'Data Sheet'!B85</f>
        <v>-246.3</v>
      </c>
      <c r="C7" s="1">
        <f>'Data Sheet'!C85</f>
        <v>1187.7</v>
      </c>
      <c r="D7" s="1">
        <f>'Data Sheet'!D85</f>
        <v>-392.5</v>
      </c>
      <c r="E7" s="1">
        <f>'Data Sheet'!E85</f>
        <v>-35.200000000000003</v>
      </c>
      <c r="F7" s="1">
        <f>'Data Sheet'!F85</f>
        <v>76.599999999999994</v>
      </c>
      <c r="G7" s="1">
        <f>'Data Sheet'!G85</f>
        <v>974</v>
      </c>
      <c r="H7" s="1">
        <f>'Data Sheet'!H85</f>
        <v>-326.3</v>
      </c>
      <c r="I7" s="1">
        <f>'Data Sheet'!I85</f>
        <v>1098.5</v>
      </c>
      <c r="J7" s="1">
        <f>'Data Sheet'!J85</f>
        <v>267.39999999999998</v>
      </c>
      <c r="K7" s="1">
        <f>'Data Sheet'!K85</f>
        <v>290.8</v>
      </c>
    </row>
    <row r="8" spans="1:11" x14ac:dyDescent="0.3">
      <c r="B8" s="6"/>
      <c r="C8" s="6"/>
      <c r="D8" s="6"/>
      <c r="E8" s="6"/>
      <c r="F8" s="6"/>
      <c r="G8" s="6"/>
      <c r="H8" s="6"/>
      <c r="I8" s="6"/>
      <c r="J8" s="6"/>
      <c r="K8" s="6"/>
    </row>
  </sheetData>
  <hyperlinks>
    <hyperlink ref="J1" r:id="rId1" xr:uid="{00000000-0004-0000-0300-000000000000}"/>
  </hyperlinks>
  <printOptions gridLines="1"/>
  <pageMargins left="0.7" right="0.7" top="0.75" bottom="0.75" header="0.3" footer="0.3"/>
  <pageSetup paperSize="9" orientation="landscape" horizontalDpi="0"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16"/>
  <sheetViews>
    <sheetView zoomScale="150" zoomScaleNormal="150" zoomScalePageLayoutView="150" workbookViewId="0">
      <selection activeCell="B16" sqref="B16"/>
    </sheetView>
  </sheetViews>
  <sheetFormatPr defaultColWidth="8.77734375" defaultRowHeight="14.4" x14ac:dyDescent="0.3"/>
  <cols>
    <col min="1" max="1" width="8.77734375" style="2"/>
    <col min="2" max="2" width="10.44140625" customWidth="1"/>
    <col min="3" max="3" width="13.33203125" style="20" customWidth="1"/>
    <col min="6" max="6" width="6.77734375" customWidth="1"/>
  </cols>
  <sheetData>
    <row r="1" spans="1:7" ht="21" x14ac:dyDescent="0.4">
      <c r="A1" s="19" t="s">
        <v>56</v>
      </c>
    </row>
    <row r="3" spans="1:7" x14ac:dyDescent="0.3">
      <c r="A3" s="2" t="s">
        <v>48</v>
      </c>
    </row>
    <row r="4" spans="1:7" x14ac:dyDescent="0.3">
      <c r="B4" t="s">
        <v>90</v>
      </c>
    </row>
    <row r="5" spans="1:7" x14ac:dyDescent="0.3">
      <c r="B5" t="s">
        <v>49</v>
      </c>
    </row>
    <row r="7" spans="1:7" x14ac:dyDescent="0.3">
      <c r="A7" s="2" t="s">
        <v>50</v>
      </c>
    </row>
    <row r="8" spans="1:7" x14ac:dyDescent="0.3">
      <c r="B8" t="s">
        <v>51</v>
      </c>
      <c r="C8" s="21" t="s">
        <v>91</v>
      </c>
    </row>
    <row r="10" spans="1:7" x14ac:dyDescent="0.3">
      <c r="A10" s="2" t="s">
        <v>52</v>
      </c>
    </row>
    <row r="11" spans="1:7" x14ac:dyDescent="0.3">
      <c r="B11" t="s">
        <v>53</v>
      </c>
    </row>
    <row r="14" spans="1:7" x14ac:dyDescent="0.3">
      <c r="A14" s="2" t="s">
        <v>54</v>
      </c>
    </row>
    <row r="15" spans="1:7" x14ac:dyDescent="0.3">
      <c r="B15" t="s">
        <v>55</v>
      </c>
    </row>
    <row r="16" spans="1:7" x14ac:dyDescent="0.3">
      <c r="B16" t="s">
        <v>92</v>
      </c>
      <c r="G16" s="22"/>
    </row>
  </sheetData>
  <hyperlinks>
    <hyperlink ref="C8" r:id="rId1" display=" http://www.screener.in/excel" xr:uid="{00000000-0004-0000-04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93"/>
  <sheetViews>
    <sheetView zoomScale="120" zoomScaleNormal="120" zoomScalePageLayoutView="120" workbookViewId="0">
      <pane xSplit="1" ySplit="1" topLeftCell="E57" activePane="bottomRight" state="frozen"/>
      <selection activeCell="C4" sqref="C4"/>
      <selection pane="topRight" activeCell="C4" sqref="C4"/>
      <selection pane="bottomLeft" activeCell="C4" sqref="C4"/>
      <selection pane="bottomRight" activeCell="A51" sqref="A51"/>
    </sheetView>
  </sheetViews>
  <sheetFormatPr defaultColWidth="8.77734375" defaultRowHeight="14.4" x14ac:dyDescent="0.3"/>
  <cols>
    <col min="1" max="1" width="27.6640625" style="4" bestFit="1" customWidth="1"/>
    <col min="2" max="11" width="13.44140625" style="4" bestFit="1" customWidth="1"/>
    <col min="12" max="16384" width="8.77734375" style="4"/>
  </cols>
  <sheetData>
    <row r="1" spans="1:11" s="1" customFormat="1" x14ac:dyDescent="0.3">
      <c r="A1" s="1" t="s">
        <v>0</v>
      </c>
      <c r="B1" s="1" t="s">
        <v>63</v>
      </c>
      <c r="E1" s="62" t="str">
        <f>IF(B2&lt;&gt;B3, "A NEW VERSION OF THE WORKSHEET IS AVAILABLE", "")</f>
        <v/>
      </c>
      <c r="F1" s="62"/>
      <c r="G1" s="62"/>
      <c r="H1" s="62"/>
      <c r="I1" s="62"/>
      <c r="J1" s="62"/>
      <c r="K1" s="62"/>
    </row>
    <row r="2" spans="1:11" x14ac:dyDescent="0.3">
      <c r="A2" s="1" t="s">
        <v>61</v>
      </c>
      <c r="B2" s="4">
        <v>2.1</v>
      </c>
      <c r="E2" s="63" t="s">
        <v>36</v>
      </c>
      <c r="F2" s="63"/>
      <c r="G2" s="63"/>
      <c r="H2" s="63"/>
      <c r="I2" s="63"/>
      <c r="J2" s="63"/>
      <c r="K2" s="63"/>
    </row>
    <row r="3" spans="1:11" x14ac:dyDescent="0.3">
      <c r="A3" s="1" t="s">
        <v>62</v>
      </c>
      <c r="B3" s="4">
        <v>2.1</v>
      </c>
    </row>
    <row r="4" spans="1:11" x14ac:dyDescent="0.3">
      <c r="A4" s="1"/>
    </row>
    <row r="5" spans="1:11" x14ac:dyDescent="0.3">
      <c r="A5" s="1" t="s">
        <v>64</v>
      </c>
    </row>
    <row r="6" spans="1:11" x14ac:dyDescent="0.3">
      <c r="A6" s="4" t="s">
        <v>42</v>
      </c>
      <c r="B6" s="4">
        <f>IF(B9&gt;0, B9/B8, 0)</f>
        <v>97.862127756308269</v>
      </c>
    </row>
    <row r="7" spans="1:11" x14ac:dyDescent="0.3">
      <c r="A7" s="4" t="s">
        <v>31</v>
      </c>
      <c r="B7">
        <v>5</v>
      </c>
    </row>
    <row r="8" spans="1:11" x14ac:dyDescent="0.3">
      <c r="A8" s="4" t="s">
        <v>43</v>
      </c>
      <c r="B8">
        <v>1759.6</v>
      </c>
    </row>
    <row r="9" spans="1:11" x14ac:dyDescent="0.3">
      <c r="A9" s="4" t="s">
        <v>79</v>
      </c>
      <c r="B9">
        <v>172198.2</v>
      </c>
    </row>
    <row r="15" spans="1:11" x14ac:dyDescent="0.3">
      <c r="A15" s="1" t="s">
        <v>37</v>
      </c>
    </row>
    <row r="16" spans="1:11" s="18" customFormat="1" x14ac:dyDescent="0.3">
      <c r="A16" s="17" t="s">
        <v>38</v>
      </c>
      <c r="B16" s="12">
        <v>42094</v>
      </c>
      <c r="C16" s="12">
        <v>42460</v>
      </c>
      <c r="D16" s="12">
        <v>42825</v>
      </c>
      <c r="E16" s="12">
        <v>43190</v>
      </c>
      <c r="F16" s="12">
        <v>43555</v>
      </c>
      <c r="G16" s="12">
        <v>43921</v>
      </c>
      <c r="H16" s="12">
        <v>44286</v>
      </c>
      <c r="I16" s="12">
        <v>44651</v>
      </c>
      <c r="J16" s="12">
        <v>45016</v>
      </c>
      <c r="K16" s="12">
        <v>45382</v>
      </c>
    </row>
    <row r="17" spans="1:11" s="6" customFormat="1" x14ac:dyDescent="0.3">
      <c r="A17" s="6" t="s">
        <v>6</v>
      </c>
      <c r="B17">
        <v>22621.3</v>
      </c>
      <c r="C17">
        <v>26494.2</v>
      </c>
      <c r="D17">
        <v>29140.799999999999</v>
      </c>
      <c r="E17">
        <v>30772.9</v>
      </c>
      <c r="F17">
        <v>34742.1</v>
      </c>
      <c r="G17">
        <v>36867.699999999997</v>
      </c>
      <c r="H17">
        <v>37855.1</v>
      </c>
      <c r="I17">
        <v>44646</v>
      </c>
      <c r="J17">
        <v>53290.2</v>
      </c>
      <c r="K17">
        <v>51995.5</v>
      </c>
    </row>
    <row r="18" spans="1:11" s="6" customFormat="1" x14ac:dyDescent="0.3">
      <c r="A18" s="4" t="s">
        <v>80</v>
      </c>
    </row>
    <row r="19" spans="1:11" s="6" customFormat="1" x14ac:dyDescent="0.3">
      <c r="A19" s="4" t="s">
        <v>81</v>
      </c>
    </row>
    <row r="20" spans="1:11" s="6" customFormat="1" x14ac:dyDescent="0.3">
      <c r="A20" s="4" t="s">
        <v>82</v>
      </c>
      <c r="B20">
        <v>150.9</v>
      </c>
      <c r="C20">
        <v>168.8</v>
      </c>
      <c r="D20">
        <v>187.9</v>
      </c>
      <c r="E20">
        <v>194.7</v>
      </c>
      <c r="F20">
        <v>199.2</v>
      </c>
      <c r="G20">
        <v>205.3</v>
      </c>
      <c r="H20">
        <v>140.4</v>
      </c>
      <c r="I20">
        <v>139.9</v>
      </c>
      <c r="J20">
        <v>175.3</v>
      </c>
      <c r="K20">
        <v>194.7</v>
      </c>
    </row>
    <row r="21" spans="1:11" s="6" customFormat="1" x14ac:dyDescent="0.3">
      <c r="A21" s="4" t="s">
        <v>83</v>
      </c>
      <c r="B21">
        <v>3855.3</v>
      </c>
      <c r="C21">
        <v>5092.8999999999996</v>
      </c>
      <c r="D21">
        <v>5910.3</v>
      </c>
      <c r="E21">
        <v>5861.6</v>
      </c>
      <c r="F21">
        <v>6716.7</v>
      </c>
      <c r="G21">
        <v>8293.7000000000007</v>
      </c>
      <c r="H21">
        <v>8564.1</v>
      </c>
      <c r="I21">
        <v>11289.8</v>
      </c>
      <c r="J21">
        <v>13628.8</v>
      </c>
      <c r="K21">
        <v>12770.6</v>
      </c>
    </row>
    <row r="22" spans="1:11" s="6" customFormat="1" x14ac:dyDescent="0.3">
      <c r="A22" s="4" t="s">
        <v>84</v>
      </c>
      <c r="B22">
        <v>11913.7</v>
      </c>
      <c r="C22">
        <v>13947.5</v>
      </c>
      <c r="D22">
        <v>15453.9</v>
      </c>
      <c r="E22">
        <v>16624</v>
      </c>
      <c r="F22">
        <v>17507.900000000001</v>
      </c>
      <c r="G22">
        <v>18810</v>
      </c>
      <c r="H22">
        <v>19297.3</v>
      </c>
      <c r="I22">
        <v>22285.9</v>
      </c>
      <c r="J22">
        <v>27691.8</v>
      </c>
      <c r="K22">
        <v>29128.3</v>
      </c>
    </row>
    <row r="23" spans="1:11" s="6" customFormat="1" x14ac:dyDescent="0.3">
      <c r="A23" s="4" t="s">
        <v>85</v>
      </c>
      <c r="B23">
        <v>2384.1999999999998</v>
      </c>
      <c r="C23">
        <v>2795.5</v>
      </c>
      <c r="D23">
        <v>3053.2</v>
      </c>
      <c r="E23">
        <v>3008.1</v>
      </c>
      <c r="F23">
        <v>3422.1</v>
      </c>
      <c r="G23">
        <v>3400.1</v>
      </c>
      <c r="H23">
        <v>2152.1</v>
      </c>
      <c r="I23">
        <v>2592.1999999999998</v>
      </c>
      <c r="J23">
        <v>3011.1</v>
      </c>
      <c r="K23">
        <v>3284.1</v>
      </c>
    </row>
    <row r="24" spans="1:11" s="6" customFormat="1" x14ac:dyDescent="0.3">
      <c r="A24" s="4" t="s">
        <v>86</v>
      </c>
      <c r="B24">
        <v>124.2</v>
      </c>
      <c r="C24">
        <v>229.8</v>
      </c>
      <c r="D24">
        <v>351.1</v>
      </c>
      <c r="E24">
        <v>374.9</v>
      </c>
      <c r="F24">
        <v>624.79999999999995</v>
      </c>
      <c r="G24">
        <v>655.5</v>
      </c>
      <c r="H24">
        <v>904.9</v>
      </c>
      <c r="I24">
        <v>318.2</v>
      </c>
      <c r="J24">
        <v>1020.4</v>
      </c>
      <c r="K24">
        <v>2111.5</v>
      </c>
    </row>
    <row r="25" spans="1:11" s="6" customFormat="1" x14ac:dyDescent="0.3">
      <c r="A25" s="6" t="s">
        <v>9</v>
      </c>
      <c r="B25">
        <v>105.6</v>
      </c>
      <c r="C25">
        <v>452.9</v>
      </c>
      <c r="D25">
        <v>775.3</v>
      </c>
      <c r="E25">
        <v>1416.6</v>
      </c>
      <c r="F25">
        <v>534.20000000000005</v>
      </c>
      <c r="G25">
        <v>1192.4000000000001</v>
      </c>
      <c r="H25">
        <v>788.3</v>
      </c>
      <c r="I25">
        <v>1115.0999999999999</v>
      </c>
      <c r="J25">
        <v>965</v>
      </c>
      <c r="K25">
        <v>927.4</v>
      </c>
    </row>
    <row r="26" spans="1:11" s="6" customFormat="1" x14ac:dyDescent="0.3">
      <c r="A26" s="6" t="s">
        <v>10</v>
      </c>
      <c r="B26">
        <v>611.4</v>
      </c>
      <c r="C26">
        <v>758.9</v>
      </c>
      <c r="D26">
        <v>978.1</v>
      </c>
      <c r="E26">
        <v>1085</v>
      </c>
      <c r="F26">
        <v>1129.2</v>
      </c>
      <c r="G26">
        <v>1445.8</v>
      </c>
      <c r="H26">
        <v>1457.7</v>
      </c>
      <c r="I26">
        <v>1520.4</v>
      </c>
      <c r="J26">
        <v>1956.7</v>
      </c>
      <c r="K26">
        <v>1817.1</v>
      </c>
    </row>
    <row r="27" spans="1:11" s="6" customFormat="1" x14ac:dyDescent="0.3">
      <c r="A27" s="6" t="s">
        <v>11</v>
      </c>
      <c r="B27">
        <v>69.099999999999994</v>
      </c>
      <c r="C27">
        <v>97</v>
      </c>
      <c r="D27">
        <v>128.6</v>
      </c>
      <c r="E27">
        <v>162.4</v>
      </c>
      <c r="F27">
        <v>133.19999999999999</v>
      </c>
      <c r="G27">
        <v>191.9</v>
      </c>
      <c r="H27">
        <v>174</v>
      </c>
      <c r="I27">
        <v>162.6</v>
      </c>
      <c r="J27">
        <v>325.60000000000002</v>
      </c>
      <c r="K27">
        <v>392.2</v>
      </c>
    </row>
    <row r="28" spans="1:11" s="6" customFormat="1" x14ac:dyDescent="0.3">
      <c r="A28" s="6" t="s">
        <v>12</v>
      </c>
      <c r="B28">
        <v>3618.1</v>
      </c>
      <c r="C28">
        <v>3856.7</v>
      </c>
      <c r="D28">
        <v>3853</v>
      </c>
      <c r="E28">
        <v>4878.8</v>
      </c>
      <c r="F28">
        <v>5543.2</v>
      </c>
      <c r="G28">
        <v>5057.8</v>
      </c>
      <c r="H28">
        <v>5952.9</v>
      </c>
      <c r="I28">
        <v>7452.1</v>
      </c>
      <c r="J28">
        <v>6445.5</v>
      </c>
      <c r="K28">
        <v>3224.4</v>
      </c>
    </row>
    <row r="29" spans="1:11" s="6" customFormat="1" x14ac:dyDescent="0.3">
      <c r="A29" s="6" t="s">
        <v>13</v>
      </c>
      <c r="B29">
        <v>959.5</v>
      </c>
      <c r="C29">
        <v>830.1</v>
      </c>
      <c r="D29">
        <v>1002.1</v>
      </c>
      <c r="E29">
        <v>1092.5999999999999</v>
      </c>
      <c r="F29">
        <v>1254.4000000000001</v>
      </c>
      <c r="G29">
        <v>1160.4000000000001</v>
      </c>
      <c r="H29">
        <v>1599.9</v>
      </c>
      <c r="I29">
        <v>1822</v>
      </c>
      <c r="J29">
        <v>1588.5</v>
      </c>
      <c r="K29">
        <v>827.6</v>
      </c>
    </row>
    <row r="30" spans="1:11" s="6" customFormat="1" x14ac:dyDescent="0.3">
      <c r="A30" s="6" t="s">
        <v>14</v>
      </c>
      <c r="B30">
        <v>2627.7</v>
      </c>
      <c r="C30">
        <v>2992.9</v>
      </c>
      <c r="D30">
        <v>2812.9</v>
      </c>
      <c r="E30">
        <v>3799.8</v>
      </c>
      <c r="F30">
        <v>4297.6000000000004</v>
      </c>
      <c r="G30">
        <v>4033</v>
      </c>
      <c r="H30">
        <v>4428</v>
      </c>
      <c r="I30">
        <v>5566.1</v>
      </c>
      <c r="J30">
        <v>4831.3</v>
      </c>
      <c r="K30">
        <v>2357.8000000000002</v>
      </c>
    </row>
    <row r="31" spans="1:11" s="6" customFormat="1" x14ac:dyDescent="0.3">
      <c r="A31" s="6" t="s">
        <v>70</v>
      </c>
      <c r="B31">
        <v>576.48</v>
      </c>
      <c r="C31">
        <v>1045.2</v>
      </c>
      <c r="D31">
        <v>789.84</v>
      </c>
      <c r="E31">
        <v>1236.76</v>
      </c>
      <c r="F31">
        <v>1242.3599999999999</v>
      </c>
      <c r="G31">
        <v>1307.7</v>
      </c>
      <c r="H31">
        <v>3933</v>
      </c>
      <c r="I31">
        <v>2632.8</v>
      </c>
      <c r="J31">
        <v>4400</v>
      </c>
      <c r="K31">
        <v>3530.4</v>
      </c>
    </row>
    <row r="32" spans="1:11" s="6" customFormat="1" x14ac:dyDescent="0.3"/>
    <row r="33" spans="1:11" x14ac:dyDescent="0.3">
      <c r="A33" s="6"/>
    </row>
    <row r="34" spans="1:11" x14ac:dyDescent="0.3">
      <c r="A34" s="6"/>
    </row>
    <row r="35" spans="1:11" x14ac:dyDescent="0.3">
      <c r="A35" s="6"/>
    </row>
    <row r="36" spans="1:11" x14ac:dyDescent="0.3">
      <c r="A36" s="6"/>
    </row>
    <row r="37" spans="1:11" x14ac:dyDescent="0.3">
      <c r="A37" s="6"/>
    </row>
    <row r="38" spans="1:11" x14ac:dyDescent="0.3">
      <c r="A38" s="6"/>
    </row>
    <row r="39" spans="1:11" x14ac:dyDescent="0.3">
      <c r="A39" s="6"/>
    </row>
    <row r="40" spans="1:11" x14ac:dyDescent="0.3">
      <c r="A40" s="1" t="s">
        <v>39</v>
      </c>
    </row>
    <row r="41" spans="1:11" s="18" customFormat="1" x14ac:dyDescent="0.3">
      <c r="A41" s="17" t="s">
        <v>38</v>
      </c>
      <c r="B41" s="12">
        <v>44742</v>
      </c>
      <c r="C41" s="12">
        <v>44834</v>
      </c>
      <c r="D41" s="12">
        <v>44926</v>
      </c>
      <c r="E41" s="12">
        <v>45016</v>
      </c>
      <c r="F41" s="12">
        <v>45107</v>
      </c>
      <c r="G41" s="12">
        <v>45199</v>
      </c>
      <c r="H41" s="12">
        <v>45291</v>
      </c>
      <c r="I41" s="12">
        <v>45382</v>
      </c>
      <c r="J41" s="12">
        <v>45473</v>
      </c>
      <c r="K41" s="12">
        <v>45565</v>
      </c>
    </row>
    <row r="42" spans="1:11" s="6" customFormat="1" x14ac:dyDescent="0.3">
      <c r="A42" s="6" t="s">
        <v>6</v>
      </c>
      <c r="B42">
        <v>12707.9</v>
      </c>
      <c r="C42">
        <v>13129.5</v>
      </c>
      <c r="D42">
        <v>13734.6</v>
      </c>
      <c r="E42">
        <v>13718.2</v>
      </c>
      <c r="F42">
        <v>13159</v>
      </c>
      <c r="G42">
        <v>12863.9</v>
      </c>
      <c r="H42">
        <v>13101.3</v>
      </c>
      <c r="I42">
        <v>12871.3</v>
      </c>
      <c r="J42">
        <v>13005.5</v>
      </c>
      <c r="K42">
        <v>13313.2</v>
      </c>
    </row>
    <row r="43" spans="1:11" s="6" customFormat="1" x14ac:dyDescent="0.3">
      <c r="A43" s="6" t="s">
        <v>7</v>
      </c>
      <c r="B43">
        <v>10827.8</v>
      </c>
      <c r="C43">
        <v>11185.1</v>
      </c>
      <c r="D43">
        <v>11599.6</v>
      </c>
      <c r="E43">
        <v>11915.2</v>
      </c>
      <c r="F43">
        <v>11821</v>
      </c>
      <c r="G43">
        <v>11949.6</v>
      </c>
      <c r="H43">
        <v>11954.9</v>
      </c>
      <c r="I43">
        <v>11772.2</v>
      </c>
      <c r="J43">
        <v>11441</v>
      </c>
      <c r="K43">
        <v>11563</v>
      </c>
    </row>
    <row r="44" spans="1:11" s="6" customFormat="1" x14ac:dyDescent="0.3">
      <c r="A44" s="6" t="s">
        <v>9</v>
      </c>
      <c r="B44">
        <v>122.4</v>
      </c>
      <c r="C44">
        <v>290.2</v>
      </c>
      <c r="D44">
        <v>247.2</v>
      </c>
      <c r="E44">
        <v>305.5</v>
      </c>
      <c r="F44">
        <v>199.5</v>
      </c>
      <c r="G44">
        <v>264.2</v>
      </c>
      <c r="H44">
        <v>92.3</v>
      </c>
      <c r="I44">
        <v>379.9</v>
      </c>
      <c r="J44">
        <v>147.30000000000001</v>
      </c>
      <c r="K44">
        <v>522.1</v>
      </c>
    </row>
    <row r="45" spans="1:11" s="6" customFormat="1" x14ac:dyDescent="0.3">
      <c r="A45" s="6" t="s">
        <v>10</v>
      </c>
      <c r="B45">
        <v>476.7</v>
      </c>
      <c r="C45">
        <v>491.7</v>
      </c>
      <c r="D45">
        <v>498.1</v>
      </c>
      <c r="E45">
        <v>490.2</v>
      </c>
      <c r="F45">
        <v>446.6</v>
      </c>
      <c r="G45">
        <v>465.7</v>
      </c>
      <c r="H45">
        <v>443.4</v>
      </c>
      <c r="I45">
        <v>461.4</v>
      </c>
      <c r="J45">
        <v>462.2</v>
      </c>
      <c r="K45">
        <v>469.8</v>
      </c>
    </row>
    <row r="46" spans="1:11" s="6" customFormat="1" x14ac:dyDescent="0.3">
      <c r="A46" s="6" t="s">
        <v>11</v>
      </c>
      <c r="B46">
        <v>40.299999999999997</v>
      </c>
      <c r="C46">
        <v>79</v>
      </c>
      <c r="D46">
        <v>112.9</v>
      </c>
      <c r="E46">
        <v>93.4</v>
      </c>
      <c r="F46">
        <v>119.7</v>
      </c>
      <c r="G46">
        <v>97.5</v>
      </c>
      <c r="H46">
        <v>116.5</v>
      </c>
      <c r="I46">
        <v>58.5</v>
      </c>
      <c r="J46">
        <v>71.5</v>
      </c>
      <c r="K46">
        <v>89</v>
      </c>
    </row>
    <row r="47" spans="1:11" s="6" customFormat="1" x14ac:dyDescent="0.3">
      <c r="A47" s="6" t="s">
        <v>12</v>
      </c>
      <c r="B47">
        <v>1485.5</v>
      </c>
      <c r="C47">
        <v>1663.9</v>
      </c>
      <c r="D47">
        <v>1771.2</v>
      </c>
      <c r="E47">
        <v>1524.9</v>
      </c>
      <c r="F47">
        <v>971.2</v>
      </c>
      <c r="G47">
        <v>615.29999999999995</v>
      </c>
      <c r="H47">
        <v>678.8</v>
      </c>
      <c r="I47">
        <v>959.1</v>
      </c>
      <c r="J47">
        <v>1178.0999999999999</v>
      </c>
      <c r="K47">
        <v>1713.5</v>
      </c>
    </row>
    <row r="48" spans="1:11" s="6" customFormat="1" x14ac:dyDescent="0.3">
      <c r="A48" s="6" t="s">
        <v>13</v>
      </c>
      <c r="B48">
        <v>338</v>
      </c>
      <c r="C48">
        <v>364.7</v>
      </c>
      <c r="D48">
        <v>485.9</v>
      </c>
      <c r="E48">
        <v>399.9</v>
      </c>
      <c r="F48">
        <v>267.60000000000002</v>
      </c>
      <c r="G48">
        <v>110</v>
      </c>
      <c r="H48">
        <v>155.1</v>
      </c>
      <c r="I48">
        <v>294.89999999999998</v>
      </c>
      <c r="J48">
        <v>313.3</v>
      </c>
      <c r="K48">
        <v>456</v>
      </c>
    </row>
    <row r="49" spans="1:11" s="6" customFormat="1" x14ac:dyDescent="0.3">
      <c r="A49" s="6" t="s">
        <v>14</v>
      </c>
      <c r="B49">
        <v>1131.5999999999999</v>
      </c>
      <c r="C49">
        <v>1285.4000000000001</v>
      </c>
      <c r="D49">
        <v>1296.5999999999999</v>
      </c>
      <c r="E49">
        <v>1117.7</v>
      </c>
      <c r="F49">
        <v>692.5</v>
      </c>
      <c r="G49">
        <v>493.9</v>
      </c>
      <c r="H49">
        <v>510.4</v>
      </c>
      <c r="I49">
        <v>661</v>
      </c>
      <c r="J49">
        <v>851.5</v>
      </c>
      <c r="K49">
        <v>1250.0999999999999</v>
      </c>
    </row>
    <row r="50" spans="1:11" x14ac:dyDescent="0.3">
      <c r="A50" s="6" t="s">
        <v>8</v>
      </c>
      <c r="B50">
        <v>1880.1</v>
      </c>
      <c r="C50">
        <v>1944.4</v>
      </c>
      <c r="D50">
        <v>2135</v>
      </c>
      <c r="E50">
        <v>1803</v>
      </c>
      <c r="F50">
        <v>1338</v>
      </c>
      <c r="G50">
        <v>914.3</v>
      </c>
      <c r="H50">
        <v>1146.4000000000001</v>
      </c>
      <c r="I50">
        <v>1099.0999999999999</v>
      </c>
      <c r="J50">
        <v>1564.5</v>
      </c>
      <c r="K50">
        <v>1750.2</v>
      </c>
    </row>
    <row r="51" spans="1:11" x14ac:dyDescent="0.3">
      <c r="A51" s="6"/>
    </row>
    <row r="52" spans="1:11" x14ac:dyDescent="0.3">
      <c r="A52" s="6"/>
    </row>
    <row r="53" spans="1:11" x14ac:dyDescent="0.3">
      <c r="A53" s="6"/>
    </row>
    <row r="54" spans="1:11" x14ac:dyDescent="0.3">
      <c r="A54" s="6"/>
    </row>
    <row r="55" spans="1:11" x14ac:dyDescent="0.3">
      <c r="A55" s="1" t="s">
        <v>40</v>
      </c>
    </row>
    <row r="56" spans="1:11" s="18" customFormat="1" x14ac:dyDescent="0.3">
      <c r="A56" s="17" t="s">
        <v>38</v>
      </c>
      <c r="B56" s="12">
        <v>42094</v>
      </c>
      <c r="C56" s="12">
        <v>42460</v>
      </c>
      <c r="D56" s="12">
        <v>42825</v>
      </c>
      <c r="E56" s="12">
        <v>43190</v>
      </c>
      <c r="F56" s="12">
        <v>43555</v>
      </c>
      <c r="G56" s="12">
        <v>43921</v>
      </c>
      <c r="H56" s="12">
        <v>44286</v>
      </c>
      <c r="I56" s="12">
        <v>44651</v>
      </c>
      <c r="J56" s="12">
        <v>45016</v>
      </c>
      <c r="K56" s="12">
        <v>45382</v>
      </c>
    </row>
    <row r="57" spans="1:11" x14ac:dyDescent="0.3">
      <c r="A57" s="6" t="s">
        <v>24</v>
      </c>
      <c r="B57">
        <v>480.4</v>
      </c>
      <c r="C57">
        <v>435.5</v>
      </c>
      <c r="D57">
        <v>438.8</v>
      </c>
      <c r="E57">
        <v>441.7</v>
      </c>
      <c r="F57">
        <v>443.7</v>
      </c>
      <c r="G57">
        <v>435.9</v>
      </c>
      <c r="H57">
        <v>437</v>
      </c>
      <c r="I57">
        <v>438.8</v>
      </c>
      <c r="J57">
        <v>440</v>
      </c>
      <c r="K57">
        <v>441.3</v>
      </c>
    </row>
    <row r="58" spans="1:11" x14ac:dyDescent="0.3">
      <c r="A58" s="6" t="s">
        <v>25</v>
      </c>
      <c r="B58">
        <v>11768.5</v>
      </c>
      <c r="C58">
        <v>14155.4</v>
      </c>
      <c r="D58">
        <v>15998.4</v>
      </c>
      <c r="E58">
        <v>18401.099999999999</v>
      </c>
      <c r="F58">
        <v>19840.7</v>
      </c>
      <c r="G58">
        <v>21377.200000000001</v>
      </c>
      <c r="H58">
        <v>24428</v>
      </c>
      <c r="I58">
        <v>26446.9</v>
      </c>
      <c r="J58">
        <v>27484.5</v>
      </c>
      <c r="K58">
        <v>26228.1</v>
      </c>
    </row>
    <row r="59" spans="1:11" x14ac:dyDescent="0.3">
      <c r="A59" s="6" t="s">
        <v>71</v>
      </c>
      <c r="B59">
        <v>700.1</v>
      </c>
      <c r="C59">
        <v>1090.9000000000001</v>
      </c>
      <c r="D59">
        <v>1366.2</v>
      </c>
      <c r="E59">
        <v>2396.6</v>
      </c>
      <c r="F59">
        <v>1995.5</v>
      </c>
      <c r="G59">
        <v>3670.5</v>
      </c>
      <c r="H59">
        <v>2900.8</v>
      </c>
      <c r="I59">
        <v>2618.4</v>
      </c>
      <c r="J59">
        <v>2740.2</v>
      </c>
      <c r="K59">
        <v>2536.6999999999998</v>
      </c>
    </row>
    <row r="60" spans="1:11" x14ac:dyDescent="0.3">
      <c r="A60" s="6" t="s">
        <v>72</v>
      </c>
      <c r="B60">
        <v>6899.1</v>
      </c>
      <c r="C60">
        <v>6842.9</v>
      </c>
      <c r="D60">
        <v>8253.6</v>
      </c>
      <c r="E60">
        <v>9192</v>
      </c>
      <c r="F60">
        <v>11165.9</v>
      </c>
      <c r="G60">
        <v>11834.3</v>
      </c>
      <c r="H60">
        <v>11836.1</v>
      </c>
      <c r="I60">
        <v>14911.4</v>
      </c>
      <c r="J60">
        <v>15162.5</v>
      </c>
      <c r="K60">
        <v>13943</v>
      </c>
    </row>
    <row r="61" spans="1:11" s="1" customFormat="1" x14ac:dyDescent="0.3">
      <c r="A61" s="1" t="s">
        <v>26</v>
      </c>
      <c r="B61">
        <v>19848.099999999999</v>
      </c>
      <c r="C61">
        <v>22524.7</v>
      </c>
      <c r="D61">
        <v>26057</v>
      </c>
      <c r="E61">
        <v>30431.4</v>
      </c>
      <c r="F61">
        <v>33445.800000000003</v>
      </c>
      <c r="G61">
        <v>37317.9</v>
      </c>
      <c r="H61">
        <v>39601.9</v>
      </c>
      <c r="I61">
        <v>44415.5</v>
      </c>
      <c r="J61">
        <v>45827.199999999997</v>
      </c>
      <c r="K61">
        <v>43149.1</v>
      </c>
    </row>
    <row r="62" spans="1:11" x14ac:dyDescent="0.3">
      <c r="A62" s="6" t="s">
        <v>27</v>
      </c>
      <c r="B62">
        <v>4032.9</v>
      </c>
      <c r="C62">
        <v>4309.3</v>
      </c>
      <c r="D62">
        <v>6460.1</v>
      </c>
      <c r="E62">
        <v>7622.4</v>
      </c>
      <c r="F62">
        <v>7061.2</v>
      </c>
      <c r="G62">
        <v>8872</v>
      </c>
      <c r="H62">
        <v>9018.5</v>
      </c>
      <c r="I62">
        <v>14783.6</v>
      </c>
      <c r="J62">
        <v>14931.5</v>
      </c>
      <c r="K62">
        <v>13903</v>
      </c>
    </row>
    <row r="63" spans="1:11" x14ac:dyDescent="0.3">
      <c r="A63" s="6" t="s">
        <v>28</v>
      </c>
      <c r="B63">
        <v>567.70000000000005</v>
      </c>
      <c r="C63">
        <v>629.4</v>
      </c>
      <c r="D63">
        <v>372.9</v>
      </c>
      <c r="E63">
        <v>239.9</v>
      </c>
      <c r="F63">
        <v>276.3</v>
      </c>
      <c r="G63">
        <v>50.1</v>
      </c>
      <c r="H63">
        <v>118.3</v>
      </c>
      <c r="I63">
        <v>165.1</v>
      </c>
      <c r="J63">
        <v>119.7</v>
      </c>
      <c r="K63">
        <v>133.19999999999999</v>
      </c>
    </row>
    <row r="64" spans="1:11" x14ac:dyDescent="0.3">
      <c r="A64" s="6" t="s">
        <v>29</v>
      </c>
      <c r="B64">
        <v>2102.8000000000002</v>
      </c>
      <c r="C64">
        <v>1297.0999999999999</v>
      </c>
      <c r="D64">
        <v>2395.5</v>
      </c>
      <c r="E64">
        <v>4840.7</v>
      </c>
      <c r="F64">
        <v>7341.9</v>
      </c>
      <c r="G64">
        <v>5848.3</v>
      </c>
      <c r="H64">
        <v>10237.6</v>
      </c>
      <c r="I64">
        <v>4883.8</v>
      </c>
      <c r="J64">
        <v>3388.1</v>
      </c>
      <c r="K64">
        <v>3237.7</v>
      </c>
    </row>
    <row r="65" spans="1:11" x14ac:dyDescent="0.3">
      <c r="A65" s="6" t="s">
        <v>73</v>
      </c>
      <c r="B65">
        <v>13144.7</v>
      </c>
      <c r="C65">
        <v>16288.9</v>
      </c>
      <c r="D65">
        <v>16828.5</v>
      </c>
      <c r="E65">
        <v>17728.400000000001</v>
      </c>
      <c r="F65">
        <v>18766.400000000001</v>
      </c>
      <c r="G65">
        <v>22547.5</v>
      </c>
      <c r="H65">
        <v>20227.5</v>
      </c>
      <c r="I65">
        <v>24583</v>
      </c>
      <c r="J65">
        <v>27387.9</v>
      </c>
      <c r="K65">
        <v>25875.200000000001</v>
      </c>
    </row>
    <row r="66" spans="1:11" s="1" customFormat="1" x14ac:dyDescent="0.3">
      <c r="A66" s="1" t="s">
        <v>26</v>
      </c>
      <c r="B66">
        <v>19848.099999999999</v>
      </c>
      <c r="C66">
        <v>22524.7</v>
      </c>
      <c r="D66">
        <v>26057</v>
      </c>
      <c r="E66">
        <v>30431.4</v>
      </c>
      <c r="F66">
        <v>33445.800000000003</v>
      </c>
      <c r="G66">
        <v>37317.9</v>
      </c>
      <c r="H66">
        <v>39601.9</v>
      </c>
      <c r="I66">
        <v>44415.5</v>
      </c>
      <c r="J66">
        <v>45827.199999999997</v>
      </c>
      <c r="K66">
        <v>43149.1</v>
      </c>
    </row>
    <row r="67" spans="1:11" s="6" customFormat="1" x14ac:dyDescent="0.3">
      <c r="A67" s="6" t="s">
        <v>78</v>
      </c>
      <c r="B67">
        <v>5205.8999999999996</v>
      </c>
      <c r="C67">
        <v>5770.5</v>
      </c>
      <c r="D67">
        <v>5337.7</v>
      </c>
      <c r="E67">
        <v>6497.9</v>
      </c>
      <c r="F67">
        <v>6958.6</v>
      </c>
      <c r="G67">
        <v>7577.2</v>
      </c>
      <c r="H67">
        <v>9031.7000000000007</v>
      </c>
      <c r="I67">
        <v>11933.4</v>
      </c>
      <c r="J67">
        <v>12881.6</v>
      </c>
      <c r="K67">
        <v>11401.1</v>
      </c>
    </row>
    <row r="68" spans="1:11" x14ac:dyDescent="0.3">
      <c r="A68" s="6" t="s">
        <v>45</v>
      </c>
      <c r="B68">
        <v>24.5</v>
      </c>
      <c r="C68">
        <v>40.299999999999997</v>
      </c>
      <c r="D68">
        <v>61.1</v>
      </c>
      <c r="E68">
        <v>65.900000000000006</v>
      </c>
      <c r="F68">
        <v>75.2</v>
      </c>
      <c r="G68">
        <v>35.799999999999997</v>
      </c>
      <c r="H68">
        <v>24.2</v>
      </c>
      <c r="I68">
        <v>40.5</v>
      </c>
      <c r="J68">
        <v>23.6</v>
      </c>
      <c r="K68">
        <v>37.5</v>
      </c>
    </row>
    <row r="69" spans="1:11" x14ac:dyDescent="0.3">
      <c r="A69" s="4" t="s">
        <v>87</v>
      </c>
      <c r="B69">
        <v>2404.9</v>
      </c>
      <c r="C69">
        <v>4018</v>
      </c>
      <c r="D69">
        <v>3218.6</v>
      </c>
      <c r="E69">
        <v>3044.3</v>
      </c>
      <c r="F69">
        <v>2358.6999999999998</v>
      </c>
      <c r="G69">
        <v>3148.3</v>
      </c>
      <c r="H69">
        <v>2835.2</v>
      </c>
      <c r="I69">
        <v>3974.5</v>
      </c>
      <c r="J69">
        <v>4254.7</v>
      </c>
      <c r="K69">
        <v>4735.5</v>
      </c>
    </row>
    <row r="70" spans="1:11" x14ac:dyDescent="0.3">
      <c r="A70" s="4" t="s">
        <v>74</v>
      </c>
      <c r="B70">
        <v>960788912</v>
      </c>
      <c r="C70">
        <v>967810069</v>
      </c>
      <c r="D70">
        <v>877539300</v>
      </c>
      <c r="E70">
        <v>979733808</v>
      </c>
      <c r="F70">
        <v>887268630</v>
      </c>
      <c r="G70">
        <v>965852364</v>
      </c>
      <c r="H70">
        <v>873959406</v>
      </c>
      <c r="I70">
        <v>877597850</v>
      </c>
      <c r="J70">
        <v>879911846</v>
      </c>
      <c r="K70">
        <v>882522894</v>
      </c>
    </row>
    <row r="71" spans="1:11" x14ac:dyDescent="0.3">
      <c r="A71" s="4" t="s">
        <v>75</v>
      </c>
      <c r="B71">
        <v>240161580</v>
      </c>
    </row>
    <row r="72" spans="1:11" x14ac:dyDescent="0.3">
      <c r="A72" s="4" t="s">
        <v>88</v>
      </c>
      <c r="B72">
        <v>5</v>
      </c>
      <c r="C72">
        <v>5</v>
      </c>
      <c r="D72">
        <v>5</v>
      </c>
      <c r="E72">
        <v>5</v>
      </c>
      <c r="F72">
        <v>5</v>
      </c>
      <c r="G72">
        <v>5</v>
      </c>
      <c r="H72">
        <v>5</v>
      </c>
      <c r="I72">
        <v>5</v>
      </c>
      <c r="J72">
        <v>5</v>
      </c>
      <c r="K72">
        <v>5</v>
      </c>
    </row>
    <row r="74" spans="1:11" x14ac:dyDescent="0.3">
      <c r="A74" s="6"/>
    </row>
    <row r="75" spans="1:11" x14ac:dyDescent="0.3">
      <c r="A75" s="6"/>
    </row>
    <row r="76" spans="1:11" x14ac:dyDescent="0.3">
      <c r="A76" s="6"/>
    </row>
    <row r="77" spans="1:11" x14ac:dyDescent="0.3">
      <c r="A77" s="6"/>
    </row>
    <row r="78" spans="1:11" x14ac:dyDescent="0.3">
      <c r="A78" s="6"/>
    </row>
    <row r="79" spans="1:11" x14ac:dyDescent="0.3">
      <c r="A79" s="6"/>
    </row>
    <row r="80" spans="1:11" x14ac:dyDescent="0.3">
      <c r="A80" s="1" t="s">
        <v>41</v>
      </c>
    </row>
    <row r="81" spans="1:11" s="18" customFormat="1" x14ac:dyDescent="0.3">
      <c r="A81" s="17" t="s">
        <v>38</v>
      </c>
      <c r="B81" s="12">
        <v>42094</v>
      </c>
      <c r="C81" s="12">
        <v>42460</v>
      </c>
      <c r="D81" s="12">
        <v>42825</v>
      </c>
      <c r="E81" s="12">
        <v>43190</v>
      </c>
      <c r="F81" s="12">
        <v>43555</v>
      </c>
      <c r="G81" s="12">
        <v>43921</v>
      </c>
      <c r="H81" s="12">
        <v>44286</v>
      </c>
      <c r="I81" s="12">
        <v>44651</v>
      </c>
      <c r="J81" s="12">
        <v>45016</v>
      </c>
      <c r="K81" s="12">
        <v>45382</v>
      </c>
    </row>
    <row r="82" spans="1:11" s="1" customFormat="1" x14ac:dyDescent="0.3">
      <c r="A82" s="6" t="s">
        <v>32</v>
      </c>
      <c r="B82">
        <v>2447.9</v>
      </c>
      <c r="C82">
        <v>3137</v>
      </c>
      <c r="D82">
        <v>4071.4</v>
      </c>
      <c r="E82">
        <v>3553.5</v>
      </c>
      <c r="F82">
        <v>4432</v>
      </c>
      <c r="G82">
        <v>4358.1000000000004</v>
      </c>
      <c r="H82">
        <v>8093.8</v>
      </c>
      <c r="I82">
        <v>5285.3</v>
      </c>
      <c r="J82">
        <v>5572</v>
      </c>
      <c r="K82">
        <v>6376.4</v>
      </c>
    </row>
    <row r="83" spans="1:11" s="6" customFormat="1" x14ac:dyDescent="0.3">
      <c r="A83" s="6" t="s">
        <v>33</v>
      </c>
      <c r="B83">
        <v>-1865.2</v>
      </c>
      <c r="C83">
        <v>-1453.2</v>
      </c>
      <c r="D83">
        <v>-2893</v>
      </c>
      <c r="E83">
        <v>-3319.3</v>
      </c>
      <c r="F83">
        <v>-2104.1999999999998</v>
      </c>
      <c r="G83">
        <v>1081.4000000000001</v>
      </c>
      <c r="H83">
        <v>-5433.2</v>
      </c>
      <c r="I83">
        <v>479.8</v>
      </c>
      <c r="J83">
        <v>-226.5</v>
      </c>
      <c r="K83">
        <v>-1318.4</v>
      </c>
    </row>
    <row r="84" spans="1:11" s="6" customFormat="1" x14ac:dyDescent="0.3">
      <c r="A84" s="6" t="s">
        <v>34</v>
      </c>
      <c r="B84">
        <v>-829</v>
      </c>
      <c r="C84">
        <v>-496.1</v>
      </c>
      <c r="D84">
        <v>-1570.9</v>
      </c>
      <c r="E84">
        <v>-269.39999999999998</v>
      </c>
      <c r="F84">
        <v>-2251.1999999999998</v>
      </c>
      <c r="G84">
        <v>-4465.5</v>
      </c>
      <c r="H84">
        <v>-2986.9</v>
      </c>
      <c r="I84">
        <v>-4666.6000000000004</v>
      </c>
      <c r="J84">
        <v>-5078.1000000000004</v>
      </c>
      <c r="K84">
        <v>-4767.2</v>
      </c>
    </row>
    <row r="85" spans="1:11" s="1" customFormat="1" x14ac:dyDescent="0.3">
      <c r="A85" s="6" t="s">
        <v>35</v>
      </c>
      <c r="B85">
        <v>-246.3</v>
      </c>
      <c r="C85">
        <v>1187.7</v>
      </c>
      <c r="D85">
        <v>-392.5</v>
      </c>
      <c r="E85">
        <v>-35.200000000000003</v>
      </c>
      <c r="F85">
        <v>76.599999999999994</v>
      </c>
      <c r="G85">
        <v>974</v>
      </c>
      <c r="H85">
        <v>-326.3</v>
      </c>
      <c r="I85">
        <v>1098.5</v>
      </c>
      <c r="J85">
        <v>267.39999999999998</v>
      </c>
      <c r="K85">
        <v>290.8</v>
      </c>
    </row>
    <row r="86" spans="1:11" x14ac:dyDescent="0.3">
      <c r="A86" s="6"/>
    </row>
    <row r="87" spans="1:11" x14ac:dyDescent="0.3">
      <c r="A87" s="6"/>
    </row>
    <row r="88" spans="1:11" x14ac:dyDescent="0.3">
      <c r="A88" s="6"/>
    </row>
    <row r="89" spans="1:11" x14ac:dyDescent="0.3">
      <c r="A89" s="6"/>
    </row>
    <row r="90" spans="1:11" s="1" customFormat="1" x14ac:dyDescent="0.3">
      <c r="A90" s="1" t="s">
        <v>77</v>
      </c>
      <c r="B90">
        <v>629.70000000000005</v>
      </c>
      <c r="C90">
        <v>474.95</v>
      </c>
      <c r="D90">
        <v>459.15</v>
      </c>
      <c r="E90">
        <v>638.70000000000005</v>
      </c>
      <c r="F90">
        <v>775.9</v>
      </c>
      <c r="G90">
        <v>565.5</v>
      </c>
      <c r="H90">
        <v>991.45</v>
      </c>
      <c r="I90">
        <v>1499.45</v>
      </c>
      <c r="J90">
        <v>1101.8499999999999</v>
      </c>
      <c r="K90">
        <v>1248.0999999999999</v>
      </c>
    </row>
    <row r="92" spans="1:11" s="1" customFormat="1" x14ac:dyDescent="0.3">
      <c r="A92" s="1" t="s">
        <v>76</v>
      </c>
    </row>
    <row r="93" spans="1:11" x14ac:dyDescent="0.3">
      <c r="A93" s="4" t="s">
        <v>89</v>
      </c>
      <c r="B93" s="24">
        <v>96.08</v>
      </c>
      <c r="C93" s="24">
        <v>96.78</v>
      </c>
      <c r="D93" s="24">
        <v>97.41</v>
      </c>
      <c r="E93" s="24">
        <v>97.97</v>
      </c>
      <c r="F93" s="24">
        <v>98.34</v>
      </c>
      <c r="G93" s="24">
        <v>96.59</v>
      </c>
      <c r="H93" s="24">
        <v>96.83</v>
      </c>
      <c r="I93" s="24">
        <v>97.18</v>
      </c>
      <c r="J93" s="24">
        <v>97.41</v>
      </c>
      <c r="K93" s="24">
        <v>97.68</v>
      </c>
    </row>
  </sheetData>
  <mergeCells count="2">
    <mergeCell ref="E1:K1"/>
    <mergeCell ref="E2:K2"/>
  </mergeCells>
  <conditionalFormatting sqref="E1:K1">
    <cfRule type="cellIs" dxfId="0" priority="1" operator="notEqual">
      <formula>""</formula>
    </cfRule>
  </conditionalFormatting>
  <hyperlinks>
    <hyperlink ref="E1:K1" r:id="rId1" display="https://www.screener.in/excel/" xr:uid="{00000000-0004-0000-05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ASSIGNMENT WORK</vt:lpstr>
      <vt:lpstr>Profit &amp; Loss</vt:lpstr>
      <vt:lpstr>Quarters</vt:lpstr>
      <vt:lpstr>Balance Sheet</vt:lpstr>
      <vt:lpstr>Cash Flow</vt:lpstr>
      <vt:lpstr>Customization</vt:lpstr>
      <vt:lpstr>Data Sheet</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dc:creator>
  <cp:lastModifiedBy>IPLt Arya</cp:lastModifiedBy>
  <cp:lastPrinted>2012-12-06T18:14:13Z</cp:lastPrinted>
  <dcterms:created xsi:type="dcterms:W3CDTF">2012-08-17T09:55:37Z</dcterms:created>
  <dcterms:modified xsi:type="dcterms:W3CDTF">2024-12-08T17:48:50Z</dcterms:modified>
</cp:coreProperties>
</file>